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960" windowWidth="20730" windowHeight="8415" tabRatio="873" activeTab="17"/>
  </bookViews>
  <sheets>
    <sheet name="Information" sheetId="12" r:id="rId1"/>
    <sheet name="Content" sheetId="11" r:id="rId2"/>
    <sheet name="Compound label " sheetId="15" state="hidden" r:id="rId3"/>
    <sheet name="Wheighing Board August 2016" sheetId="25" state="hidden" r:id="rId4"/>
    <sheet name="Aliquots label August 2016" sheetId="24" state="hidden" r:id="rId5"/>
    <sheet name="Template Aliquots label " sheetId="31" state="hidden" r:id="rId6"/>
    <sheet name="Template Wheighing Board  " sheetId="34" state="hidden" r:id="rId7"/>
    <sheet name="Wheighing Board January 2018" sheetId="55" state="hidden" r:id="rId8"/>
    <sheet name="Wheighing Board February 2018" sheetId="29" state="hidden" r:id="rId9"/>
    <sheet name="Wheighing Board March 2018" sheetId="56" state="hidden" r:id="rId10"/>
    <sheet name="Wheighing Board April 2018" sheetId="57" state="hidden" r:id="rId11"/>
    <sheet name="Wheighing Board May 2018" sheetId="58" state="hidden" r:id="rId12"/>
    <sheet name="Database" sheetId="13" r:id="rId13"/>
    <sheet name="Wheighing Board June 2018" sheetId="59" state="hidden" r:id="rId14"/>
    <sheet name="Wheighing Board July 2018" sheetId="60" state="hidden" r:id="rId15"/>
    <sheet name="Wheighing Board August 2018" sheetId="61" r:id="rId16"/>
    <sheet name="Wheighing Board September 2018" sheetId="62" r:id="rId17"/>
    <sheet name="Wheighing Board October 2018" sheetId="63" r:id="rId18"/>
  </sheets>
  <definedNames>
    <definedName name="_xlnm._FilterDatabase" localSheetId="12" hidden="1">Database!$A$6:$AL$1422</definedName>
    <definedName name="OLE_LINK1" localSheetId="0">Information!$B$7</definedName>
    <definedName name="_xlnm.Print_Area" localSheetId="0">Information!$A$1:$I$49</definedName>
    <definedName name="_xlnm.Print_Area" localSheetId="10">'Wheighing Board April 2018'!$A$1:$Q$35</definedName>
    <definedName name="_xlnm.Print_Area" localSheetId="9">'Wheighing Board March 2018'!$A$5:$O$14</definedName>
  </definedNames>
  <calcPr calcId="145621"/>
</workbook>
</file>

<file path=xl/calcChain.xml><?xml version="1.0" encoding="utf-8"?>
<calcChain xmlns="http://schemas.openxmlformats.org/spreadsheetml/2006/main">
  <c r="J12" i="63" l="1"/>
  <c r="J6" i="63"/>
  <c r="J5" i="63"/>
  <c r="J4" i="63"/>
  <c r="J452" i="63"/>
  <c r="J451" i="63"/>
  <c r="J450" i="63"/>
  <c r="J449" i="63"/>
  <c r="J448" i="63"/>
  <c r="J447" i="63"/>
  <c r="J446" i="63"/>
  <c r="J445" i="63"/>
  <c r="J444" i="63"/>
  <c r="J443" i="63"/>
  <c r="J442" i="63"/>
  <c r="J441" i="63"/>
  <c r="J440" i="63"/>
  <c r="J439" i="63"/>
  <c r="J438" i="63"/>
  <c r="J437" i="63"/>
  <c r="J436" i="63"/>
  <c r="J435" i="63"/>
  <c r="J434" i="63"/>
  <c r="J433" i="63"/>
  <c r="J432" i="63"/>
  <c r="J431" i="63"/>
  <c r="J430" i="63"/>
  <c r="J429" i="63"/>
  <c r="J428" i="63"/>
  <c r="J427" i="63"/>
  <c r="J426" i="63"/>
  <c r="J425" i="63"/>
  <c r="J424" i="63"/>
  <c r="J423" i="63"/>
  <c r="J422" i="63"/>
  <c r="J421" i="63"/>
  <c r="J420" i="63"/>
  <c r="J419" i="63"/>
  <c r="J418" i="63"/>
  <c r="J417" i="63"/>
  <c r="J416" i="63"/>
  <c r="J415" i="63"/>
  <c r="J414" i="63"/>
  <c r="J413" i="63"/>
  <c r="J412" i="63"/>
  <c r="J411" i="63"/>
  <c r="J410" i="63"/>
  <c r="J409" i="63"/>
  <c r="J408" i="63"/>
  <c r="J407" i="63"/>
  <c r="J406" i="63"/>
  <c r="J405" i="63"/>
  <c r="J404" i="63"/>
  <c r="J403" i="63"/>
  <c r="J402" i="63"/>
  <c r="J401" i="63"/>
  <c r="J400" i="63"/>
  <c r="J399" i="63"/>
  <c r="J398" i="63"/>
  <c r="J397" i="63"/>
  <c r="J396" i="63"/>
  <c r="J395" i="63"/>
  <c r="J394" i="63"/>
  <c r="J393" i="63"/>
  <c r="J392" i="63"/>
  <c r="J391" i="63"/>
  <c r="J390" i="63"/>
  <c r="J389" i="63"/>
  <c r="J388" i="63"/>
  <c r="J387" i="63"/>
  <c r="J386" i="63"/>
  <c r="J385" i="63"/>
  <c r="J384" i="63"/>
  <c r="J383" i="63"/>
  <c r="J382" i="63"/>
  <c r="J381" i="63"/>
  <c r="J380" i="63"/>
  <c r="J379" i="63"/>
  <c r="J378" i="63"/>
  <c r="J377" i="63"/>
  <c r="J376" i="63"/>
  <c r="J375" i="63"/>
  <c r="J374" i="63"/>
  <c r="J373" i="63"/>
  <c r="J372" i="63"/>
  <c r="J371" i="63"/>
  <c r="J370" i="63"/>
  <c r="J369" i="63"/>
  <c r="J368" i="63"/>
  <c r="J367" i="63"/>
  <c r="J366" i="63"/>
  <c r="J365" i="63"/>
  <c r="J364" i="63"/>
  <c r="J363" i="63"/>
  <c r="J362" i="63"/>
  <c r="J361" i="63"/>
  <c r="J360" i="63"/>
  <c r="J359" i="63"/>
  <c r="J358" i="63"/>
  <c r="J357" i="63"/>
  <c r="J356" i="63"/>
  <c r="J355" i="63"/>
  <c r="J354" i="63"/>
  <c r="J353" i="63"/>
  <c r="J352" i="63"/>
  <c r="J351" i="63"/>
  <c r="J350" i="63"/>
  <c r="J349" i="63"/>
  <c r="J348" i="63"/>
  <c r="J347" i="63"/>
  <c r="J346" i="63"/>
  <c r="J345" i="63"/>
  <c r="J344" i="63"/>
  <c r="J343" i="63"/>
  <c r="J342" i="63"/>
  <c r="J341" i="63"/>
  <c r="J340" i="63"/>
  <c r="J339" i="63"/>
  <c r="J338" i="63"/>
  <c r="J337" i="63"/>
  <c r="J336" i="63"/>
  <c r="J335" i="63"/>
  <c r="J334" i="63"/>
  <c r="J333" i="63"/>
  <c r="J332" i="63"/>
  <c r="J331" i="63"/>
  <c r="J330" i="63"/>
  <c r="J329" i="63"/>
  <c r="J328" i="63"/>
  <c r="J327" i="63"/>
  <c r="J326" i="63"/>
  <c r="J325" i="63"/>
  <c r="J324" i="63"/>
  <c r="J323" i="63"/>
  <c r="J322" i="63"/>
  <c r="J321" i="63"/>
  <c r="J320" i="63"/>
  <c r="J319" i="63"/>
  <c r="J318" i="63"/>
  <c r="J317" i="63"/>
  <c r="J316" i="63"/>
  <c r="J315" i="63"/>
  <c r="J314" i="63"/>
  <c r="J313" i="63"/>
  <c r="J312" i="63"/>
  <c r="J311" i="63"/>
  <c r="J310" i="63"/>
  <c r="J309" i="63"/>
  <c r="J308" i="63"/>
  <c r="J307" i="63"/>
  <c r="J306" i="63"/>
  <c r="J305" i="63"/>
  <c r="J304" i="63"/>
  <c r="J303" i="63"/>
  <c r="J302" i="63"/>
  <c r="J301" i="63"/>
  <c r="J300" i="63"/>
  <c r="J299" i="63"/>
  <c r="J298" i="63"/>
  <c r="J297" i="63"/>
  <c r="J296" i="63"/>
  <c r="J295" i="63"/>
  <c r="J294" i="63"/>
  <c r="J293" i="63"/>
  <c r="J292" i="63"/>
  <c r="J291" i="63"/>
  <c r="J290" i="63"/>
  <c r="J289" i="63"/>
  <c r="J288" i="63"/>
  <c r="J287" i="63"/>
  <c r="J286" i="63"/>
  <c r="J285" i="63"/>
  <c r="J284" i="63"/>
  <c r="J283" i="63"/>
  <c r="J282" i="63"/>
  <c r="J281" i="63"/>
  <c r="J280" i="63"/>
  <c r="J279" i="63"/>
  <c r="J278" i="63"/>
  <c r="J277" i="63"/>
  <c r="J276" i="63"/>
  <c r="J275" i="63"/>
  <c r="J274" i="63"/>
  <c r="J273" i="63"/>
  <c r="J272" i="63"/>
  <c r="J271" i="63"/>
  <c r="J270" i="63"/>
  <c r="J269" i="63"/>
  <c r="J268" i="63"/>
  <c r="J267" i="63"/>
  <c r="J266" i="63"/>
  <c r="J265" i="63"/>
  <c r="J264" i="63"/>
  <c r="J263" i="63"/>
  <c r="J262" i="63"/>
  <c r="J261" i="63"/>
  <c r="J260" i="63"/>
  <c r="J259" i="63"/>
  <c r="J258" i="63"/>
  <c r="J257" i="63"/>
  <c r="J256" i="63"/>
  <c r="J255" i="63"/>
  <c r="J254" i="63"/>
  <c r="J253" i="63"/>
  <c r="J252" i="63"/>
  <c r="J251" i="63"/>
  <c r="J250" i="63"/>
  <c r="J249" i="63"/>
  <c r="J248" i="63"/>
  <c r="J247" i="63"/>
  <c r="J246" i="63"/>
  <c r="J245" i="63"/>
  <c r="J244" i="63"/>
  <c r="J243" i="63"/>
  <c r="J242" i="63"/>
  <c r="J241" i="63"/>
  <c r="J240" i="63"/>
  <c r="J239" i="63"/>
  <c r="J238" i="63"/>
  <c r="J237" i="63"/>
  <c r="J236" i="63"/>
  <c r="J235" i="63"/>
  <c r="J234" i="63"/>
  <c r="J233" i="63"/>
  <c r="J232" i="63"/>
  <c r="J231" i="63"/>
  <c r="J230" i="63"/>
  <c r="J229" i="63"/>
  <c r="J228" i="63"/>
  <c r="J227" i="63"/>
  <c r="J226" i="63"/>
  <c r="J225" i="63"/>
  <c r="J224" i="63"/>
  <c r="J223" i="63"/>
  <c r="J222" i="63"/>
  <c r="J221" i="63"/>
  <c r="J220" i="63"/>
  <c r="J219" i="63"/>
  <c r="J218" i="63"/>
  <c r="J217" i="63"/>
  <c r="J216" i="63"/>
  <c r="J215" i="63"/>
  <c r="J214" i="63"/>
  <c r="J213" i="63"/>
  <c r="J212" i="63"/>
  <c r="J211" i="63"/>
  <c r="J210" i="63"/>
  <c r="J209" i="63"/>
  <c r="J208" i="63"/>
  <c r="J207" i="63"/>
  <c r="J206" i="63"/>
  <c r="J205" i="63"/>
  <c r="J204" i="63"/>
  <c r="J203" i="63"/>
  <c r="J202" i="63"/>
  <c r="J201" i="63"/>
  <c r="J200" i="63"/>
  <c r="J199" i="63"/>
  <c r="J198" i="63"/>
  <c r="J197" i="63"/>
  <c r="J196" i="63"/>
  <c r="J195" i="63"/>
  <c r="J194" i="63"/>
  <c r="J193" i="63"/>
  <c r="J192" i="63"/>
  <c r="J191" i="63"/>
  <c r="J190" i="63"/>
  <c r="J189" i="63"/>
  <c r="J188" i="63"/>
  <c r="J187" i="63"/>
  <c r="J186" i="63"/>
  <c r="J185" i="63"/>
  <c r="J184" i="63"/>
  <c r="J183" i="63"/>
  <c r="J182" i="63"/>
  <c r="J181" i="63"/>
  <c r="J180" i="63"/>
  <c r="J179" i="63"/>
  <c r="J178" i="63"/>
  <c r="J177" i="63"/>
  <c r="J176" i="63"/>
  <c r="J175" i="63"/>
  <c r="J174" i="63"/>
  <c r="J173" i="63"/>
  <c r="J172" i="63"/>
  <c r="J171" i="63"/>
  <c r="J170" i="63"/>
  <c r="J169" i="63"/>
  <c r="J168" i="63"/>
  <c r="J167" i="63"/>
  <c r="J166" i="63"/>
  <c r="J165" i="63"/>
  <c r="J164" i="63"/>
  <c r="J163" i="63"/>
  <c r="J162" i="63"/>
  <c r="J161" i="63"/>
  <c r="J160" i="63"/>
  <c r="J159" i="63"/>
  <c r="J158" i="63"/>
  <c r="J157" i="63"/>
  <c r="J156" i="63"/>
  <c r="J155" i="63"/>
  <c r="J154" i="63"/>
  <c r="J153" i="63"/>
  <c r="J152" i="63"/>
  <c r="J151" i="63"/>
  <c r="J150" i="63"/>
  <c r="J149" i="63"/>
  <c r="J148" i="63"/>
  <c r="J147" i="63"/>
  <c r="J146" i="63"/>
  <c r="J145" i="63"/>
  <c r="J144" i="63"/>
  <c r="J143" i="63"/>
  <c r="J142" i="63"/>
  <c r="J141" i="63"/>
  <c r="J140" i="63"/>
  <c r="J139" i="63"/>
  <c r="J138" i="63"/>
  <c r="J137" i="63"/>
  <c r="J136" i="63"/>
  <c r="J135" i="63"/>
  <c r="J134" i="63"/>
  <c r="J133" i="63"/>
  <c r="J132" i="63"/>
  <c r="J131" i="63"/>
  <c r="J130" i="63"/>
  <c r="J129" i="63"/>
  <c r="J128" i="63"/>
  <c r="J127" i="63"/>
  <c r="J126" i="63"/>
  <c r="J125" i="63"/>
  <c r="J124" i="63"/>
  <c r="J123" i="63"/>
  <c r="J122" i="63"/>
  <c r="J121" i="63"/>
  <c r="J120" i="63"/>
  <c r="J119" i="63"/>
  <c r="J118" i="63"/>
  <c r="J117" i="63"/>
  <c r="J116" i="63"/>
  <c r="J115" i="63"/>
  <c r="J114" i="63"/>
  <c r="J113" i="63"/>
  <c r="J112" i="63"/>
  <c r="J111" i="63"/>
  <c r="J110" i="63"/>
  <c r="J109" i="63"/>
  <c r="J108" i="63"/>
  <c r="J107" i="63"/>
  <c r="J106" i="63"/>
  <c r="J105" i="63"/>
  <c r="J104" i="63"/>
  <c r="J103" i="63"/>
  <c r="J102" i="63"/>
  <c r="J101" i="63"/>
  <c r="J100" i="63"/>
  <c r="J99" i="63"/>
  <c r="J98" i="63"/>
  <c r="J97" i="63"/>
  <c r="J96" i="63"/>
  <c r="J95" i="63"/>
  <c r="J94" i="63"/>
  <c r="J93" i="63"/>
  <c r="J92" i="63"/>
  <c r="J91" i="63"/>
  <c r="J90" i="63"/>
  <c r="J89" i="63"/>
  <c r="J88" i="63"/>
  <c r="J87" i="63"/>
  <c r="J86" i="63"/>
  <c r="J85" i="63"/>
  <c r="J84" i="63"/>
  <c r="J83" i="63"/>
  <c r="J82" i="63"/>
  <c r="J81" i="63"/>
  <c r="J80" i="63"/>
  <c r="J79" i="63"/>
  <c r="J78" i="63"/>
  <c r="J77" i="63"/>
  <c r="J76" i="63"/>
  <c r="J75" i="63"/>
  <c r="J74" i="63"/>
  <c r="J73" i="63"/>
  <c r="J72" i="63"/>
  <c r="J71" i="63"/>
  <c r="J70" i="63"/>
  <c r="J69" i="63"/>
  <c r="J68" i="63"/>
  <c r="J67" i="63"/>
  <c r="J66" i="63"/>
  <c r="J65" i="63"/>
  <c r="J64" i="63"/>
  <c r="J63" i="63"/>
  <c r="J62" i="63"/>
  <c r="J61" i="63"/>
  <c r="J60" i="63"/>
  <c r="J59" i="63"/>
  <c r="J58" i="63"/>
  <c r="J57" i="63"/>
  <c r="J56" i="63"/>
  <c r="J55" i="63"/>
  <c r="J54" i="63"/>
  <c r="J53" i="63"/>
  <c r="J52" i="63"/>
  <c r="J51" i="63"/>
  <c r="J50" i="63"/>
  <c r="J49" i="63"/>
  <c r="J48" i="63"/>
  <c r="J47" i="63"/>
  <c r="J46" i="63"/>
  <c r="J45" i="63"/>
  <c r="J44" i="63"/>
  <c r="J43" i="63"/>
  <c r="J42" i="63"/>
  <c r="J41" i="63"/>
  <c r="J40" i="63"/>
  <c r="J39" i="63"/>
  <c r="J38" i="63"/>
  <c r="J37" i="63"/>
  <c r="J36" i="63"/>
  <c r="J35" i="63"/>
  <c r="J34" i="63"/>
  <c r="J33" i="63"/>
  <c r="J32" i="63"/>
  <c r="J31" i="63"/>
  <c r="J30" i="63"/>
  <c r="J29" i="63"/>
  <c r="J28" i="63"/>
  <c r="J27" i="63"/>
  <c r="J26" i="63"/>
  <c r="J25" i="63"/>
  <c r="J24" i="63"/>
  <c r="J23" i="63"/>
  <c r="J22" i="63"/>
  <c r="J21" i="63"/>
  <c r="J20" i="63"/>
  <c r="J19" i="63"/>
  <c r="J18" i="63"/>
  <c r="J17" i="63"/>
  <c r="J16" i="63"/>
  <c r="J15" i="63"/>
  <c r="J14" i="63"/>
  <c r="J13" i="63"/>
  <c r="J11" i="63"/>
  <c r="J10" i="63"/>
  <c r="J9" i="63"/>
  <c r="J8" i="63"/>
  <c r="J7" i="63"/>
  <c r="S1057" i="13"/>
  <c r="S829" i="13"/>
  <c r="S193" i="13"/>
  <c r="S555" i="13"/>
  <c r="S741" i="13"/>
  <c r="S965" i="13"/>
  <c r="S1080" i="13"/>
  <c r="S996" i="13"/>
  <c r="S1034" i="13"/>
  <c r="S1033" i="13"/>
  <c r="S1031" i="13" l="1"/>
  <c r="S847" i="13"/>
  <c r="S684" i="13"/>
  <c r="S139" i="13"/>
  <c r="J8" i="62" l="1"/>
  <c r="J7" i="62" l="1"/>
  <c r="J32" i="61"/>
  <c r="J31" i="61"/>
  <c r="J28" i="61"/>
  <c r="S815" i="13" l="1"/>
  <c r="S1075" i="13"/>
  <c r="S1061" i="13" l="1"/>
  <c r="S1023" i="13" l="1"/>
  <c r="S1077" i="13"/>
  <c r="S879" i="13"/>
  <c r="S1024" i="13"/>
  <c r="S1025" i="13"/>
  <c r="J452" i="62"/>
  <c r="J451" i="62"/>
  <c r="J450" i="62"/>
  <c r="J449" i="62"/>
  <c r="J448" i="62"/>
  <c r="J447" i="62"/>
  <c r="J446" i="62"/>
  <c r="J445" i="62"/>
  <c r="J444" i="62"/>
  <c r="J443" i="62"/>
  <c r="J442" i="62"/>
  <c r="J441" i="62"/>
  <c r="J440" i="62"/>
  <c r="J439" i="62"/>
  <c r="J438" i="62"/>
  <c r="J437" i="62"/>
  <c r="J436" i="62"/>
  <c r="J435" i="62"/>
  <c r="J434" i="62"/>
  <c r="J433" i="62"/>
  <c r="J432" i="62"/>
  <c r="J431" i="62"/>
  <c r="J430" i="62"/>
  <c r="J429" i="62"/>
  <c r="J428" i="62"/>
  <c r="J427" i="62"/>
  <c r="J426" i="62"/>
  <c r="J425" i="62"/>
  <c r="J424" i="62"/>
  <c r="J423" i="62"/>
  <c r="J422" i="62"/>
  <c r="J421" i="62"/>
  <c r="J420" i="62"/>
  <c r="J419" i="62"/>
  <c r="J418" i="62"/>
  <c r="J417" i="62"/>
  <c r="J416" i="62"/>
  <c r="J415" i="62"/>
  <c r="J414" i="62"/>
  <c r="J413" i="62"/>
  <c r="J412" i="62"/>
  <c r="J411" i="62"/>
  <c r="J410" i="62"/>
  <c r="J409" i="62"/>
  <c r="J408" i="62"/>
  <c r="J407" i="62"/>
  <c r="J406" i="62"/>
  <c r="J405" i="62"/>
  <c r="J404" i="62"/>
  <c r="J403" i="62"/>
  <c r="J402" i="62"/>
  <c r="J401" i="62"/>
  <c r="J400" i="62"/>
  <c r="J399" i="62"/>
  <c r="J398" i="62"/>
  <c r="J397" i="62"/>
  <c r="J396" i="62"/>
  <c r="J395" i="62"/>
  <c r="J394" i="62"/>
  <c r="J393" i="62"/>
  <c r="J392" i="62"/>
  <c r="J391" i="62"/>
  <c r="J390" i="62"/>
  <c r="J389" i="62"/>
  <c r="J388" i="62"/>
  <c r="J387" i="62"/>
  <c r="J386" i="62"/>
  <c r="J385" i="62"/>
  <c r="J384" i="62"/>
  <c r="J383" i="62"/>
  <c r="J382" i="62"/>
  <c r="J381" i="62"/>
  <c r="J380" i="62"/>
  <c r="J379" i="62"/>
  <c r="J378" i="62"/>
  <c r="J377" i="62"/>
  <c r="J376" i="62"/>
  <c r="J375" i="62"/>
  <c r="J374" i="62"/>
  <c r="J373" i="62"/>
  <c r="J372" i="62"/>
  <c r="J371" i="62"/>
  <c r="J370" i="62"/>
  <c r="J369" i="62"/>
  <c r="J368" i="62"/>
  <c r="J367" i="62"/>
  <c r="J366" i="62"/>
  <c r="J365" i="62"/>
  <c r="J364" i="62"/>
  <c r="J363" i="62"/>
  <c r="J362" i="62"/>
  <c r="J361" i="62"/>
  <c r="J360" i="62"/>
  <c r="J359" i="62"/>
  <c r="J358" i="62"/>
  <c r="J357" i="62"/>
  <c r="J356" i="62"/>
  <c r="J355" i="62"/>
  <c r="J354" i="62"/>
  <c r="J353" i="62"/>
  <c r="J352" i="62"/>
  <c r="J351" i="62"/>
  <c r="J350" i="62"/>
  <c r="J349" i="62"/>
  <c r="J348" i="62"/>
  <c r="J347" i="62"/>
  <c r="J346" i="62"/>
  <c r="J345" i="62"/>
  <c r="J344" i="62"/>
  <c r="J343" i="62"/>
  <c r="J342" i="62"/>
  <c r="J341" i="62"/>
  <c r="J340" i="62"/>
  <c r="J339" i="62"/>
  <c r="J338" i="62"/>
  <c r="J337" i="62"/>
  <c r="J336" i="62"/>
  <c r="J335" i="62"/>
  <c r="J334" i="62"/>
  <c r="J333" i="62"/>
  <c r="J332" i="62"/>
  <c r="J331" i="62"/>
  <c r="J330" i="62"/>
  <c r="J329" i="62"/>
  <c r="J328" i="62"/>
  <c r="J327" i="62"/>
  <c r="J326" i="62"/>
  <c r="J325" i="62"/>
  <c r="J324" i="62"/>
  <c r="J323" i="62"/>
  <c r="J322" i="62"/>
  <c r="J321" i="62"/>
  <c r="J320" i="62"/>
  <c r="J319" i="62"/>
  <c r="J318" i="62"/>
  <c r="J317" i="62"/>
  <c r="J316" i="62"/>
  <c r="J315" i="62"/>
  <c r="J314" i="62"/>
  <c r="J313" i="62"/>
  <c r="J312" i="62"/>
  <c r="J311" i="62"/>
  <c r="J310" i="62"/>
  <c r="J309" i="62"/>
  <c r="J308" i="62"/>
  <c r="J307" i="62"/>
  <c r="J306" i="62"/>
  <c r="J305" i="62"/>
  <c r="J304" i="62"/>
  <c r="J303" i="62"/>
  <c r="J302" i="62"/>
  <c r="J301" i="62"/>
  <c r="J300" i="62"/>
  <c r="J299" i="62"/>
  <c r="J298" i="62"/>
  <c r="J297" i="62"/>
  <c r="J296" i="62"/>
  <c r="J295" i="62"/>
  <c r="J294" i="62"/>
  <c r="J293" i="62"/>
  <c r="J292" i="62"/>
  <c r="J291" i="62"/>
  <c r="J290" i="62"/>
  <c r="J289" i="62"/>
  <c r="J288" i="62"/>
  <c r="J287" i="62"/>
  <c r="J286" i="62"/>
  <c r="J285" i="62"/>
  <c r="J284" i="62"/>
  <c r="J283" i="62"/>
  <c r="J282" i="62"/>
  <c r="J281" i="62"/>
  <c r="J280" i="62"/>
  <c r="J279" i="62"/>
  <c r="J278" i="62"/>
  <c r="J277" i="62"/>
  <c r="J276" i="62"/>
  <c r="J275" i="62"/>
  <c r="J274" i="62"/>
  <c r="J273" i="62"/>
  <c r="J272" i="62"/>
  <c r="J271" i="62"/>
  <c r="J270" i="62"/>
  <c r="J269" i="62"/>
  <c r="J268" i="62"/>
  <c r="J267" i="62"/>
  <c r="J266" i="62"/>
  <c r="J265" i="62"/>
  <c r="J264" i="62"/>
  <c r="J263" i="62"/>
  <c r="J262" i="62"/>
  <c r="J261" i="62"/>
  <c r="J260" i="62"/>
  <c r="J259" i="62"/>
  <c r="J258" i="62"/>
  <c r="J257" i="62"/>
  <c r="J256" i="62"/>
  <c r="J255" i="62"/>
  <c r="J254" i="62"/>
  <c r="J253" i="62"/>
  <c r="J252" i="62"/>
  <c r="J251" i="62"/>
  <c r="J250" i="62"/>
  <c r="J249" i="62"/>
  <c r="J248" i="62"/>
  <c r="J247" i="62"/>
  <c r="J246" i="62"/>
  <c r="J245" i="62"/>
  <c r="J244" i="62"/>
  <c r="J243" i="62"/>
  <c r="J242" i="62"/>
  <c r="J241" i="62"/>
  <c r="J240" i="62"/>
  <c r="J239" i="62"/>
  <c r="J238" i="62"/>
  <c r="J237" i="62"/>
  <c r="J236" i="62"/>
  <c r="J235" i="62"/>
  <c r="J234" i="62"/>
  <c r="J233" i="62"/>
  <c r="J232" i="62"/>
  <c r="J231" i="62"/>
  <c r="J230" i="62"/>
  <c r="J229" i="62"/>
  <c r="J228" i="62"/>
  <c r="J227" i="62"/>
  <c r="J226" i="62"/>
  <c r="J225" i="62"/>
  <c r="J224" i="62"/>
  <c r="J223" i="62"/>
  <c r="J222" i="62"/>
  <c r="J221" i="62"/>
  <c r="J220" i="62"/>
  <c r="J219" i="62"/>
  <c r="J218" i="62"/>
  <c r="J217" i="62"/>
  <c r="J216" i="62"/>
  <c r="J215" i="62"/>
  <c r="J214" i="62"/>
  <c r="J213" i="62"/>
  <c r="J212" i="62"/>
  <c r="J211" i="62"/>
  <c r="J210" i="62"/>
  <c r="J209" i="62"/>
  <c r="J208" i="62"/>
  <c r="J207" i="62"/>
  <c r="J206" i="62"/>
  <c r="J205" i="62"/>
  <c r="J204" i="62"/>
  <c r="J203" i="62"/>
  <c r="J202" i="62"/>
  <c r="J201" i="62"/>
  <c r="J200" i="62"/>
  <c r="J199" i="62"/>
  <c r="J198" i="62"/>
  <c r="J197" i="62"/>
  <c r="J196" i="62"/>
  <c r="J195" i="62"/>
  <c r="J194" i="62"/>
  <c r="J193" i="62"/>
  <c r="J192" i="62"/>
  <c r="J191" i="62"/>
  <c r="J190" i="62"/>
  <c r="J189" i="62"/>
  <c r="J188" i="62"/>
  <c r="J187" i="62"/>
  <c r="J186" i="62"/>
  <c r="J185" i="62"/>
  <c r="J184" i="62"/>
  <c r="J183" i="62"/>
  <c r="J182" i="62"/>
  <c r="J181" i="62"/>
  <c r="J180" i="62"/>
  <c r="J179" i="62"/>
  <c r="J178" i="62"/>
  <c r="J177" i="62"/>
  <c r="J176" i="62"/>
  <c r="J175" i="62"/>
  <c r="J174" i="62"/>
  <c r="J173" i="62"/>
  <c r="J172" i="62"/>
  <c r="J171" i="62"/>
  <c r="J170" i="62"/>
  <c r="J169" i="62"/>
  <c r="J168" i="62"/>
  <c r="J167" i="62"/>
  <c r="J166" i="62"/>
  <c r="J165" i="62"/>
  <c r="J164" i="62"/>
  <c r="J163" i="62"/>
  <c r="J162" i="62"/>
  <c r="J161" i="62"/>
  <c r="J160" i="62"/>
  <c r="J159" i="62"/>
  <c r="J158" i="62"/>
  <c r="J157" i="62"/>
  <c r="J156" i="62"/>
  <c r="J155" i="62"/>
  <c r="J154" i="62"/>
  <c r="J153" i="62"/>
  <c r="J152" i="62"/>
  <c r="J151" i="62"/>
  <c r="J150" i="62"/>
  <c r="J149" i="62"/>
  <c r="J148" i="62"/>
  <c r="J147" i="62"/>
  <c r="J146" i="62"/>
  <c r="J145" i="62"/>
  <c r="J144" i="62"/>
  <c r="J143" i="62"/>
  <c r="J142" i="62"/>
  <c r="J141" i="62"/>
  <c r="J140" i="62"/>
  <c r="J139" i="62"/>
  <c r="J138" i="62"/>
  <c r="J137" i="62"/>
  <c r="J136" i="62"/>
  <c r="J135" i="62"/>
  <c r="J134" i="62"/>
  <c r="J133" i="62"/>
  <c r="J132" i="62"/>
  <c r="J131" i="62"/>
  <c r="J130" i="62"/>
  <c r="J129" i="62"/>
  <c r="J128" i="62"/>
  <c r="J127" i="62"/>
  <c r="J126" i="62"/>
  <c r="J125" i="62"/>
  <c r="J124" i="62"/>
  <c r="J123" i="62"/>
  <c r="J122" i="62"/>
  <c r="J121" i="62"/>
  <c r="J120" i="62"/>
  <c r="J119" i="62"/>
  <c r="J118" i="62"/>
  <c r="J117" i="62"/>
  <c r="J116" i="62"/>
  <c r="J115" i="62"/>
  <c r="J114" i="62"/>
  <c r="J113" i="62"/>
  <c r="J112" i="62"/>
  <c r="J111" i="62"/>
  <c r="J110" i="62"/>
  <c r="J109" i="62"/>
  <c r="J108" i="62"/>
  <c r="J107" i="62"/>
  <c r="J106" i="62"/>
  <c r="J105" i="62"/>
  <c r="J104" i="62"/>
  <c r="J103" i="62"/>
  <c r="J102" i="62"/>
  <c r="J101" i="62"/>
  <c r="J100" i="62"/>
  <c r="J99" i="62"/>
  <c r="J98" i="62"/>
  <c r="J97" i="62"/>
  <c r="J96" i="62"/>
  <c r="J95" i="62"/>
  <c r="J94" i="62"/>
  <c r="J93" i="62"/>
  <c r="J92" i="62"/>
  <c r="J91" i="62"/>
  <c r="J90" i="62"/>
  <c r="J89" i="62"/>
  <c r="J88" i="62"/>
  <c r="J87" i="62"/>
  <c r="J86" i="62"/>
  <c r="J85" i="62"/>
  <c r="J84" i="62"/>
  <c r="J83" i="62"/>
  <c r="J82" i="62"/>
  <c r="J81" i="62"/>
  <c r="J80" i="62"/>
  <c r="J79" i="62"/>
  <c r="J78" i="62"/>
  <c r="J77" i="62"/>
  <c r="J76" i="62"/>
  <c r="J75" i="62"/>
  <c r="J74" i="62"/>
  <c r="J73" i="62"/>
  <c r="J72" i="62"/>
  <c r="J71" i="62"/>
  <c r="J70" i="62"/>
  <c r="J69" i="62"/>
  <c r="J68" i="62"/>
  <c r="J67" i="62"/>
  <c r="J66" i="62"/>
  <c r="J65" i="62"/>
  <c r="J64" i="62"/>
  <c r="J63" i="62"/>
  <c r="J62" i="62"/>
  <c r="J61" i="62"/>
  <c r="J60" i="62"/>
  <c r="J59" i="62"/>
  <c r="J58" i="62"/>
  <c r="J57" i="62"/>
  <c r="J56" i="62"/>
  <c r="J55" i="62"/>
  <c r="J54" i="62"/>
  <c r="J53" i="62"/>
  <c r="J52" i="62"/>
  <c r="J51" i="62"/>
  <c r="J50" i="62"/>
  <c r="J49" i="62"/>
  <c r="J48" i="62"/>
  <c r="J47" i="62"/>
  <c r="J46" i="62"/>
  <c r="J45" i="62"/>
  <c r="J44" i="62"/>
  <c r="J43" i="62"/>
  <c r="J42" i="62"/>
  <c r="J41" i="62"/>
  <c r="J40" i="62"/>
  <c r="J39" i="62"/>
  <c r="J38" i="62"/>
  <c r="J37" i="62"/>
  <c r="J36" i="62"/>
  <c r="J35" i="62"/>
  <c r="J34" i="62"/>
  <c r="J33" i="62"/>
  <c r="J32" i="62"/>
  <c r="J31" i="62"/>
  <c r="J30" i="62"/>
  <c r="J29" i="62"/>
  <c r="J23" i="62"/>
  <c r="J22" i="62"/>
  <c r="J21" i="62"/>
  <c r="J20" i="62"/>
  <c r="J17" i="62"/>
  <c r="J16" i="62"/>
  <c r="J15" i="62"/>
  <c r="J14" i="62"/>
  <c r="J12" i="62"/>
  <c r="J11" i="62"/>
  <c r="J6" i="62"/>
  <c r="J5" i="62"/>
  <c r="J4" i="62"/>
  <c r="J16" i="61" l="1"/>
  <c r="J4" i="61" l="1"/>
  <c r="S1073" i="13"/>
  <c r="S132" i="13"/>
  <c r="S1063" i="13"/>
  <c r="S1067" i="13"/>
  <c r="S1030" i="13"/>
  <c r="S1029" i="13"/>
  <c r="S1028" i="13"/>
  <c r="S931" i="13"/>
  <c r="S936" i="13"/>
  <c r="S1013" i="13"/>
  <c r="S869" i="13"/>
  <c r="S1026" i="13"/>
  <c r="T1073" i="13" l="1"/>
  <c r="J51" i="60"/>
  <c r="J452" i="61"/>
  <c r="J451" i="61"/>
  <c r="J450" i="61"/>
  <c r="J449" i="61"/>
  <c r="J448" i="61"/>
  <c r="J447" i="61"/>
  <c r="J446" i="61"/>
  <c r="J445" i="61"/>
  <c r="J444" i="61"/>
  <c r="J443" i="61"/>
  <c r="J442" i="61"/>
  <c r="J441" i="61"/>
  <c r="J440" i="61"/>
  <c r="J439" i="61"/>
  <c r="J438" i="61"/>
  <c r="J437" i="61"/>
  <c r="J436" i="61"/>
  <c r="J435" i="61"/>
  <c r="J434" i="61"/>
  <c r="J433" i="61"/>
  <c r="J432" i="61"/>
  <c r="J431" i="61"/>
  <c r="J430" i="61"/>
  <c r="J429" i="61"/>
  <c r="J428" i="61"/>
  <c r="J427" i="61"/>
  <c r="J426" i="61"/>
  <c r="J425" i="61"/>
  <c r="J424" i="61"/>
  <c r="J423" i="61"/>
  <c r="J422" i="61"/>
  <c r="J421" i="61"/>
  <c r="J420" i="61"/>
  <c r="J419" i="61"/>
  <c r="J418" i="61"/>
  <c r="J417" i="61"/>
  <c r="J416" i="61"/>
  <c r="J415" i="61"/>
  <c r="J414" i="61"/>
  <c r="J413" i="61"/>
  <c r="J412" i="61"/>
  <c r="J411" i="61"/>
  <c r="J410" i="61"/>
  <c r="J409" i="61"/>
  <c r="J408" i="61"/>
  <c r="J407" i="61"/>
  <c r="J406" i="61"/>
  <c r="J405" i="61"/>
  <c r="J404" i="61"/>
  <c r="J403" i="61"/>
  <c r="J402" i="61"/>
  <c r="J401" i="61"/>
  <c r="J400" i="61"/>
  <c r="J399" i="61"/>
  <c r="J398" i="61"/>
  <c r="J397" i="61"/>
  <c r="J396" i="61"/>
  <c r="J395" i="61"/>
  <c r="J394" i="61"/>
  <c r="J393" i="61"/>
  <c r="J392" i="61"/>
  <c r="J391" i="61"/>
  <c r="J390" i="61"/>
  <c r="J389" i="61"/>
  <c r="J388" i="61"/>
  <c r="J387" i="61"/>
  <c r="J386" i="61"/>
  <c r="J385" i="61"/>
  <c r="J384" i="61"/>
  <c r="J383" i="61"/>
  <c r="J382" i="61"/>
  <c r="J381" i="61"/>
  <c r="J380" i="61"/>
  <c r="J379" i="61"/>
  <c r="J378" i="61"/>
  <c r="J377" i="61"/>
  <c r="J376" i="61"/>
  <c r="J375" i="61"/>
  <c r="J374" i="61"/>
  <c r="J373" i="61"/>
  <c r="J372" i="61"/>
  <c r="J371" i="61"/>
  <c r="J370" i="61"/>
  <c r="J369" i="61"/>
  <c r="J368" i="61"/>
  <c r="J367" i="61"/>
  <c r="J366" i="61"/>
  <c r="J365" i="61"/>
  <c r="J364" i="61"/>
  <c r="J363" i="61"/>
  <c r="J362" i="61"/>
  <c r="J361" i="61"/>
  <c r="J360" i="61"/>
  <c r="J359" i="61"/>
  <c r="J358" i="61"/>
  <c r="J357" i="61"/>
  <c r="J356" i="61"/>
  <c r="J355" i="61"/>
  <c r="J354" i="61"/>
  <c r="J353" i="61"/>
  <c r="J352" i="61"/>
  <c r="J351" i="61"/>
  <c r="J350" i="61"/>
  <c r="J349" i="61"/>
  <c r="J348" i="61"/>
  <c r="J347" i="61"/>
  <c r="J346" i="61"/>
  <c r="J345" i="61"/>
  <c r="J344" i="61"/>
  <c r="J343" i="61"/>
  <c r="J342" i="61"/>
  <c r="J341" i="61"/>
  <c r="J340" i="61"/>
  <c r="J339" i="61"/>
  <c r="J338" i="61"/>
  <c r="J337" i="61"/>
  <c r="J336" i="61"/>
  <c r="J335" i="61"/>
  <c r="J334" i="61"/>
  <c r="J333" i="61"/>
  <c r="J332" i="61"/>
  <c r="J331" i="61"/>
  <c r="J330" i="61"/>
  <c r="J329" i="61"/>
  <c r="J328" i="61"/>
  <c r="J327" i="61"/>
  <c r="J326" i="61"/>
  <c r="J325" i="61"/>
  <c r="J324" i="61"/>
  <c r="J323" i="61"/>
  <c r="J322" i="61"/>
  <c r="J321" i="61"/>
  <c r="J320" i="61"/>
  <c r="J319" i="61"/>
  <c r="J318" i="61"/>
  <c r="J317" i="61"/>
  <c r="J316" i="61"/>
  <c r="J315" i="61"/>
  <c r="J314" i="61"/>
  <c r="J313" i="61"/>
  <c r="J312" i="61"/>
  <c r="J311" i="61"/>
  <c r="J310" i="61"/>
  <c r="J309" i="61"/>
  <c r="J308" i="61"/>
  <c r="J307" i="61"/>
  <c r="J306" i="61"/>
  <c r="J305" i="61"/>
  <c r="J304" i="61"/>
  <c r="J303" i="61"/>
  <c r="J302" i="61"/>
  <c r="J301" i="61"/>
  <c r="J300" i="61"/>
  <c r="J299" i="61"/>
  <c r="J298" i="61"/>
  <c r="J297" i="61"/>
  <c r="J296" i="61"/>
  <c r="J295" i="61"/>
  <c r="J294" i="61"/>
  <c r="J293" i="61"/>
  <c r="J292" i="61"/>
  <c r="J291" i="61"/>
  <c r="J290" i="61"/>
  <c r="J289" i="61"/>
  <c r="J288" i="61"/>
  <c r="J287" i="61"/>
  <c r="J286" i="61"/>
  <c r="J285" i="61"/>
  <c r="J284" i="61"/>
  <c r="J283" i="61"/>
  <c r="J282" i="61"/>
  <c r="J281" i="61"/>
  <c r="J280" i="61"/>
  <c r="J279" i="61"/>
  <c r="J278" i="61"/>
  <c r="J277" i="61"/>
  <c r="J276" i="61"/>
  <c r="J275" i="61"/>
  <c r="J274" i="61"/>
  <c r="J273" i="61"/>
  <c r="J272" i="61"/>
  <c r="J271" i="61"/>
  <c r="J270" i="61"/>
  <c r="J269" i="61"/>
  <c r="J268" i="61"/>
  <c r="J267" i="61"/>
  <c r="J266" i="61"/>
  <c r="J265" i="61"/>
  <c r="J264" i="61"/>
  <c r="J263" i="61"/>
  <c r="J262" i="61"/>
  <c r="J261" i="61"/>
  <c r="J260" i="61"/>
  <c r="J259" i="61"/>
  <c r="J258" i="61"/>
  <c r="J257" i="61"/>
  <c r="J256" i="61"/>
  <c r="J255" i="61"/>
  <c r="J254" i="61"/>
  <c r="J253" i="61"/>
  <c r="J252" i="61"/>
  <c r="J251" i="61"/>
  <c r="J250" i="61"/>
  <c r="J249" i="61"/>
  <c r="J248" i="61"/>
  <c r="J247" i="61"/>
  <c r="J246" i="61"/>
  <c r="J245" i="61"/>
  <c r="J244" i="61"/>
  <c r="J243" i="61"/>
  <c r="J242" i="61"/>
  <c r="J241" i="61"/>
  <c r="J240" i="61"/>
  <c r="J239" i="61"/>
  <c r="J238" i="61"/>
  <c r="J237" i="61"/>
  <c r="J236" i="61"/>
  <c r="J235" i="61"/>
  <c r="J234" i="61"/>
  <c r="J233" i="61"/>
  <c r="J232" i="61"/>
  <c r="J231" i="61"/>
  <c r="J230" i="61"/>
  <c r="J229" i="61"/>
  <c r="J228" i="61"/>
  <c r="J227" i="61"/>
  <c r="J226" i="61"/>
  <c r="J225" i="61"/>
  <c r="J224" i="61"/>
  <c r="J223" i="61"/>
  <c r="J222" i="61"/>
  <c r="J221" i="61"/>
  <c r="J220" i="61"/>
  <c r="J219" i="61"/>
  <c r="J218" i="61"/>
  <c r="J217" i="61"/>
  <c r="J216" i="61"/>
  <c r="J215" i="61"/>
  <c r="J214" i="61"/>
  <c r="J213" i="61"/>
  <c r="J212" i="61"/>
  <c r="J211" i="61"/>
  <c r="J210" i="61"/>
  <c r="J209" i="61"/>
  <c r="J208" i="61"/>
  <c r="J207" i="61"/>
  <c r="J206" i="61"/>
  <c r="J205" i="61"/>
  <c r="J204" i="61"/>
  <c r="J203" i="61"/>
  <c r="J202" i="61"/>
  <c r="J201" i="61"/>
  <c r="J200" i="61"/>
  <c r="J199" i="61"/>
  <c r="J198" i="61"/>
  <c r="J197" i="61"/>
  <c r="J196" i="61"/>
  <c r="J195" i="61"/>
  <c r="J194" i="61"/>
  <c r="J193" i="61"/>
  <c r="J192" i="61"/>
  <c r="J191" i="61"/>
  <c r="J190" i="61"/>
  <c r="J189" i="61"/>
  <c r="J188" i="61"/>
  <c r="J187" i="61"/>
  <c r="J186" i="61"/>
  <c r="J185" i="61"/>
  <c r="J184" i="61"/>
  <c r="J183" i="61"/>
  <c r="J182" i="61"/>
  <c r="J181" i="61"/>
  <c r="J180" i="61"/>
  <c r="J179" i="61"/>
  <c r="J178" i="61"/>
  <c r="J177" i="61"/>
  <c r="J176" i="61"/>
  <c r="J175" i="61"/>
  <c r="J174" i="61"/>
  <c r="J173" i="61"/>
  <c r="J172" i="61"/>
  <c r="J171" i="61"/>
  <c r="J170" i="61"/>
  <c r="J169" i="61"/>
  <c r="J168" i="61"/>
  <c r="J167" i="61"/>
  <c r="J166" i="61"/>
  <c r="J165" i="61"/>
  <c r="J164" i="61"/>
  <c r="J163" i="61"/>
  <c r="J162" i="61"/>
  <c r="J161" i="61"/>
  <c r="J160" i="61"/>
  <c r="J159" i="61"/>
  <c r="J158" i="61"/>
  <c r="J157" i="61"/>
  <c r="J156" i="61"/>
  <c r="J155" i="61"/>
  <c r="J154" i="61"/>
  <c r="J153" i="61"/>
  <c r="J152" i="61"/>
  <c r="J151" i="61"/>
  <c r="J150" i="61"/>
  <c r="J149" i="61"/>
  <c r="J148" i="61"/>
  <c r="J147" i="61"/>
  <c r="J146" i="61"/>
  <c r="J145" i="61"/>
  <c r="J144" i="61"/>
  <c r="J143" i="61"/>
  <c r="J142" i="61"/>
  <c r="J141" i="61"/>
  <c r="J140" i="61"/>
  <c r="J139" i="61"/>
  <c r="J138" i="61"/>
  <c r="J137" i="61"/>
  <c r="J136" i="61"/>
  <c r="J135" i="61"/>
  <c r="J134" i="61"/>
  <c r="J133" i="61"/>
  <c r="J132" i="61"/>
  <c r="J131" i="61"/>
  <c r="J130" i="61"/>
  <c r="J129" i="61"/>
  <c r="J128" i="61"/>
  <c r="J127" i="61"/>
  <c r="J126" i="61"/>
  <c r="J125" i="61"/>
  <c r="J124" i="61"/>
  <c r="J123" i="61"/>
  <c r="J122" i="61"/>
  <c r="J121" i="61"/>
  <c r="J120" i="61"/>
  <c r="J119" i="61"/>
  <c r="J118" i="61"/>
  <c r="J117" i="61"/>
  <c r="J116" i="61"/>
  <c r="J115" i="61"/>
  <c r="J114" i="61"/>
  <c r="J113" i="61"/>
  <c r="J112" i="61"/>
  <c r="J111" i="61"/>
  <c r="J110" i="61"/>
  <c r="J109" i="61"/>
  <c r="J108" i="61"/>
  <c r="J107" i="61"/>
  <c r="J106" i="61"/>
  <c r="J105" i="61"/>
  <c r="J104" i="61"/>
  <c r="J103" i="61"/>
  <c r="J102" i="61"/>
  <c r="J101" i="61"/>
  <c r="J100" i="61"/>
  <c r="J99" i="61"/>
  <c r="J98" i="61"/>
  <c r="J97" i="61"/>
  <c r="J96" i="61"/>
  <c r="J95" i="61"/>
  <c r="J94" i="61"/>
  <c r="J93" i="61"/>
  <c r="J92" i="61"/>
  <c r="J91" i="61"/>
  <c r="J90" i="61"/>
  <c r="J89" i="61"/>
  <c r="J88" i="61"/>
  <c r="J87" i="61"/>
  <c r="J86" i="61"/>
  <c r="J85" i="61"/>
  <c r="J84" i="61"/>
  <c r="J83" i="61"/>
  <c r="J82" i="61"/>
  <c r="J81" i="61"/>
  <c r="J80" i="61"/>
  <c r="J79" i="61"/>
  <c r="J78" i="61"/>
  <c r="J77" i="61"/>
  <c r="J76" i="61"/>
  <c r="J75" i="61"/>
  <c r="J74" i="61"/>
  <c r="J73" i="61"/>
  <c r="J72" i="61"/>
  <c r="J71" i="61"/>
  <c r="J70" i="61"/>
  <c r="J69" i="61"/>
  <c r="J68" i="61"/>
  <c r="J67" i="61"/>
  <c r="J66" i="61"/>
  <c r="J65" i="61"/>
  <c r="J64" i="61"/>
  <c r="J63" i="61"/>
  <c r="J62" i="61"/>
  <c r="J61" i="61"/>
  <c r="J60" i="61"/>
  <c r="J59" i="61"/>
  <c r="J58" i="61"/>
  <c r="J57" i="61"/>
  <c r="J56" i="61"/>
  <c r="J55" i="61"/>
  <c r="J54" i="61"/>
  <c r="J53" i="61"/>
  <c r="J52" i="61"/>
  <c r="J51" i="61"/>
  <c r="J50" i="61"/>
  <c r="J49" i="61"/>
  <c r="J48" i="61"/>
  <c r="J47" i="61"/>
  <c r="J46" i="61"/>
  <c r="J45" i="61"/>
  <c r="J44" i="61"/>
  <c r="J43" i="61"/>
  <c r="J42" i="61"/>
  <c r="J41" i="61"/>
  <c r="J40" i="61"/>
  <c r="J39" i="61"/>
  <c r="J38" i="61"/>
  <c r="J37" i="61"/>
  <c r="J36" i="61"/>
  <c r="J35" i="61"/>
  <c r="J34" i="61"/>
  <c r="J33" i="61"/>
  <c r="J30" i="61"/>
  <c r="J29" i="61"/>
  <c r="J27" i="61"/>
  <c r="J26" i="61"/>
  <c r="J25" i="61"/>
  <c r="J24" i="61"/>
  <c r="J23" i="61"/>
  <c r="J22" i="61"/>
  <c r="J21" i="61"/>
  <c r="J20" i="61"/>
  <c r="J19" i="61"/>
  <c r="J18" i="61"/>
  <c r="J17" i="61"/>
  <c r="J15" i="61"/>
  <c r="J14" i="61"/>
  <c r="J13" i="61"/>
  <c r="J12" i="61"/>
  <c r="J11" i="61"/>
  <c r="J10" i="61"/>
  <c r="J9" i="61"/>
  <c r="J8" i="61"/>
  <c r="J7" i="61"/>
  <c r="J6" i="61"/>
  <c r="J5" i="61"/>
  <c r="J46" i="60" l="1"/>
  <c r="J47" i="60"/>
  <c r="J48" i="60"/>
  <c r="J45" i="60"/>
  <c r="J44" i="60"/>
  <c r="J55" i="60"/>
  <c r="J49" i="60"/>
  <c r="J50" i="60"/>
  <c r="J52" i="60"/>
  <c r="J53" i="60"/>
  <c r="J54" i="60"/>
  <c r="A1064" i="13" l="1"/>
  <c r="A1063" i="13"/>
  <c r="A1062" i="13"/>
  <c r="A1065" i="13"/>
  <c r="J43" i="60" l="1"/>
  <c r="T1063" i="13" l="1"/>
  <c r="A1040" i="13" l="1"/>
  <c r="J34" i="60" l="1"/>
  <c r="J33" i="60"/>
  <c r="J13" i="60" l="1"/>
  <c r="A140" i="13"/>
  <c r="J8" i="60" l="1"/>
  <c r="S969" i="13"/>
  <c r="S470" i="13"/>
  <c r="S1019" i="13"/>
  <c r="J6" i="60" l="1"/>
  <c r="J5" i="60" l="1"/>
  <c r="J4" i="60"/>
  <c r="J42" i="60"/>
  <c r="J41" i="60"/>
  <c r="J40" i="60"/>
  <c r="J39" i="60"/>
  <c r="J38" i="60"/>
  <c r="J36" i="60"/>
  <c r="J35" i="60"/>
  <c r="J32" i="60"/>
  <c r="J31" i="60"/>
  <c r="J30" i="60"/>
  <c r="J29" i="60"/>
  <c r="J28" i="60"/>
  <c r="J27" i="60"/>
  <c r="J26" i="60"/>
  <c r="J25" i="60"/>
  <c r="J24" i="60"/>
  <c r="J23" i="60"/>
  <c r="J22" i="60"/>
  <c r="J21" i="60"/>
  <c r="J20" i="60"/>
  <c r="J19" i="60"/>
  <c r="J18" i="60"/>
  <c r="J17" i="60"/>
  <c r="J16" i="60"/>
  <c r="J15" i="60"/>
  <c r="J14" i="60"/>
  <c r="J12" i="60"/>
  <c r="J11" i="60"/>
  <c r="J10" i="60"/>
  <c r="J9" i="60"/>
  <c r="J7" i="60"/>
  <c r="J47" i="59" l="1"/>
  <c r="J48" i="59"/>
  <c r="J49" i="59"/>
  <c r="J51" i="59"/>
  <c r="J52" i="59"/>
  <c r="J53" i="59"/>
  <c r="J54" i="59"/>
  <c r="J42" i="59" l="1"/>
  <c r="J43" i="59" l="1"/>
  <c r="J40" i="59" l="1"/>
  <c r="S777" i="13" l="1"/>
  <c r="S123" i="13"/>
  <c r="S477" i="13"/>
  <c r="S981" i="13" l="1"/>
  <c r="J21" i="59"/>
  <c r="S968" i="13" l="1"/>
  <c r="S967" i="13"/>
  <c r="J18" i="59" l="1"/>
  <c r="J16" i="59" l="1"/>
  <c r="J15" i="59"/>
  <c r="J14" i="59"/>
  <c r="J13" i="59" l="1"/>
  <c r="J11" i="59" l="1"/>
  <c r="A964" i="13" l="1"/>
  <c r="A965" i="13"/>
  <c r="A966" i="13"/>
  <c r="A967" i="13"/>
  <c r="A968" i="13"/>
  <c r="A969" i="13"/>
  <c r="A970" i="13"/>
  <c r="A971" i="13"/>
  <c r="A972" i="13"/>
  <c r="A973" i="13"/>
  <c r="A974" i="13"/>
  <c r="A975" i="13"/>
  <c r="A976" i="13"/>
  <c r="A977" i="13"/>
  <c r="A978" i="13"/>
  <c r="A979" i="13"/>
  <c r="A980" i="13"/>
  <c r="A981" i="13"/>
  <c r="A982" i="13"/>
  <c r="A983" i="13"/>
  <c r="A984" i="13"/>
  <c r="A985" i="13"/>
  <c r="A986" i="13"/>
  <c r="A987" i="13"/>
  <c r="A988" i="13"/>
  <c r="A989" i="13"/>
  <c r="A990" i="13"/>
  <c r="A991" i="13"/>
  <c r="A992" i="13"/>
  <c r="A993" i="13"/>
  <c r="A994" i="13"/>
  <c r="A995" i="13"/>
  <c r="A996" i="13"/>
  <c r="A997" i="13"/>
  <c r="A998" i="13"/>
  <c r="A999" i="13"/>
  <c r="A1000" i="13"/>
  <c r="A1001" i="13"/>
  <c r="A1002" i="13"/>
  <c r="A1003" i="13"/>
  <c r="A1004" i="13"/>
  <c r="A1005" i="13"/>
  <c r="A1006" i="13"/>
  <c r="A1007" i="13"/>
  <c r="A1008" i="13"/>
  <c r="A1009" i="13"/>
  <c r="A1010" i="13"/>
  <c r="A1011" i="13"/>
  <c r="A1012" i="13"/>
  <c r="A1013" i="13"/>
  <c r="A1014" i="13"/>
  <c r="A1015" i="13"/>
  <c r="A1016" i="13"/>
  <c r="A1017" i="13"/>
  <c r="A1018" i="13"/>
  <c r="A1019" i="13"/>
  <c r="A1020" i="13"/>
  <c r="A1021" i="13"/>
  <c r="A1022" i="13"/>
  <c r="A1023" i="13"/>
  <c r="A1024" i="13"/>
  <c r="A1025" i="13"/>
  <c r="A1026" i="13"/>
  <c r="A1027" i="13"/>
  <c r="A1028" i="13"/>
  <c r="A1029" i="13"/>
  <c r="A1030" i="13"/>
  <c r="A1031" i="13"/>
  <c r="A1032" i="13"/>
  <c r="A1033" i="13"/>
  <c r="A1034" i="13"/>
  <c r="A1035" i="13"/>
  <c r="A1036" i="13"/>
  <c r="A1037" i="13"/>
  <c r="A1038" i="13"/>
  <c r="A1039" i="13"/>
  <c r="A1041" i="13"/>
  <c r="A1042" i="13"/>
  <c r="A1043" i="13"/>
  <c r="A1044" i="13"/>
  <c r="A1045" i="13"/>
  <c r="A1046" i="13"/>
  <c r="A1047" i="13"/>
  <c r="A1048" i="13"/>
  <c r="A1049" i="13"/>
  <c r="A1050" i="13"/>
  <c r="A1051" i="13"/>
  <c r="A1052" i="13"/>
  <c r="A1053" i="13"/>
  <c r="A1054" i="13"/>
  <c r="A1055" i="13"/>
  <c r="A1056" i="13"/>
  <c r="A1057" i="13"/>
  <c r="A1058" i="13"/>
  <c r="A1059" i="13"/>
  <c r="A1060" i="13"/>
  <c r="A1061" i="13"/>
  <c r="A1066" i="13"/>
  <c r="A1067" i="13"/>
  <c r="A1068" i="13"/>
  <c r="A1069" i="13"/>
  <c r="A1070" i="13"/>
  <c r="A1071" i="13"/>
  <c r="A1072" i="13"/>
  <c r="A1073" i="13"/>
  <c r="A1074" i="13"/>
  <c r="A1075" i="13"/>
  <c r="A1076" i="13"/>
  <c r="A1077" i="13"/>
  <c r="A1078" i="13"/>
  <c r="A1079" i="13"/>
  <c r="A1080" i="13"/>
  <c r="A1081" i="13"/>
  <c r="A1082" i="13"/>
  <c r="A1083" i="13"/>
  <c r="A1084" i="13"/>
  <c r="A1085" i="13"/>
  <c r="A1086" i="13"/>
  <c r="A1087" i="13"/>
  <c r="A1088" i="13"/>
  <c r="A1089" i="13"/>
  <c r="A1090" i="13"/>
  <c r="A1091" i="13"/>
  <c r="A1092" i="13"/>
  <c r="A1093" i="13"/>
  <c r="A1094" i="13"/>
  <c r="A1095" i="13"/>
  <c r="A1096" i="13"/>
  <c r="A1097" i="13"/>
  <c r="A1098" i="13"/>
  <c r="A1099" i="13"/>
  <c r="A1100" i="13"/>
  <c r="A1101" i="13"/>
  <c r="A1102" i="13"/>
  <c r="A1103" i="13"/>
  <c r="A1104" i="13"/>
  <c r="A1105" i="13"/>
  <c r="A1106" i="13"/>
  <c r="A1107" i="13"/>
  <c r="A1108" i="13"/>
  <c r="A1109" i="13"/>
  <c r="A1110" i="13"/>
  <c r="A1111" i="13"/>
  <c r="A1112" i="13"/>
  <c r="A1113" i="13"/>
  <c r="A1114" i="13"/>
  <c r="A1115" i="13"/>
  <c r="A1116" i="13"/>
  <c r="A1117" i="13"/>
  <c r="A1118" i="13"/>
  <c r="A1119" i="13"/>
  <c r="A1120" i="13"/>
  <c r="A1121" i="13"/>
  <c r="A1122" i="13"/>
  <c r="A1123" i="13"/>
  <c r="A1124" i="13"/>
  <c r="A1125" i="13"/>
  <c r="A1126" i="13"/>
  <c r="A1127" i="13"/>
  <c r="A1128" i="13"/>
  <c r="A1129" i="13"/>
  <c r="A1130" i="13"/>
  <c r="A1131" i="13"/>
  <c r="A1132" i="13"/>
  <c r="A1133" i="13"/>
  <c r="A1134" i="13"/>
  <c r="A1135" i="13"/>
  <c r="A1136" i="13"/>
  <c r="A1137" i="13"/>
  <c r="A1138" i="13"/>
  <c r="A1139" i="13"/>
  <c r="A1140" i="13"/>
  <c r="A1141" i="13"/>
  <c r="A1142" i="13"/>
  <c r="A1143" i="13"/>
  <c r="A1144" i="13"/>
  <c r="A1145" i="13"/>
  <c r="A1146" i="13"/>
  <c r="A1147" i="13"/>
  <c r="A1148" i="13"/>
  <c r="A1149" i="13"/>
  <c r="A1150" i="13"/>
  <c r="A1151" i="13"/>
  <c r="A1152" i="13"/>
  <c r="A1153" i="13"/>
  <c r="A1154" i="13"/>
  <c r="A1155" i="13"/>
  <c r="A1156" i="13"/>
  <c r="A1157" i="13"/>
  <c r="A1158" i="13"/>
  <c r="A1159" i="13"/>
  <c r="A1160" i="13"/>
  <c r="A1161" i="13"/>
  <c r="A1162" i="13"/>
  <c r="A1163" i="13"/>
  <c r="A1164" i="13"/>
  <c r="A1165" i="13"/>
  <c r="A1166" i="13"/>
  <c r="A1167" i="13"/>
  <c r="A1168" i="13"/>
  <c r="A1169" i="13"/>
  <c r="A1170" i="13"/>
  <c r="A1171" i="13"/>
  <c r="A1172" i="13"/>
  <c r="A1173" i="13"/>
  <c r="A1174" i="13"/>
  <c r="A1175" i="13"/>
  <c r="A1176" i="13"/>
  <c r="A1177" i="13"/>
  <c r="A1178" i="13"/>
  <c r="A1179" i="13"/>
  <c r="A1180" i="13"/>
  <c r="A1181" i="13"/>
  <c r="A1182" i="13"/>
  <c r="A1183" i="13"/>
  <c r="A1184" i="13"/>
  <c r="A1185" i="13"/>
  <c r="A1186" i="13"/>
  <c r="A1187" i="13"/>
  <c r="A1188" i="13"/>
  <c r="A1189" i="13"/>
  <c r="A1190" i="13"/>
  <c r="A1191" i="13"/>
  <c r="A1192" i="13"/>
  <c r="A1193" i="13"/>
  <c r="A1194" i="13"/>
  <c r="A1195" i="13"/>
  <c r="A1196" i="13"/>
  <c r="A1197" i="13"/>
  <c r="A1198" i="13"/>
  <c r="A1199" i="13"/>
  <c r="A1200" i="13"/>
  <c r="A1201" i="13"/>
  <c r="A1202" i="13"/>
  <c r="A1203" i="13"/>
  <c r="A1204" i="13"/>
  <c r="A1205" i="13"/>
  <c r="A1206" i="13"/>
  <c r="A1207" i="13"/>
  <c r="A1208" i="13"/>
  <c r="A1209" i="13"/>
  <c r="A1210" i="13"/>
  <c r="A1211" i="13"/>
  <c r="A1212" i="13"/>
  <c r="A1213" i="13"/>
  <c r="A1214" i="13"/>
  <c r="A1215" i="13"/>
  <c r="A1216" i="13"/>
  <c r="A1217" i="13"/>
  <c r="A1218" i="13"/>
  <c r="A1219" i="13"/>
  <c r="A1220" i="13"/>
  <c r="A1221" i="13"/>
  <c r="A1222" i="13"/>
  <c r="A1223" i="13"/>
  <c r="A1224" i="13"/>
  <c r="A1225" i="13"/>
  <c r="A1226" i="13"/>
  <c r="A1227" i="13"/>
  <c r="A1228" i="13"/>
  <c r="A1229" i="13"/>
  <c r="A1230" i="13"/>
  <c r="A1231" i="13"/>
  <c r="A1232" i="13"/>
  <c r="A1233" i="13"/>
  <c r="A1234" i="13"/>
  <c r="A1235" i="13"/>
  <c r="A1236" i="13"/>
  <c r="A1237" i="13"/>
  <c r="A1238" i="13"/>
  <c r="A1239" i="13"/>
  <c r="A1240" i="13"/>
  <c r="A1241" i="13"/>
  <c r="A1242" i="13"/>
  <c r="A1243" i="13"/>
  <c r="A1244" i="13"/>
  <c r="A1245" i="13"/>
  <c r="A1246" i="13"/>
  <c r="A1247" i="13"/>
  <c r="A1248" i="13"/>
  <c r="A1249" i="13"/>
  <c r="A1250" i="13"/>
  <c r="A1251" i="13"/>
  <c r="A1252" i="13"/>
  <c r="A1253" i="13"/>
  <c r="A1254" i="13"/>
  <c r="A1255" i="13"/>
  <c r="A1256" i="13"/>
  <c r="A1257" i="13"/>
  <c r="A1258" i="13"/>
  <c r="A1259" i="13"/>
  <c r="A1260" i="13"/>
  <c r="A1261" i="13"/>
  <c r="A1262" i="13"/>
  <c r="A1263" i="13"/>
  <c r="A1264" i="13"/>
  <c r="A1265" i="13"/>
  <c r="A1266" i="13"/>
  <c r="A1267" i="13"/>
  <c r="A1268" i="13"/>
  <c r="A1269" i="13"/>
  <c r="A1270" i="13"/>
  <c r="A1271" i="13"/>
  <c r="A1272" i="13"/>
  <c r="A1273" i="13"/>
  <c r="A1274" i="13"/>
  <c r="A1275" i="13"/>
  <c r="A1276" i="13"/>
  <c r="A1277" i="13"/>
  <c r="A1278" i="13"/>
  <c r="A1279" i="13"/>
  <c r="A1280" i="13"/>
  <c r="A1281" i="13"/>
  <c r="A1282" i="13"/>
  <c r="A1283" i="13"/>
  <c r="A1284" i="13"/>
  <c r="A1285" i="13"/>
  <c r="A1286" i="13"/>
  <c r="A1287" i="13"/>
  <c r="A1288" i="13"/>
  <c r="A1289" i="13"/>
  <c r="A1290" i="13"/>
  <c r="A1291" i="13"/>
  <c r="A1292" i="13"/>
  <c r="A1293" i="13"/>
  <c r="A1294" i="13"/>
  <c r="A1295" i="13"/>
  <c r="A1296" i="13"/>
  <c r="A1297" i="13"/>
  <c r="A1298" i="13"/>
  <c r="A1299" i="13"/>
  <c r="A1300" i="13"/>
  <c r="A1301" i="13"/>
  <c r="A1302" i="13"/>
  <c r="A1303" i="13"/>
  <c r="A1304" i="13"/>
  <c r="A1305" i="13"/>
  <c r="A1306" i="13"/>
  <c r="A1307" i="13"/>
  <c r="A1308" i="13"/>
  <c r="A1309" i="13"/>
  <c r="A1310" i="13"/>
  <c r="A1311" i="13"/>
  <c r="A1312" i="13"/>
  <c r="A1313" i="13"/>
  <c r="A1314" i="13"/>
  <c r="A1315" i="13"/>
  <c r="A1316" i="13"/>
  <c r="A1317" i="13"/>
  <c r="A1318" i="13"/>
  <c r="A1319" i="13"/>
  <c r="A1320" i="13"/>
  <c r="A1321" i="13"/>
  <c r="A1322" i="13"/>
  <c r="A1323" i="13"/>
  <c r="A1324" i="13"/>
  <c r="A1325" i="13"/>
  <c r="A1326" i="13"/>
  <c r="A1327" i="13"/>
  <c r="A1328" i="13"/>
  <c r="A1329" i="13"/>
  <c r="A1330" i="13"/>
  <c r="A1331" i="13"/>
  <c r="A1332" i="13"/>
  <c r="A1333" i="13"/>
  <c r="A1334" i="13"/>
  <c r="A1335" i="13"/>
  <c r="A1336" i="13"/>
  <c r="A1337" i="13"/>
  <c r="A1338" i="13"/>
  <c r="A1339" i="13"/>
  <c r="A1340" i="13"/>
  <c r="A1341" i="13"/>
  <c r="A1342" i="13"/>
  <c r="A1343" i="13"/>
  <c r="A1344" i="13"/>
  <c r="A1345" i="13"/>
  <c r="A1346" i="13"/>
  <c r="A1347" i="13"/>
  <c r="A1348" i="13"/>
  <c r="A1349" i="13"/>
  <c r="A1350" i="13"/>
  <c r="A1351" i="13"/>
  <c r="A1352" i="13"/>
  <c r="A1353" i="13"/>
  <c r="A1354" i="13"/>
  <c r="A1355" i="13"/>
  <c r="A1356" i="13"/>
  <c r="A1357" i="13"/>
  <c r="A1358" i="13"/>
  <c r="A1359" i="13"/>
  <c r="A1360" i="13"/>
  <c r="A1361" i="13"/>
  <c r="A1362" i="13"/>
  <c r="A1363" i="13"/>
  <c r="A1364" i="13"/>
  <c r="A1365" i="13"/>
  <c r="A1366" i="13"/>
  <c r="A1367" i="13"/>
  <c r="A1368" i="13"/>
  <c r="A1369" i="13"/>
  <c r="A1370" i="13"/>
  <c r="A1371" i="13"/>
  <c r="A1372" i="13"/>
  <c r="A1373" i="13"/>
  <c r="A1374" i="13"/>
  <c r="A1375" i="13"/>
  <c r="A1376" i="13"/>
  <c r="A1377" i="13"/>
  <c r="A1378" i="13"/>
  <c r="A1379" i="13"/>
  <c r="A1380" i="13"/>
  <c r="A1381" i="13"/>
  <c r="A1382" i="13"/>
  <c r="A1383" i="13"/>
  <c r="A1384" i="13"/>
  <c r="A1385" i="13"/>
  <c r="A1386" i="13"/>
  <c r="A1387" i="13"/>
  <c r="A1388" i="13"/>
  <c r="A1389" i="13"/>
  <c r="A1390" i="13"/>
  <c r="A1391" i="13"/>
  <c r="A1392" i="13"/>
  <c r="A1393" i="13"/>
  <c r="A1394" i="13"/>
  <c r="A1395" i="13"/>
  <c r="A1396" i="13"/>
  <c r="A1397" i="13"/>
  <c r="A1398" i="13"/>
  <c r="A1399" i="13"/>
  <c r="A1400" i="13"/>
  <c r="A1401" i="13"/>
  <c r="A1402" i="13"/>
  <c r="A1403" i="13"/>
  <c r="A1404" i="13"/>
  <c r="A1405" i="13"/>
  <c r="A1406" i="13"/>
  <c r="A1407" i="13"/>
  <c r="A1408" i="13"/>
  <c r="A1409" i="13"/>
  <c r="A1410" i="13"/>
  <c r="A1411" i="13"/>
  <c r="A1412" i="13"/>
  <c r="A1413" i="13"/>
  <c r="A1414" i="13"/>
  <c r="A1415" i="13"/>
  <c r="A1416" i="13"/>
  <c r="A1417" i="13"/>
  <c r="A1418" i="13"/>
  <c r="A1419" i="13"/>
  <c r="A1420" i="13"/>
  <c r="A1421" i="13"/>
  <c r="A1422" i="13"/>
  <c r="A963" i="13"/>
  <c r="S370" i="13" l="1"/>
  <c r="J59" i="58"/>
  <c r="J46" i="59" l="1"/>
  <c r="J45" i="59"/>
  <c r="J44" i="59"/>
  <c r="J41" i="59"/>
  <c r="J39" i="59"/>
  <c r="J38" i="59"/>
  <c r="J37" i="59"/>
  <c r="J36" i="59"/>
  <c r="J35" i="59"/>
  <c r="J34" i="59"/>
  <c r="J33" i="59"/>
  <c r="J32" i="59"/>
  <c r="J31" i="59"/>
  <c r="J30" i="59"/>
  <c r="J29" i="59"/>
  <c r="J28" i="59"/>
  <c r="J27" i="59"/>
  <c r="J26" i="59"/>
  <c r="J25" i="59"/>
  <c r="J24" i="59"/>
  <c r="J23" i="59"/>
  <c r="J22" i="59"/>
  <c r="J20" i="59"/>
  <c r="J19" i="59"/>
  <c r="J17" i="59"/>
  <c r="J12" i="59"/>
  <c r="J10" i="59"/>
  <c r="J8" i="59"/>
  <c r="J7" i="59"/>
  <c r="J6" i="59"/>
  <c r="J5" i="59"/>
  <c r="J4" i="59"/>
  <c r="J5" i="34"/>
  <c r="J6" i="34"/>
  <c r="J7" i="34"/>
  <c r="J8" i="34"/>
  <c r="J9" i="34"/>
  <c r="J10" i="34"/>
  <c r="J11" i="34"/>
  <c r="J12" i="34"/>
  <c r="J13" i="34"/>
  <c r="J14" i="34"/>
  <c r="J15" i="34"/>
  <c r="J16" i="34"/>
  <c r="J17" i="34"/>
  <c r="J18" i="34"/>
  <c r="J19" i="34"/>
  <c r="J20" i="34"/>
  <c r="J21" i="34"/>
  <c r="J22" i="34"/>
  <c r="J23" i="34"/>
  <c r="J24" i="34"/>
  <c r="J25" i="34"/>
  <c r="J26" i="34"/>
  <c r="J27" i="34"/>
  <c r="J28" i="34"/>
  <c r="J29" i="34"/>
  <c r="J30" i="34"/>
  <c r="J31" i="34"/>
  <c r="J32" i="34"/>
  <c r="J33" i="34"/>
  <c r="J34" i="34"/>
  <c r="J35" i="34"/>
  <c r="J36" i="34"/>
  <c r="J37" i="34"/>
  <c r="J38" i="34"/>
  <c r="J39" i="34"/>
  <c r="J40" i="34"/>
  <c r="J41" i="34"/>
  <c r="J42" i="34"/>
  <c r="J43" i="34"/>
  <c r="J44" i="34"/>
  <c r="J45" i="34"/>
  <c r="J46" i="34"/>
  <c r="J47" i="34"/>
  <c r="J48" i="34"/>
  <c r="J49" i="34"/>
  <c r="J50" i="34"/>
  <c r="J51" i="34"/>
  <c r="J52" i="34"/>
  <c r="J53" i="34"/>
  <c r="J54" i="34"/>
  <c r="J55" i="34"/>
  <c r="J56" i="34"/>
  <c r="J57" i="34"/>
  <c r="J58" i="34"/>
  <c r="J59" i="34"/>
  <c r="J60" i="34"/>
  <c r="J61" i="34"/>
  <c r="J62" i="34"/>
  <c r="J63" i="34"/>
  <c r="J64" i="34"/>
  <c r="J65" i="34"/>
  <c r="J66" i="34"/>
  <c r="J67" i="34"/>
  <c r="J68" i="34"/>
  <c r="J69" i="34"/>
  <c r="J70" i="34"/>
  <c r="J71" i="34"/>
  <c r="J72" i="34"/>
  <c r="J73" i="34"/>
  <c r="J74" i="34"/>
  <c r="J75" i="34"/>
  <c r="J76" i="34"/>
  <c r="J77" i="34"/>
  <c r="J78" i="34"/>
  <c r="J79" i="34"/>
  <c r="J80" i="34"/>
  <c r="J81" i="34"/>
  <c r="J82" i="34"/>
  <c r="J83" i="34"/>
  <c r="J84" i="34"/>
  <c r="J85" i="34"/>
  <c r="J86" i="34"/>
  <c r="J87" i="34"/>
  <c r="J88" i="34"/>
  <c r="J89" i="34"/>
  <c r="J90" i="34"/>
  <c r="J91" i="34"/>
  <c r="J92" i="34"/>
  <c r="J93" i="34"/>
  <c r="J94" i="34"/>
  <c r="J95" i="34"/>
  <c r="J96" i="34"/>
  <c r="J97" i="34"/>
  <c r="J98" i="34"/>
  <c r="J99" i="34"/>
  <c r="J100" i="34"/>
  <c r="J101" i="34"/>
  <c r="J102" i="34"/>
  <c r="J103" i="34"/>
  <c r="J104" i="34"/>
  <c r="J105" i="34"/>
  <c r="J106" i="34"/>
  <c r="J107" i="34"/>
  <c r="J108" i="34"/>
  <c r="J109" i="34"/>
  <c r="J110" i="34"/>
  <c r="J111" i="34"/>
  <c r="J112" i="34"/>
  <c r="J113" i="34"/>
  <c r="J114" i="34"/>
  <c r="J115" i="34"/>
  <c r="J116" i="34"/>
  <c r="J117" i="34"/>
  <c r="J118" i="34"/>
  <c r="J119" i="34"/>
  <c r="J120" i="34"/>
  <c r="J121" i="34"/>
  <c r="J122" i="34"/>
  <c r="J123" i="34"/>
  <c r="J124" i="34"/>
  <c r="J125" i="34"/>
  <c r="J126" i="34"/>
  <c r="J127" i="34"/>
  <c r="J128" i="34"/>
  <c r="J129" i="34"/>
  <c r="J130" i="34"/>
  <c r="J131" i="34"/>
  <c r="J132" i="34"/>
  <c r="J133" i="34"/>
  <c r="J134" i="34"/>
  <c r="J135" i="34"/>
  <c r="J136" i="34"/>
  <c r="J137" i="34"/>
  <c r="J138" i="34"/>
  <c r="J139" i="34"/>
  <c r="J140" i="34"/>
  <c r="J141" i="34"/>
  <c r="J142" i="34"/>
  <c r="J143" i="34"/>
  <c r="J144" i="34"/>
  <c r="J145" i="34"/>
  <c r="J146" i="34"/>
  <c r="J147" i="34"/>
  <c r="J148" i="34"/>
  <c r="J149" i="34"/>
  <c r="J150" i="34"/>
  <c r="J151" i="34"/>
  <c r="J152" i="34"/>
  <c r="J153" i="34"/>
  <c r="J154" i="34"/>
  <c r="J155" i="34"/>
  <c r="J156" i="34"/>
  <c r="J157" i="34"/>
  <c r="J158" i="34"/>
  <c r="J159" i="34"/>
  <c r="J160" i="34"/>
  <c r="J161" i="34"/>
  <c r="J162" i="34"/>
  <c r="J163" i="34"/>
  <c r="J164" i="34"/>
  <c r="J165" i="34"/>
  <c r="J166" i="34"/>
  <c r="J167" i="34"/>
  <c r="J168" i="34"/>
  <c r="J169" i="34"/>
  <c r="J170" i="34"/>
  <c r="J171" i="34"/>
  <c r="J172" i="34"/>
  <c r="J173" i="34"/>
  <c r="J174" i="34"/>
  <c r="J175" i="34"/>
  <c r="J176" i="34"/>
  <c r="J177" i="34"/>
  <c r="J178" i="34"/>
  <c r="J179" i="34"/>
  <c r="J180" i="34"/>
  <c r="J181" i="34"/>
  <c r="J182" i="34"/>
  <c r="J183" i="34"/>
  <c r="J184" i="34"/>
  <c r="J185" i="34"/>
  <c r="J186" i="34"/>
  <c r="J187" i="34"/>
  <c r="J188" i="34"/>
  <c r="J189" i="34"/>
  <c r="J190" i="34"/>
  <c r="J191" i="34"/>
  <c r="J192" i="34"/>
  <c r="J193" i="34"/>
  <c r="J194" i="34"/>
  <c r="J195" i="34"/>
  <c r="J196" i="34"/>
  <c r="J197" i="34"/>
  <c r="J198" i="34"/>
  <c r="J199" i="34"/>
  <c r="J200" i="34"/>
  <c r="J201" i="34"/>
  <c r="J202" i="34"/>
  <c r="J203" i="34"/>
  <c r="J204" i="34"/>
  <c r="J205" i="34"/>
  <c r="J206" i="34"/>
  <c r="J207" i="34"/>
  <c r="J208" i="34"/>
  <c r="J209" i="34"/>
  <c r="J210" i="34"/>
  <c r="J211" i="34"/>
  <c r="J212" i="34"/>
  <c r="J213" i="34"/>
  <c r="J214" i="34"/>
  <c r="J215" i="34"/>
  <c r="J216" i="34"/>
  <c r="J217" i="34"/>
  <c r="J218" i="34"/>
  <c r="J219" i="34"/>
  <c r="J220" i="34"/>
  <c r="J221" i="34"/>
  <c r="J222" i="34"/>
  <c r="J223" i="34"/>
  <c r="J224" i="34"/>
  <c r="J225" i="34"/>
  <c r="J226" i="34"/>
  <c r="J227" i="34"/>
  <c r="J228" i="34"/>
  <c r="J229" i="34"/>
  <c r="J230" i="34"/>
  <c r="J231" i="34"/>
  <c r="J232" i="34"/>
  <c r="J233" i="34"/>
  <c r="J234" i="34"/>
  <c r="J235" i="34"/>
  <c r="J236" i="34"/>
  <c r="J237" i="34"/>
  <c r="J238" i="34"/>
  <c r="J239" i="34"/>
  <c r="J240" i="34"/>
  <c r="J241" i="34"/>
  <c r="J242" i="34"/>
  <c r="J243" i="34"/>
  <c r="J244" i="34"/>
  <c r="J245" i="34"/>
  <c r="J246" i="34"/>
  <c r="J247" i="34"/>
  <c r="J248" i="34"/>
  <c r="J249" i="34"/>
  <c r="J250" i="34"/>
  <c r="J251" i="34"/>
  <c r="J252" i="34"/>
  <c r="J253" i="34"/>
  <c r="J254" i="34"/>
  <c r="J255" i="34"/>
  <c r="J256" i="34"/>
  <c r="J257" i="34"/>
  <c r="J258" i="34"/>
  <c r="J259" i="34"/>
  <c r="J260" i="34"/>
  <c r="J261" i="34"/>
  <c r="J262" i="34"/>
  <c r="J263" i="34"/>
  <c r="J264" i="34"/>
  <c r="J265" i="34"/>
  <c r="J266" i="34"/>
  <c r="J267" i="34"/>
  <c r="J268" i="34"/>
  <c r="J269" i="34"/>
  <c r="J270" i="34"/>
  <c r="J271" i="34"/>
  <c r="J272" i="34"/>
  <c r="J273" i="34"/>
  <c r="J274" i="34"/>
  <c r="J275" i="34"/>
  <c r="J276" i="34"/>
  <c r="J277" i="34"/>
  <c r="J278" i="34"/>
  <c r="J279" i="34"/>
  <c r="J280" i="34"/>
  <c r="J281" i="34"/>
  <c r="J282" i="34"/>
  <c r="J283" i="34"/>
  <c r="J284" i="34"/>
  <c r="J285" i="34"/>
  <c r="J286" i="34"/>
  <c r="J287" i="34"/>
  <c r="J288" i="34"/>
  <c r="J289" i="34"/>
  <c r="J290" i="34"/>
  <c r="J291" i="34"/>
  <c r="J292" i="34"/>
  <c r="J293" i="34"/>
  <c r="J294" i="34"/>
  <c r="J295" i="34"/>
  <c r="J296" i="34"/>
  <c r="J297" i="34"/>
  <c r="J298" i="34"/>
  <c r="J299" i="34"/>
  <c r="J300" i="34"/>
  <c r="J301" i="34"/>
  <c r="J302" i="34"/>
  <c r="J303" i="34"/>
  <c r="J304" i="34"/>
  <c r="J305" i="34"/>
  <c r="J306" i="34"/>
  <c r="J307" i="34"/>
  <c r="J308" i="34"/>
  <c r="J309" i="34"/>
  <c r="J310" i="34"/>
  <c r="J311" i="34"/>
  <c r="J312" i="34"/>
  <c r="J313" i="34"/>
  <c r="J314" i="34"/>
  <c r="J315" i="34"/>
  <c r="J316" i="34"/>
  <c r="J317" i="34"/>
  <c r="J318" i="34"/>
  <c r="J319" i="34"/>
  <c r="J320" i="34"/>
  <c r="J321" i="34"/>
  <c r="J322" i="34"/>
  <c r="J323" i="34"/>
  <c r="J324" i="34"/>
  <c r="J325" i="34"/>
  <c r="J326" i="34"/>
  <c r="J327" i="34"/>
  <c r="J328" i="34"/>
  <c r="J329" i="34"/>
  <c r="J330" i="34"/>
  <c r="J331" i="34"/>
  <c r="J332" i="34"/>
  <c r="J333" i="34"/>
  <c r="J334" i="34"/>
  <c r="J335" i="34"/>
  <c r="J336" i="34"/>
  <c r="J337" i="34"/>
  <c r="J338" i="34"/>
  <c r="J339" i="34"/>
  <c r="J340" i="34"/>
  <c r="J341" i="34"/>
  <c r="J342" i="34"/>
  <c r="J343" i="34"/>
  <c r="J344" i="34"/>
  <c r="J345" i="34"/>
  <c r="J346" i="34"/>
  <c r="J347" i="34"/>
  <c r="J348" i="34"/>
  <c r="J349" i="34"/>
  <c r="J350" i="34"/>
  <c r="J351" i="34"/>
  <c r="J352" i="34"/>
  <c r="J353" i="34"/>
  <c r="J354" i="34"/>
  <c r="J355" i="34"/>
  <c r="J356" i="34"/>
  <c r="J357" i="34"/>
  <c r="J358" i="34"/>
  <c r="J359" i="34"/>
  <c r="J360" i="34"/>
  <c r="J361" i="34"/>
  <c r="J362" i="34"/>
  <c r="J363" i="34"/>
  <c r="J364" i="34"/>
  <c r="J365" i="34"/>
  <c r="J366" i="34"/>
  <c r="J367" i="34"/>
  <c r="J368" i="34"/>
  <c r="J369" i="34"/>
  <c r="J370" i="34"/>
  <c r="J371" i="34"/>
  <c r="J372" i="34"/>
  <c r="J373" i="34"/>
  <c r="J374" i="34"/>
  <c r="J375" i="34"/>
  <c r="J376" i="34"/>
  <c r="J377" i="34"/>
  <c r="J378" i="34"/>
  <c r="J379" i="34"/>
  <c r="J380" i="34"/>
  <c r="J381" i="34"/>
  <c r="J382" i="34"/>
  <c r="J383" i="34"/>
  <c r="J384" i="34"/>
  <c r="J385" i="34"/>
  <c r="J386" i="34"/>
  <c r="J387" i="34"/>
  <c r="J388" i="34"/>
  <c r="J389" i="34"/>
  <c r="J390" i="34"/>
  <c r="J391" i="34"/>
  <c r="J392" i="34"/>
  <c r="J393" i="34"/>
  <c r="J394" i="34"/>
  <c r="J395" i="34"/>
  <c r="J396" i="34"/>
  <c r="J397" i="34"/>
  <c r="J398" i="34"/>
  <c r="J399" i="34"/>
  <c r="J400" i="34"/>
  <c r="J401" i="34"/>
  <c r="J402" i="34"/>
  <c r="J403" i="34"/>
  <c r="J404" i="34"/>
  <c r="J405" i="34"/>
  <c r="J406" i="34"/>
  <c r="J407" i="34"/>
  <c r="J408" i="34"/>
  <c r="J409" i="34"/>
  <c r="J410" i="34"/>
  <c r="J411" i="34"/>
  <c r="J412" i="34"/>
  <c r="J413" i="34"/>
  <c r="J414" i="34"/>
  <c r="J415" i="34"/>
  <c r="J416" i="34"/>
  <c r="J417" i="34"/>
  <c r="J418" i="34"/>
  <c r="J419" i="34"/>
  <c r="J420" i="34"/>
  <c r="J421" i="34"/>
  <c r="J422" i="34"/>
  <c r="J423" i="34"/>
  <c r="J424" i="34"/>
  <c r="J425" i="34"/>
  <c r="J426" i="34"/>
  <c r="J427" i="34"/>
  <c r="J428" i="34"/>
  <c r="J429" i="34"/>
  <c r="J430" i="34"/>
  <c r="J431" i="34"/>
  <c r="J432" i="34"/>
  <c r="J433" i="34"/>
  <c r="J434" i="34"/>
  <c r="J435" i="34"/>
  <c r="J436" i="34"/>
  <c r="J437" i="34"/>
  <c r="J438" i="34"/>
  <c r="J439" i="34"/>
  <c r="J440" i="34"/>
  <c r="J441" i="34"/>
  <c r="J442" i="34"/>
  <c r="J443" i="34"/>
  <c r="J444" i="34"/>
  <c r="J445" i="34"/>
  <c r="J446" i="34"/>
  <c r="J447" i="34"/>
  <c r="J448" i="34"/>
  <c r="J449" i="34"/>
  <c r="J450" i="34"/>
  <c r="J451" i="34"/>
  <c r="J452" i="34"/>
  <c r="J4" i="34"/>
  <c r="J54" i="58" l="1"/>
  <c r="J51" i="58"/>
  <c r="J49" i="58"/>
  <c r="J48" i="58"/>
  <c r="J45" i="58" l="1"/>
  <c r="S963" i="13" l="1"/>
  <c r="S845" i="13"/>
  <c r="S655" i="13"/>
  <c r="S938" i="13"/>
  <c r="S961" i="13"/>
  <c r="S958" i="13"/>
  <c r="J17" i="58"/>
  <c r="J32" i="57" l="1"/>
  <c r="J8" i="58"/>
  <c r="J5" i="58" l="1"/>
  <c r="J31" i="57"/>
  <c r="T958" i="13" l="1"/>
  <c r="S957" i="13"/>
  <c r="T957" i="13" s="1"/>
  <c r="S956" i="13"/>
  <c r="T956" i="13" s="1"/>
  <c r="S955" i="13"/>
  <c r="T955" i="13" s="1"/>
  <c r="J24" i="57"/>
  <c r="S137" i="13"/>
  <c r="T137" i="13" s="1"/>
  <c r="T847" i="13"/>
  <c r="T470" i="13"/>
  <c r="J58" i="58"/>
  <c r="J57" i="58"/>
  <c r="J56" i="58"/>
  <c r="J55" i="58"/>
  <c r="J53" i="58"/>
  <c r="J52" i="58"/>
  <c r="J50" i="58"/>
  <c r="J47" i="58"/>
  <c r="J46" i="58"/>
  <c r="J43" i="58"/>
  <c r="J42" i="58"/>
  <c r="J41" i="58"/>
  <c r="J40" i="58"/>
  <c r="J39" i="58"/>
  <c r="J38" i="58"/>
  <c r="J37" i="58"/>
  <c r="J36" i="58"/>
  <c r="J34" i="58"/>
  <c r="J33" i="58"/>
  <c r="J32" i="58"/>
  <c r="J31" i="58"/>
  <c r="J30" i="58"/>
  <c r="J29" i="58"/>
  <c r="J28" i="58"/>
  <c r="J27" i="58"/>
  <c r="J26" i="58"/>
  <c r="J25" i="58"/>
  <c r="J24" i="58"/>
  <c r="J23" i="58"/>
  <c r="J22" i="58"/>
  <c r="J21" i="58"/>
  <c r="J20" i="58"/>
  <c r="J19" i="58"/>
  <c r="J18" i="58"/>
  <c r="J16" i="58"/>
  <c r="J15" i="58"/>
  <c r="J14" i="58"/>
  <c r="J13" i="58"/>
  <c r="J12" i="58"/>
  <c r="J11" i="58"/>
  <c r="J9" i="58"/>
  <c r="J7" i="58"/>
  <c r="J4" i="58"/>
  <c r="J93" i="57"/>
  <c r="J92" i="57"/>
  <c r="J91" i="57"/>
  <c r="J90" i="57"/>
  <c r="J89" i="57"/>
  <c r="J88" i="57"/>
  <c r="J87" i="57"/>
  <c r="J86" i="57"/>
  <c r="J85" i="57"/>
  <c r="J84" i="57"/>
  <c r="J83" i="57"/>
  <c r="J82" i="57"/>
  <c r="J81" i="57"/>
  <c r="J80" i="57"/>
  <c r="J79" i="57"/>
  <c r="J78" i="57"/>
  <c r="J77" i="57"/>
  <c r="J76" i="57"/>
  <c r="J75" i="57"/>
  <c r="J74" i="57"/>
  <c r="J73" i="57"/>
  <c r="J72" i="57"/>
  <c r="J71" i="57"/>
  <c r="J70" i="57"/>
  <c r="J69" i="57"/>
  <c r="J68" i="57"/>
  <c r="J67" i="57"/>
  <c r="J66" i="57"/>
  <c r="J65" i="57"/>
  <c r="J64" i="57"/>
  <c r="J63" i="57"/>
  <c r="J62" i="57"/>
  <c r="J61" i="57"/>
  <c r="J60" i="57"/>
  <c r="J59" i="57"/>
  <c r="J58" i="57"/>
  <c r="J57" i="57"/>
  <c r="J56" i="57"/>
  <c r="J55" i="57"/>
  <c r="J54" i="57"/>
  <c r="J53" i="57"/>
  <c r="J52" i="57"/>
  <c r="J51" i="57"/>
  <c r="J50" i="57"/>
  <c r="J49" i="57"/>
  <c r="J48" i="57"/>
  <c r="J47" i="57"/>
  <c r="J46" i="57"/>
  <c r="J45" i="57"/>
  <c r="J44" i="57"/>
  <c r="J43" i="57"/>
  <c r="J42" i="57"/>
  <c r="J41" i="57"/>
  <c r="J40" i="57"/>
  <c r="J39" i="57"/>
  <c r="J38" i="57"/>
  <c r="J37" i="57"/>
  <c r="J36" i="57"/>
  <c r="J35" i="57"/>
  <c r="J34" i="57"/>
  <c r="J30" i="57"/>
  <c r="J29" i="57"/>
  <c r="J28" i="57"/>
  <c r="J27" i="57"/>
  <c r="J26" i="57"/>
  <c r="J25" i="57"/>
  <c r="J23" i="57"/>
  <c r="J22" i="57"/>
  <c r="J20" i="57"/>
  <c r="J19" i="57"/>
  <c r="J18" i="57"/>
  <c r="J17" i="57"/>
  <c r="J16" i="57"/>
  <c r="J15" i="57"/>
  <c r="J14" i="57"/>
  <c r="J13" i="57"/>
  <c r="J12" i="57"/>
  <c r="J11" i="57"/>
  <c r="J10" i="57"/>
  <c r="J9" i="57"/>
  <c r="J8" i="57"/>
  <c r="J7" i="57"/>
  <c r="J6" i="57"/>
  <c r="J5" i="57"/>
  <c r="J4" i="57"/>
  <c r="J34" i="56"/>
  <c r="J33" i="56"/>
  <c r="T938" i="13"/>
  <c r="T825" i="13"/>
  <c r="S895" i="13"/>
  <c r="T895" i="13" s="1"/>
  <c r="S919" i="13"/>
  <c r="T919" i="13" s="1"/>
  <c r="J28" i="56"/>
  <c r="J26" i="56"/>
  <c r="T852" i="13"/>
  <c r="T879" i="13"/>
  <c r="S878" i="13"/>
  <c r="T878" i="13" s="1"/>
  <c r="T815" i="13"/>
  <c r="S817" i="13"/>
  <c r="T817" i="13" s="1"/>
  <c r="J13" i="56"/>
  <c r="J12" i="56"/>
  <c r="J10" i="56"/>
  <c r="S868" i="13"/>
  <c r="T868" i="13" s="1"/>
  <c r="J93" i="56"/>
  <c r="J92" i="56"/>
  <c r="J91" i="56"/>
  <c r="J90" i="56"/>
  <c r="J89" i="56"/>
  <c r="J88" i="56"/>
  <c r="J87" i="56"/>
  <c r="J86" i="56"/>
  <c r="J85" i="56"/>
  <c r="J84" i="56"/>
  <c r="J83" i="56"/>
  <c r="J82" i="56"/>
  <c r="J81" i="56"/>
  <c r="J80" i="56"/>
  <c r="J79" i="56"/>
  <c r="J78" i="56"/>
  <c r="J77" i="56"/>
  <c r="J76" i="56"/>
  <c r="J75" i="56"/>
  <c r="J74" i="56"/>
  <c r="J73" i="56"/>
  <c r="J72" i="56"/>
  <c r="J71" i="56"/>
  <c r="J70" i="56"/>
  <c r="J69" i="56"/>
  <c r="J68" i="56"/>
  <c r="J67" i="56"/>
  <c r="J66" i="56"/>
  <c r="J65" i="56"/>
  <c r="J64" i="56"/>
  <c r="J63" i="56"/>
  <c r="J62" i="56"/>
  <c r="J61" i="56"/>
  <c r="J60" i="56"/>
  <c r="J59" i="56"/>
  <c r="J58" i="56"/>
  <c r="J57" i="56"/>
  <c r="J56" i="56"/>
  <c r="J55" i="56"/>
  <c r="J54" i="56"/>
  <c r="J53" i="56"/>
  <c r="J52" i="56"/>
  <c r="J51" i="56"/>
  <c r="J50" i="56"/>
  <c r="J49" i="56"/>
  <c r="J48" i="56"/>
  <c r="J47" i="56"/>
  <c r="J46" i="56"/>
  <c r="J44" i="56"/>
  <c r="J43" i="56"/>
  <c r="J42" i="56"/>
  <c r="J41" i="56"/>
  <c r="J40" i="56"/>
  <c r="J39" i="56"/>
  <c r="J38" i="56"/>
  <c r="J37" i="56"/>
  <c r="J36" i="56"/>
  <c r="J35" i="56"/>
  <c r="J32" i="56"/>
  <c r="J31" i="56"/>
  <c r="J30" i="56"/>
  <c r="J29" i="56"/>
  <c r="J27" i="56"/>
  <c r="J25" i="56"/>
  <c r="J24" i="56"/>
  <c r="J23" i="56"/>
  <c r="J22" i="56"/>
  <c r="J21" i="56"/>
  <c r="J20" i="56"/>
  <c r="J19" i="56"/>
  <c r="J18" i="56"/>
  <c r="J17" i="56"/>
  <c r="J16" i="56"/>
  <c r="J15" i="56"/>
  <c r="J14" i="56"/>
  <c r="J11" i="56"/>
  <c r="J9" i="56"/>
  <c r="J8" i="56"/>
  <c r="J7" i="56"/>
  <c r="J6" i="56"/>
  <c r="J5" i="56"/>
  <c r="J4" i="56"/>
  <c r="J42" i="29"/>
  <c r="J24" i="29"/>
  <c r="J35" i="29"/>
  <c r="S471" i="13"/>
  <c r="T471" i="13" s="1"/>
  <c r="T139" i="13"/>
  <c r="J31" i="29"/>
  <c r="A912" i="13"/>
  <c r="A897" i="15" s="1"/>
  <c r="T912" i="13"/>
  <c r="AA912" i="13"/>
  <c r="AF912" i="13"/>
  <c r="A913" i="13"/>
  <c r="A898" i="15" s="1"/>
  <c r="T913" i="13"/>
  <c r="AA913" i="13"/>
  <c r="AF913" i="13"/>
  <c r="A914" i="13"/>
  <c r="A899" i="15" s="1"/>
  <c r="T914" i="13"/>
  <c r="AA914" i="13"/>
  <c r="AF914" i="13"/>
  <c r="A915" i="13"/>
  <c r="A900" i="15" s="1"/>
  <c r="T915" i="13"/>
  <c r="AA915" i="13"/>
  <c r="AF915" i="13"/>
  <c r="A916" i="13"/>
  <c r="A901" i="15" s="1"/>
  <c r="T916" i="13"/>
  <c r="AA916" i="13"/>
  <c r="AF916" i="13"/>
  <c r="A917" i="13"/>
  <c r="A902" i="15" s="1"/>
  <c r="T917" i="13"/>
  <c r="AA917" i="13"/>
  <c r="AF917" i="13"/>
  <c r="A918" i="13"/>
  <c r="A903" i="15" s="1"/>
  <c r="T918" i="13"/>
  <c r="AA918" i="13"/>
  <c r="AF918" i="13"/>
  <c r="A919" i="13"/>
  <c r="A904" i="15" s="1"/>
  <c r="AA919" i="13"/>
  <c r="AF919" i="13"/>
  <c r="A920" i="13"/>
  <c r="A905" i="15" s="1"/>
  <c r="T920" i="13"/>
  <c r="AA920" i="13"/>
  <c r="AF920" i="13"/>
  <c r="A921" i="13"/>
  <c r="A906" i="15" s="1"/>
  <c r="T921" i="13"/>
  <c r="AA921" i="13"/>
  <c r="AF921" i="13"/>
  <c r="A922" i="13"/>
  <c r="A907" i="15" s="1"/>
  <c r="T922" i="13"/>
  <c r="AA922" i="13"/>
  <c r="AF922" i="13"/>
  <c r="A923" i="13"/>
  <c r="A908" i="15" s="1"/>
  <c r="T923" i="13"/>
  <c r="AA923" i="13"/>
  <c r="AF923" i="13"/>
  <c r="A924" i="13"/>
  <c r="A909" i="15" s="1"/>
  <c r="T924" i="13"/>
  <c r="AA924" i="13"/>
  <c r="AF924" i="13"/>
  <c r="A925" i="13"/>
  <c r="A910" i="15" s="1"/>
  <c r="T925" i="13"/>
  <c r="AA925" i="13"/>
  <c r="AF925" i="13"/>
  <c r="A926" i="13"/>
  <c r="A911" i="15" s="1"/>
  <c r="T926" i="13"/>
  <c r="AA926" i="13"/>
  <c r="AF926" i="13"/>
  <c r="A927" i="13"/>
  <c r="A912" i="15" s="1"/>
  <c r="T927" i="13"/>
  <c r="AA927" i="13"/>
  <c r="AF927" i="13"/>
  <c r="A928" i="13"/>
  <c r="A913" i="15" s="1"/>
  <c r="T928" i="13"/>
  <c r="AA928" i="13"/>
  <c r="AF928" i="13"/>
  <c r="A929" i="13"/>
  <c r="A914" i="15" s="1"/>
  <c r="T929" i="13"/>
  <c r="AA929" i="13"/>
  <c r="AF929" i="13"/>
  <c r="A930" i="13"/>
  <c r="A915" i="15" s="1"/>
  <c r="T930" i="13"/>
  <c r="AA930" i="13"/>
  <c r="AF930" i="13"/>
  <c r="A931" i="13"/>
  <c r="A916" i="15" s="1"/>
  <c r="T931" i="13"/>
  <c r="AA931" i="13"/>
  <c r="AF931" i="13"/>
  <c r="A932" i="13"/>
  <c r="A917" i="15" s="1"/>
  <c r="T932" i="13"/>
  <c r="AA932" i="13"/>
  <c r="AF932" i="13"/>
  <c r="A933" i="13"/>
  <c r="A918" i="15" s="1"/>
  <c r="T933" i="13"/>
  <c r="AA933" i="13"/>
  <c r="AF933" i="13"/>
  <c r="A934" i="13"/>
  <c r="A919" i="15" s="1"/>
  <c r="T934" i="13"/>
  <c r="AA934" i="13"/>
  <c r="AF934" i="13"/>
  <c r="A935" i="13"/>
  <c r="A920" i="15" s="1"/>
  <c r="T935" i="13"/>
  <c r="AA935" i="13"/>
  <c r="AF935" i="13"/>
  <c r="A936" i="13"/>
  <c r="A921" i="15" s="1"/>
  <c r="T936" i="13"/>
  <c r="AA936" i="13"/>
  <c r="AF936" i="13"/>
  <c r="A937" i="13"/>
  <c r="A922" i="15" s="1"/>
  <c r="T937" i="13"/>
  <c r="AA937" i="13"/>
  <c r="AF937" i="13"/>
  <c r="A938" i="13"/>
  <c r="A923" i="15" s="1"/>
  <c r="AA938" i="13"/>
  <c r="AF938" i="13"/>
  <c r="A939" i="13"/>
  <c r="A924" i="15" s="1"/>
  <c r="T939" i="13"/>
  <c r="AA939" i="13"/>
  <c r="AF939" i="13"/>
  <c r="A940" i="13"/>
  <c r="A925" i="15" s="1"/>
  <c r="T940" i="13"/>
  <c r="AA940" i="13"/>
  <c r="AF940" i="13"/>
  <c r="A941" i="13"/>
  <c r="A926" i="15" s="1"/>
  <c r="T941" i="13"/>
  <c r="AA941" i="13"/>
  <c r="AF941" i="13"/>
  <c r="A942" i="13"/>
  <c r="A927" i="15" s="1"/>
  <c r="T942" i="13"/>
  <c r="AA942" i="13"/>
  <c r="AF942" i="13"/>
  <c r="A943" i="13"/>
  <c r="A928" i="15" s="1"/>
  <c r="T943" i="13"/>
  <c r="AA943" i="13"/>
  <c r="AF943" i="13"/>
  <c r="A944" i="13"/>
  <c r="A929" i="15" s="1"/>
  <c r="T944" i="13"/>
  <c r="AA944" i="13"/>
  <c r="AF944" i="13"/>
  <c r="A945" i="13"/>
  <c r="A930" i="15" s="1"/>
  <c r="T945" i="13"/>
  <c r="AA945" i="13"/>
  <c r="AF945" i="13"/>
  <c r="A946" i="13"/>
  <c r="A931" i="15" s="1"/>
  <c r="T946" i="13"/>
  <c r="AA946" i="13"/>
  <c r="AF946" i="13"/>
  <c r="A947" i="13"/>
  <c r="A932" i="15" s="1"/>
  <c r="T947" i="13"/>
  <c r="AA947" i="13"/>
  <c r="AF947" i="13"/>
  <c r="A948" i="13"/>
  <c r="A933" i="15" s="1"/>
  <c r="T948" i="13"/>
  <c r="AA948" i="13"/>
  <c r="AF948" i="13"/>
  <c r="A949" i="13"/>
  <c r="A934" i="15" s="1"/>
  <c r="T949" i="13"/>
  <c r="AA949" i="13"/>
  <c r="AF949" i="13"/>
  <c r="A950" i="13"/>
  <c r="A935" i="15" s="1"/>
  <c r="T950" i="13"/>
  <c r="AA950" i="13"/>
  <c r="AF950" i="13"/>
  <c r="A951" i="13"/>
  <c r="A936" i="15" s="1"/>
  <c r="T951" i="13"/>
  <c r="AA951" i="13"/>
  <c r="AF951" i="13"/>
  <c r="A952" i="13"/>
  <c r="A937" i="15" s="1"/>
  <c r="T952" i="13"/>
  <c r="AA952" i="13"/>
  <c r="AF952" i="13"/>
  <c r="A953" i="13"/>
  <c r="A938" i="15" s="1"/>
  <c r="T953" i="13"/>
  <c r="AA953" i="13"/>
  <c r="AF953" i="13"/>
  <c r="A954" i="13"/>
  <c r="A939" i="15" s="1"/>
  <c r="T954" i="13"/>
  <c r="AA954" i="13"/>
  <c r="AF954" i="13"/>
  <c r="A955" i="13"/>
  <c r="A940" i="15" s="1"/>
  <c r="AA955" i="13"/>
  <c r="AF955" i="13"/>
  <c r="A956" i="13"/>
  <c r="A941" i="15" s="1"/>
  <c r="AA956" i="13"/>
  <c r="AF956" i="13"/>
  <c r="A957" i="13"/>
  <c r="A942" i="15" s="1"/>
  <c r="AA957" i="13"/>
  <c r="AF957" i="13"/>
  <c r="A958" i="13"/>
  <c r="A943" i="15" s="1"/>
  <c r="AA958" i="13"/>
  <c r="AF958" i="13"/>
  <c r="A959" i="13"/>
  <c r="A944" i="15" s="1"/>
  <c r="T959" i="13"/>
  <c r="AA959" i="13"/>
  <c r="AF959" i="13"/>
  <c r="A960" i="13"/>
  <c r="A945" i="15" s="1"/>
  <c r="T960" i="13"/>
  <c r="AA960" i="13"/>
  <c r="AF960" i="13"/>
  <c r="A961" i="13"/>
  <c r="A946" i="15" s="1"/>
  <c r="T961" i="13"/>
  <c r="AA961" i="13"/>
  <c r="AF961" i="13"/>
  <c r="A962" i="13"/>
  <c r="A947" i="15" s="1"/>
  <c r="T962" i="13"/>
  <c r="AA962" i="13"/>
  <c r="AF962" i="13"/>
  <c r="A948" i="15"/>
  <c r="T963" i="13"/>
  <c r="AA963" i="13"/>
  <c r="AF963" i="13"/>
  <c r="A949" i="15"/>
  <c r="T964" i="13"/>
  <c r="AA964" i="13"/>
  <c r="AF964" i="13"/>
  <c r="A950" i="15"/>
  <c r="T965" i="13"/>
  <c r="AA965" i="13"/>
  <c r="AF965" i="13"/>
  <c r="A951" i="15"/>
  <c r="T966" i="13"/>
  <c r="AA966" i="13"/>
  <c r="AF966" i="13"/>
  <c r="A952" i="15"/>
  <c r="T967" i="13"/>
  <c r="AA967" i="13"/>
  <c r="AF967" i="13"/>
  <c r="A953" i="15"/>
  <c r="T968" i="13"/>
  <c r="AA968" i="13"/>
  <c r="AF968" i="13"/>
  <c r="A954" i="15"/>
  <c r="T969" i="13"/>
  <c r="AA969" i="13"/>
  <c r="AF969" i="13"/>
  <c r="A955" i="15"/>
  <c r="T970" i="13"/>
  <c r="AA970" i="13"/>
  <c r="AF970" i="13"/>
  <c r="A956" i="15"/>
  <c r="T971" i="13"/>
  <c r="AA971" i="13"/>
  <c r="AF971" i="13"/>
  <c r="A957" i="15"/>
  <c r="T972" i="13"/>
  <c r="AA972" i="13"/>
  <c r="AF972" i="13"/>
  <c r="A958" i="15"/>
  <c r="T973" i="13"/>
  <c r="AA973" i="13"/>
  <c r="AF973" i="13"/>
  <c r="A959" i="15"/>
  <c r="T974" i="13"/>
  <c r="AA974" i="13"/>
  <c r="AF974" i="13"/>
  <c r="A960" i="15"/>
  <c r="T975" i="13"/>
  <c r="AA975" i="13"/>
  <c r="AF975" i="13"/>
  <c r="A961" i="15"/>
  <c r="T976" i="13"/>
  <c r="AA976" i="13"/>
  <c r="AF976" i="13"/>
  <c r="A962" i="15"/>
  <c r="T977" i="13"/>
  <c r="AA977" i="13"/>
  <c r="AF977" i="13"/>
  <c r="A963" i="15"/>
  <c r="T978" i="13"/>
  <c r="AA978" i="13"/>
  <c r="AF978" i="13"/>
  <c r="A964" i="15"/>
  <c r="T979" i="13"/>
  <c r="AA979" i="13"/>
  <c r="AF979" i="13"/>
  <c r="A965" i="15"/>
  <c r="T980" i="13"/>
  <c r="AA980" i="13"/>
  <c r="AF980" i="13"/>
  <c r="A966" i="15"/>
  <c r="T981" i="13"/>
  <c r="AA981" i="13"/>
  <c r="AF981" i="13"/>
  <c r="A967" i="15"/>
  <c r="T982" i="13"/>
  <c r="AA982" i="13"/>
  <c r="AF982" i="13"/>
  <c r="A968" i="15"/>
  <c r="T983" i="13"/>
  <c r="AA983" i="13"/>
  <c r="AF983" i="13"/>
  <c r="A969" i="15"/>
  <c r="T984" i="13"/>
  <c r="AA984" i="13"/>
  <c r="AF984" i="13"/>
  <c r="A970" i="15"/>
  <c r="T985" i="13"/>
  <c r="AA985" i="13"/>
  <c r="AF985" i="13"/>
  <c r="A971" i="15"/>
  <c r="T986" i="13"/>
  <c r="AA986" i="13"/>
  <c r="AF986" i="13"/>
  <c r="A972" i="15"/>
  <c r="T987" i="13"/>
  <c r="AA987" i="13"/>
  <c r="AF987" i="13"/>
  <c r="A973" i="15"/>
  <c r="T988" i="13"/>
  <c r="AA988" i="13"/>
  <c r="AF988" i="13"/>
  <c r="A974" i="15"/>
  <c r="T989" i="13"/>
  <c r="AA989" i="13"/>
  <c r="AF989" i="13"/>
  <c r="A975" i="15"/>
  <c r="T990" i="13"/>
  <c r="AA990" i="13"/>
  <c r="AF990" i="13"/>
  <c r="A976" i="15"/>
  <c r="T991" i="13"/>
  <c r="AA991" i="13"/>
  <c r="AF991" i="13"/>
  <c r="A977" i="15"/>
  <c r="T992" i="13"/>
  <c r="AA992" i="13"/>
  <c r="AF992" i="13"/>
  <c r="A978" i="15"/>
  <c r="T993" i="13"/>
  <c r="AA993" i="13"/>
  <c r="AF993" i="13"/>
  <c r="A979" i="15"/>
  <c r="T994" i="13"/>
  <c r="AA994" i="13"/>
  <c r="AF994" i="13"/>
  <c r="A980" i="15"/>
  <c r="T995" i="13"/>
  <c r="AA995" i="13"/>
  <c r="AF995" i="13"/>
  <c r="A981" i="15"/>
  <c r="T996" i="13"/>
  <c r="AA996" i="13"/>
  <c r="AF996" i="13"/>
  <c r="A982" i="15"/>
  <c r="T997" i="13"/>
  <c r="AA997" i="13"/>
  <c r="AF997" i="13"/>
  <c r="A983" i="15"/>
  <c r="T998" i="13"/>
  <c r="AA998" i="13"/>
  <c r="AF998" i="13"/>
  <c r="A984" i="15"/>
  <c r="T999" i="13"/>
  <c r="AA999" i="13"/>
  <c r="AF999" i="13"/>
  <c r="A985" i="15"/>
  <c r="T1000" i="13"/>
  <c r="AA1000" i="13"/>
  <c r="AF1000" i="13"/>
  <c r="A986" i="15"/>
  <c r="T1001" i="13"/>
  <c r="AA1001" i="13"/>
  <c r="AF1001" i="13"/>
  <c r="A987" i="15"/>
  <c r="T1002" i="13"/>
  <c r="AA1002" i="13"/>
  <c r="AF1002" i="13"/>
  <c r="A988" i="15"/>
  <c r="T1003" i="13"/>
  <c r="AA1003" i="13"/>
  <c r="AF1003" i="13"/>
  <c r="A989" i="15"/>
  <c r="T1004" i="13"/>
  <c r="AA1004" i="13"/>
  <c r="AF1004" i="13"/>
  <c r="A990" i="15"/>
  <c r="T1005" i="13"/>
  <c r="AA1005" i="13"/>
  <c r="AF1005" i="13"/>
  <c r="A991" i="15"/>
  <c r="T1006" i="13"/>
  <c r="AA1006" i="13"/>
  <c r="AF1006" i="13"/>
  <c r="A992" i="15"/>
  <c r="T1007" i="13"/>
  <c r="AA1007" i="13"/>
  <c r="AF1007" i="13"/>
  <c r="A993" i="15"/>
  <c r="T1008" i="13"/>
  <c r="AA1008" i="13"/>
  <c r="AF1008" i="13"/>
  <c r="A994" i="15"/>
  <c r="T1009" i="13"/>
  <c r="AA1009" i="13"/>
  <c r="AF1009" i="13"/>
  <c r="A995" i="15"/>
  <c r="T1010" i="13"/>
  <c r="AA1010" i="13"/>
  <c r="AF1010" i="13"/>
  <c r="A996" i="15"/>
  <c r="T1011" i="13"/>
  <c r="AA1011" i="13"/>
  <c r="AF1011" i="13"/>
  <c r="A997" i="15"/>
  <c r="T1012" i="13"/>
  <c r="AA1012" i="13"/>
  <c r="AF1012" i="13"/>
  <c r="A998" i="15"/>
  <c r="T1013" i="13"/>
  <c r="AA1013" i="13"/>
  <c r="AF1013" i="13"/>
  <c r="A999" i="15"/>
  <c r="T1014" i="13"/>
  <c r="AA1014" i="13"/>
  <c r="AF1014" i="13"/>
  <c r="A1000" i="15"/>
  <c r="T1015" i="13"/>
  <c r="AA1015" i="13"/>
  <c r="AF1015" i="13"/>
  <c r="A1001" i="15"/>
  <c r="T1016" i="13"/>
  <c r="AA1016" i="13"/>
  <c r="AF1016" i="13"/>
  <c r="A1002" i="15"/>
  <c r="T1017" i="13"/>
  <c r="AA1017" i="13"/>
  <c r="AF1017" i="13"/>
  <c r="A1003" i="15"/>
  <c r="T1018" i="13"/>
  <c r="AA1018" i="13"/>
  <c r="AF1018" i="13"/>
  <c r="A1004" i="15"/>
  <c r="T1019" i="13"/>
  <c r="AA1019" i="13"/>
  <c r="AF1019" i="13"/>
  <c r="A1005" i="15"/>
  <c r="T1020" i="13"/>
  <c r="AA1020" i="13"/>
  <c r="AF1020" i="13"/>
  <c r="A1006" i="15"/>
  <c r="T1021" i="13"/>
  <c r="AA1021" i="13"/>
  <c r="AF1021" i="13"/>
  <c r="A1007" i="15"/>
  <c r="T1022" i="13"/>
  <c r="AA1022" i="13"/>
  <c r="AF1022" i="13"/>
  <c r="A1008" i="15"/>
  <c r="T1023" i="13"/>
  <c r="AA1023" i="13"/>
  <c r="AF1023" i="13"/>
  <c r="A1009" i="15"/>
  <c r="T1024" i="13"/>
  <c r="AA1024" i="13"/>
  <c r="AF1024" i="13"/>
  <c r="A1010" i="15"/>
  <c r="T1025" i="13"/>
  <c r="AA1025" i="13"/>
  <c r="AF1025" i="13"/>
  <c r="A1011" i="15"/>
  <c r="T1026" i="13"/>
  <c r="AA1026" i="13"/>
  <c r="AF1026" i="13"/>
  <c r="A1012" i="15"/>
  <c r="T1027" i="13"/>
  <c r="AA1027" i="13"/>
  <c r="AF1027" i="13"/>
  <c r="A1013" i="15"/>
  <c r="T1028" i="13"/>
  <c r="AA1028" i="13"/>
  <c r="AF1028" i="13"/>
  <c r="A1014" i="15"/>
  <c r="T1029" i="13"/>
  <c r="AA1029" i="13"/>
  <c r="AF1029" i="13"/>
  <c r="A1015" i="15"/>
  <c r="T1030" i="13"/>
  <c r="AA1030" i="13"/>
  <c r="AF1030" i="13"/>
  <c r="A1016" i="15"/>
  <c r="T1031" i="13"/>
  <c r="AA1031" i="13"/>
  <c r="AF1031" i="13"/>
  <c r="A1017" i="15"/>
  <c r="T1032" i="13"/>
  <c r="AA1032" i="13"/>
  <c r="AF1032" i="13"/>
  <c r="A1018" i="15"/>
  <c r="T1033" i="13"/>
  <c r="AA1033" i="13"/>
  <c r="AF1033" i="13"/>
  <c r="A1019" i="15"/>
  <c r="T1034" i="13"/>
  <c r="AA1034" i="13"/>
  <c r="AF1034" i="13"/>
  <c r="A1020" i="15"/>
  <c r="T1035" i="13"/>
  <c r="AA1035" i="13"/>
  <c r="AF1035" i="13"/>
  <c r="A1021" i="15"/>
  <c r="T1036" i="13"/>
  <c r="AA1036" i="13"/>
  <c r="AF1036" i="13"/>
  <c r="A1022" i="15"/>
  <c r="T1037" i="13"/>
  <c r="AA1037" i="13"/>
  <c r="AF1037" i="13"/>
  <c r="A1023" i="15"/>
  <c r="T1038" i="13"/>
  <c r="AA1038" i="13"/>
  <c r="AF1038" i="13"/>
  <c r="A1024" i="15"/>
  <c r="T1039" i="13"/>
  <c r="AA1039" i="13"/>
  <c r="AF1039" i="13"/>
  <c r="A1025" i="15"/>
  <c r="T1040" i="13"/>
  <c r="AA1040" i="13"/>
  <c r="AF1040" i="13"/>
  <c r="A1026" i="15"/>
  <c r="T1041" i="13"/>
  <c r="AA1041" i="13"/>
  <c r="AF1041" i="13"/>
  <c r="A1027" i="15"/>
  <c r="T1042" i="13"/>
  <c r="AA1042" i="13"/>
  <c r="AF1042" i="13"/>
  <c r="A1028" i="15"/>
  <c r="T1043" i="13"/>
  <c r="AA1043" i="13"/>
  <c r="AF1043" i="13"/>
  <c r="A1029" i="15"/>
  <c r="T1044" i="13"/>
  <c r="AA1044" i="13"/>
  <c r="AF1044" i="13"/>
  <c r="A1030" i="15"/>
  <c r="T1045" i="13"/>
  <c r="AA1045" i="13"/>
  <c r="AF1045" i="13"/>
  <c r="A1031" i="15"/>
  <c r="T1046" i="13"/>
  <c r="AA1046" i="13"/>
  <c r="AF1046" i="13"/>
  <c r="A1032" i="15"/>
  <c r="T1047" i="13"/>
  <c r="AA1047" i="13"/>
  <c r="AF1047" i="13"/>
  <c r="A1033" i="15"/>
  <c r="T1048" i="13"/>
  <c r="AA1048" i="13"/>
  <c r="AF1048" i="13"/>
  <c r="A1034" i="15"/>
  <c r="T1049" i="13"/>
  <c r="AA1049" i="13"/>
  <c r="AF1049" i="13"/>
  <c r="A1035" i="15"/>
  <c r="T1050" i="13"/>
  <c r="AA1050" i="13"/>
  <c r="AF1050" i="13"/>
  <c r="A1036" i="15"/>
  <c r="T1051" i="13"/>
  <c r="AA1051" i="13"/>
  <c r="AF1051" i="13"/>
  <c r="A1037" i="15"/>
  <c r="T1052" i="13"/>
  <c r="AA1052" i="13"/>
  <c r="AF1052" i="13"/>
  <c r="A1038" i="15"/>
  <c r="T1053" i="13"/>
  <c r="AA1053" i="13"/>
  <c r="AF1053" i="13"/>
  <c r="A1039" i="15"/>
  <c r="T1054" i="13"/>
  <c r="AA1054" i="13"/>
  <c r="AF1054" i="13"/>
  <c r="A1040" i="15"/>
  <c r="T1055" i="13"/>
  <c r="AA1055" i="13"/>
  <c r="AF1055" i="13"/>
  <c r="A1041" i="15"/>
  <c r="T1056" i="13"/>
  <c r="AA1056" i="13"/>
  <c r="AF1056" i="13"/>
  <c r="A1042" i="15"/>
  <c r="T1057" i="13"/>
  <c r="AA1057" i="13"/>
  <c r="AF1057" i="13"/>
  <c r="A1043" i="15"/>
  <c r="T1058" i="13"/>
  <c r="AA1058" i="13"/>
  <c r="AF1058" i="13"/>
  <c r="A1044" i="15"/>
  <c r="T1059" i="13"/>
  <c r="AA1059" i="13"/>
  <c r="AF1059" i="13"/>
  <c r="A1045" i="15"/>
  <c r="T1060" i="13"/>
  <c r="AA1060" i="13"/>
  <c r="AF1060" i="13"/>
  <c r="A1046" i="15"/>
  <c r="T1061" i="13"/>
  <c r="AA1061" i="13"/>
  <c r="AF1061" i="13"/>
  <c r="A1047" i="15"/>
  <c r="T1062" i="13"/>
  <c r="AA1062" i="13"/>
  <c r="AF1062" i="13"/>
  <c r="A1048" i="15"/>
  <c r="AA1063" i="13"/>
  <c r="AF1063" i="13"/>
  <c r="A1049" i="15"/>
  <c r="T1064" i="13"/>
  <c r="AA1064" i="13"/>
  <c r="AF1064" i="13"/>
  <c r="A1050" i="15"/>
  <c r="T1065" i="13"/>
  <c r="AA1065" i="13"/>
  <c r="AF1065" i="13"/>
  <c r="A1051" i="15"/>
  <c r="T1066" i="13"/>
  <c r="AA1066" i="13"/>
  <c r="AF1066" i="13"/>
  <c r="A1052" i="15"/>
  <c r="T1067" i="13"/>
  <c r="AA1067" i="13"/>
  <c r="AF1067" i="13"/>
  <c r="A1053" i="15"/>
  <c r="T1068" i="13"/>
  <c r="AA1068" i="13"/>
  <c r="AF1068" i="13"/>
  <c r="A1054" i="15"/>
  <c r="T1069" i="13"/>
  <c r="AA1069" i="13"/>
  <c r="AF1069" i="13"/>
  <c r="A1055" i="15"/>
  <c r="T1070" i="13"/>
  <c r="AA1070" i="13"/>
  <c r="AF1070" i="13"/>
  <c r="A1056" i="15"/>
  <c r="T1071" i="13"/>
  <c r="AA1071" i="13"/>
  <c r="AF1071" i="13"/>
  <c r="A1057" i="15"/>
  <c r="T1072" i="13"/>
  <c r="AA1072" i="13"/>
  <c r="AF1072" i="13"/>
  <c r="A1058" i="15"/>
  <c r="AA1073" i="13"/>
  <c r="AF1073" i="13"/>
  <c r="A1059" i="15"/>
  <c r="T1074" i="13"/>
  <c r="AA1074" i="13"/>
  <c r="AF1074" i="13"/>
  <c r="A1060" i="15"/>
  <c r="T1075" i="13"/>
  <c r="AA1075" i="13"/>
  <c r="AF1075" i="13"/>
  <c r="A1061" i="15"/>
  <c r="T1076" i="13"/>
  <c r="AA1076" i="13"/>
  <c r="AF1076" i="13"/>
  <c r="A1062" i="15"/>
  <c r="T1077" i="13"/>
  <c r="AA1077" i="13"/>
  <c r="AF1077" i="13"/>
  <c r="A1063" i="15"/>
  <c r="T1078" i="13"/>
  <c r="AA1078" i="13"/>
  <c r="AF1078" i="13"/>
  <c r="A1064" i="15"/>
  <c r="T1079" i="13"/>
  <c r="AA1079" i="13"/>
  <c r="AF1079" i="13"/>
  <c r="A1065" i="15"/>
  <c r="T1080" i="13"/>
  <c r="AA1080" i="13"/>
  <c r="AF1080" i="13"/>
  <c r="A1066" i="15"/>
  <c r="T1081" i="13"/>
  <c r="AA1081" i="13"/>
  <c r="AF1081" i="13"/>
  <c r="A1067" i="15"/>
  <c r="T1082" i="13"/>
  <c r="AA1082" i="13"/>
  <c r="AF1082" i="13"/>
  <c r="A1068" i="15"/>
  <c r="T1083" i="13"/>
  <c r="AA1083" i="13"/>
  <c r="AF1083" i="13"/>
  <c r="A1069" i="15"/>
  <c r="T1084" i="13"/>
  <c r="AA1084" i="13"/>
  <c r="AF1084" i="13"/>
  <c r="A1070" i="15"/>
  <c r="T1085" i="13"/>
  <c r="AA1085" i="13"/>
  <c r="AF1085" i="13"/>
  <c r="A1071" i="15"/>
  <c r="T1086" i="13"/>
  <c r="AA1086" i="13"/>
  <c r="AF1086" i="13"/>
  <c r="A1072" i="15"/>
  <c r="T1087" i="13"/>
  <c r="AA1087" i="13"/>
  <c r="AF1087" i="13"/>
  <c r="A1073" i="15"/>
  <c r="T1088" i="13"/>
  <c r="AA1088" i="13"/>
  <c r="AF1088" i="13"/>
  <c r="A1074" i="15"/>
  <c r="T1089" i="13"/>
  <c r="AA1089" i="13"/>
  <c r="AF1089" i="13"/>
  <c r="A1075" i="15"/>
  <c r="T1090" i="13"/>
  <c r="AA1090" i="13"/>
  <c r="AF1090" i="13"/>
  <c r="A1076" i="15"/>
  <c r="T1091" i="13"/>
  <c r="AA1091" i="13"/>
  <c r="AF1091" i="13"/>
  <c r="A1077" i="15"/>
  <c r="T1092" i="13"/>
  <c r="AA1092" i="13"/>
  <c r="AF1092" i="13"/>
  <c r="A1078" i="15"/>
  <c r="T1093" i="13"/>
  <c r="AA1093" i="13"/>
  <c r="AF1093" i="13"/>
  <c r="A1079" i="15"/>
  <c r="T1094" i="13"/>
  <c r="AA1094" i="13"/>
  <c r="AF1094" i="13"/>
  <c r="A1080" i="15"/>
  <c r="T1095" i="13"/>
  <c r="AA1095" i="13"/>
  <c r="AF1095" i="13"/>
  <c r="A1081" i="15"/>
  <c r="T1096" i="13"/>
  <c r="AA1096" i="13"/>
  <c r="AF1096" i="13"/>
  <c r="A1082" i="15"/>
  <c r="T1097" i="13"/>
  <c r="AA1097" i="13"/>
  <c r="AF1097" i="13"/>
  <c r="A1083" i="15"/>
  <c r="T1098" i="13"/>
  <c r="AA1098" i="13"/>
  <c r="AF1098" i="13"/>
  <c r="A1084" i="15"/>
  <c r="T1099" i="13"/>
  <c r="AA1099" i="13"/>
  <c r="AF1099" i="13"/>
  <c r="A1085" i="15"/>
  <c r="T1100" i="13"/>
  <c r="AA1100" i="13"/>
  <c r="AF1100" i="13"/>
  <c r="A1086" i="15"/>
  <c r="T1101" i="13"/>
  <c r="AA1101" i="13"/>
  <c r="AF1101" i="13"/>
  <c r="A1087" i="15"/>
  <c r="T1102" i="13"/>
  <c r="AA1102" i="13"/>
  <c r="AF1102" i="13"/>
  <c r="A1088" i="15"/>
  <c r="T1103" i="13"/>
  <c r="AA1103" i="13"/>
  <c r="AF1103" i="13"/>
  <c r="A1089" i="15"/>
  <c r="T1104" i="13"/>
  <c r="AA1104" i="13"/>
  <c r="AF1104" i="13"/>
  <c r="A1090" i="15"/>
  <c r="T1105" i="13"/>
  <c r="AA1105" i="13"/>
  <c r="AF1105" i="13"/>
  <c r="A1091" i="15"/>
  <c r="T1106" i="13"/>
  <c r="AA1106" i="13"/>
  <c r="AF1106" i="13"/>
  <c r="A1092" i="15"/>
  <c r="T1107" i="13"/>
  <c r="AA1107" i="13"/>
  <c r="AF1107" i="13"/>
  <c r="A1093" i="15"/>
  <c r="T1108" i="13"/>
  <c r="AA1108" i="13"/>
  <c r="AF1108" i="13"/>
  <c r="A1094" i="15"/>
  <c r="T1109" i="13"/>
  <c r="AA1109" i="13"/>
  <c r="AF1109" i="13"/>
  <c r="A1095" i="15"/>
  <c r="T1110" i="13"/>
  <c r="AA1110" i="13"/>
  <c r="AF1110" i="13"/>
  <c r="A1096" i="15"/>
  <c r="T1111" i="13"/>
  <c r="AA1111" i="13"/>
  <c r="AF1111" i="13"/>
  <c r="A1097" i="15"/>
  <c r="T1112" i="13"/>
  <c r="AA1112" i="13"/>
  <c r="AF1112" i="13"/>
  <c r="A1098" i="15"/>
  <c r="T1113" i="13"/>
  <c r="AA1113" i="13"/>
  <c r="AF1113" i="13"/>
  <c r="A1099" i="15"/>
  <c r="T1114" i="13"/>
  <c r="AA1114" i="13"/>
  <c r="AF1114" i="13"/>
  <c r="A1100" i="15"/>
  <c r="T1115" i="13"/>
  <c r="AA1115" i="13"/>
  <c r="AF1115" i="13"/>
  <c r="A1101" i="15"/>
  <c r="T1116" i="13"/>
  <c r="AA1116" i="13"/>
  <c r="AF1116" i="13"/>
  <c r="A1102" i="15"/>
  <c r="T1117" i="13"/>
  <c r="AA1117" i="13"/>
  <c r="AF1117" i="13"/>
  <c r="A1103" i="15"/>
  <c r="T1118" i="13"/>
  <c r="AA1118" i="13"/>
  <c r="AF1118" i="13"/>
  <c r="A1104" i="15"/>
  <c r="T1119" i="13"/>
  <c r="AA1119" i="13"/>
  <c r="AF1119" i="13"/>
  <c r="A1105" i="15"/>
  <c r="T1120" i="13"/>
  <c r="AA1120" i="13"/>
  <c r="AF1120" i="13"/>
  <c r="A1106" i="15"/>
  <c r="T1121" i="13"/>
  <c r="AA1121" i="13"/>
  <c r="AF1121" i="13"/>
  <c r="A1107" i="15"/>
  <c r="T1122" i="13"/>
  <c r="AA1122" i="13"/>
  <c r="AF1122" i="13"/>
  <c r="A1108" i="15"/>
  <c r="T1123" i="13"/>
  <c r="AA1123" i="13"/>
  <c r="AF1123" i="13"/>
  <c r="A1109" i="15"/>
  <c r="T1124" i="13"/>
  <c r="AA1124" i="13"/>
  <c r="AF1124" i="13"/>
  <c r="A1110" i="15"/>
  <c r="T1125" i="13"/>
  <c r="AA1125" i="13"/>
  <c r="AF1125" i="13"/>
  <c r="A1111" i="15"/>
  <c r="T1126" i="13"/>
  <c r="AA1126" i="13"/>
  <c r="AF1126" i="13"/>
  <c r="A1112" i="15"/>
  <c r="T1127" i="13"/>
  <c r="AA1127" i="13"/>
  <c r="AF1127" i="13"/>
  <c r="A1113" i="15"/>
  <c r="T1128" i="13"/>
  <c r="AA1128" i="13"/>
  <c r="AF1128" i="13"/>
  <c r="A1114" i="15"/>
  <c r="T1129" i="13"/>
  <c r="AA1129" i="13"/>
  <c r="AF1129" i="13"/>
  <c r="A1115" i="15"/>
  <c r="T1130" i="13"/>
  <c r="AA1130" i="13"/>
  <c r="AF1130" i="13"/>
  <c r="A1116" i="15"/>
  <c r="T1131" i="13"/>
  <c r="AA1131" i="13"/>
  <c r="AF1131" i="13"/>
  <c r="A1117" i="15"/>
  <c r="T1132" i="13"/>
  <c r="AA1132" i="13"/>
  <c r="AF1132" i="13"/>
  <c r="A1118" i="15"/>
  <c r="T1133" i="13"/>
  <c r="AA1133" i="13"/>
  <c r="AF1133" i="13"/>
  <c r="A1119" i="15"/>
  <c r="T1134" i="13"/>
  <c r="AA1134" i="13"/>
  <c r="AF1134" i="13"/>
  <c r="A1120" i="15"/>
  <c r="T1135" i="13"/>
  <c r="AA1135" i="13"/>
  <c r="AF1135" i="13"/>
  <c r="A1121" i="15"/>
  <c r="T1136" i="13"/>
  <c r="AA1136" i="13"/>
  <c r="AF1136" i="13"/>
  <c r="A1122" i="15"/>
  <c r="T1137" i="13"/>
  <c r="AA1137" i="13"/>
  <c r="AF1137" i="13"/>
  <c r="A1123" i="15"/>
  <c r="T1138" i="13"/>
  <c r="AA1138" i="13"/>
  <c r="AF1138" i="13"/>
  <c r="A1124" i="15"/>
  <c r="T1139" i="13"/>
  <c r="AA1139" i="13"/>
  <c r="AF1139" i="13"/>
  <c r="A1125" i="15"/>
  <c r="T1140" i="13"/>
  <c r="AA1140" i="13"/>
  <c r="AF1140" i="13"/>
  <c r="A1126" i="15"/>
  <c r="T1141" i="13"/>
  <c r="AA1141" i="13"/>
  <c r="AF1141" i="13"/>
  <c r="A1127" i="15"/>
  <c r="T1142" i="13"/>
  <c r="AA1142" i="13"/>
  <c r="AF1142" i="13"/>
  <c r="A1128" i="15"/>
  <c r="T1143" i="13"/>
  <c r="AA1143" i="13"/>
  <c r="AF1143" i="13"/>
  <c r="A1129" i="15"/>
  <c r="T1144" i="13"/>
  <c r="AA1144" i="13"/>
  <c r="AF1144" i="13"/>
  <c r="A1130" i="15"/>
  <c r="T1145" i="13"/>
  <c r="AA1145" i="13"/>
  <c r="AF1145" i="13"/>
  <c r="A1131" i="15"/>
  <c r="T1146" i="13"/>
  <c r="AA1146" i="13"/>
  <c r="AF1146" i="13"/>
  <c r="A1132" i="15"/>
  <c r="T1147" i="13"/>
  <c r="AA1147" i="13"/>
  <c r="AF1147" i="13"/>
  <c r="A1133" i="15"/>
  <c r="T1148" i="13"/>
  <c r="AA1148" i="13"/>
  <c r="AF1148" i="13"/>
  <c r="A1134" i="15"/>
  <c r="T1149" i="13"/>
  <c r="AA1149" i="13"/>
  <c r="AF1149" i="13"/>
  <c r="A1135" i="15"/>
  <c r="T1150" i="13"/>
  <c r="AA1150" i="13"/>
  <c r="AF1150" i="13"/>
  <c r="A1136" i="15"/>
  <c r="T1151" i="13"/>
  <c r="AA1151" i="13"/>
  <c r="AF1151" i="13"/>
  <c r="A1137" i="15"/>
  <c r="T1152" i="13"/>
  <c r="AA1152" i="13"/>
  <c r="AF1152" i="13"/>
  <c r="A1138" i="15"/>
  <c r="T1153" i="13"/>
  <c r="AA1153" i="13"/>
  <c r="AF1153" i="13"/>
  <c r="A1139" i="15"/>
  <c r="T1154" i="13"/>
  <c r="AA1154" i="13"/>
  <c r="AF1154" i="13"/>
  <c r="A1140" i="15"/>
  <c r="T1155" i="13"/>
  <c r="AA1155" i="13"/>
  <c r="AF1155" i="13"/>
  <c r="A1141" i="15"/>
  <c r="T1156" i="13"/>
  <c r="AA1156" i="13"/>
  <c r="AF1156" i="13"/>
  <c r="A1142" i="15"/>
  <c r="T1157" i="13"/>
  <c r="AA1157" i="13"/>
  <c r="AF1157" i="13"/>
  <c r="A1143" i="15"/>
  <c r="T1158" i="13"/>
  <c r="AA1158" i="13"/>
  <c r="AF1158" i="13"/>
  <c r="A1144" i="15"/>
  <c r="T1159" i="13"/>
  <c r="AA1159" i="13"/>
  <c r="AF1159" i="13"/>
  <c r="A1145" i="15"/>
  <c r="T1160" i="13"/>
  <c r="AA1160" i="13"/>
  <c r="AF1160" i="13"/>
  <c r="A1146" i="15"/>
  <c r="T1161" i="13"/>
  <c r="AA1161" i="13"/>
  <c r="AF1161" i="13"/>
  <c r="A1147" i="15"/>
  <c r="T1162" i="13"/>
  <c r="AA1162" i="13"/>
  <c r="AF1162" i="13"/>
  <c r="A1148" i="15"/>
  <c r="T1163" i="13"/>
  <c r="AA1163" i="13"/>
  <c r="AF1163" i="13"/>
  <c r="A1149" i="15"/>
  <c r="T1164" i="13"/>
  <c r="AA1164" i="13"/>
  <c r="AF1164" i="13"/>
  <c r="A1150" i="15"/>
  <c r="T1165" i="13"/>
  <c r="AA1165" i="13"/>
  <c r="AF1165" i="13"/>
  <c r="A1151" i="15"/>
  <c r="T1166" i="13"/>
  <c r="AA1166" i="13"/>
  <c r="AF1166" i="13"/>
  <c r="A1152" i="15"/>
  <c r="T1167" i="13"/>
  <c r="AA1167" i="13"/>
  <c r="AF1167" i="13"/>
  <c r="A1153" i="15"/>
  <c r="T1168" i="13"/>
  <c r="AA1168" i="13"/>
  <c r="AF1168" i="13"/>
  <c r="A1154" i="15"/>
  <c r="T1169" i="13"/>
  <c r="AA1169" i="13"/>
  <c r="AF1169" i="13"/>
  <c r="A1155" i="15"/>
  <c r="T1170" i="13"/>
  <c r="AA1170" i="13"/>
  <c r="AF1170" i="13"/>
  <c r="A1156" i="15"/>
  <c r="T1171" i="13"/>
  <c r="AA1171" i="13"/>
  <c r="AF1171" i="13"/>
  <c r="A1157" i="15"/>
  <c r="T1172" i="13"/>
  <c r="AA1172" i="13"/>
  <c r="AF1172" i="13"/>
  <c r="A1158" i="15"/>
  <c r="T1173" i="13"/>
  <c r="AA1173" i="13"/>
  <c r="AF1173" i="13"/>
  <c r="A1159" i="15"/>
  <c r="T1174" i="13"/>
  <c r="AA1174" i="13"/>
  <c r="AF1174" i="13"/>
  <c r="A1160" i="15"/>
  <c r="T1175" i="13"/>
  <c r="AA1175" i="13"/>
  <c r="AF1175" i="13"/>
  <c r="A1161" i="15"/>
  <c r="T1176" i="13"/>
  <c r="AA1176" i="13"/>
  <c r="AF1176" i="13"/>
  <c r="A1162" i="15"/>
  <c r="T1177" i="13"/>
  <c r="AA1177" i="13"/>
  <c r="AF1177" i="13"/>
  <c r="A1163" i="15"/>
  <c r="T1178" i="13"/>
  <c r="AA1178" i="13"/>
  <c r="AF1178" i="13"/>
  <c r="A1164" i="15"/>
  <c r="T1179" i="13"/>
  <c r="AA1179" i="13"/>
  <c r="AF1179" i="13"/>
  <c r="A1165" i="15"/>
  <c r="T1180" i="13"/>
  <c r="AA1180" i="13"/>
  <c r="AF1180" i="13"/>
  <c r="A1166" i="15"/>
  <c r="T1181" i="13"/>
  <c r="AA1181" i="13"/>
  <c r="AF1181" i="13"/>
  <c r="A1167" i="15"/>
  <c r="T1182" i="13"/>
  <c r="AA1182" i="13"/>
  <c r="AF1182" i="13"/>
  <c r="A1168" i="15"/>
  <c r="T1183" i="13"/>
  <c r="AA1183" i="13"/>
  <c r="AF1183" i="13"/>
  <c r="A1169" i="15"/>
  <c r="T1184" i="13"/>
  <c r="AA1184" i="13"/>
  <c r="AF1184" i="13"/>
  <c r="A1170" i="15"/>
  <c r="T1185" i="13"/>
  <c r="AA1185" i="13"/>
  <c r="AF1185" i="13"/>
  <c r="A1171" i="15"/>
  <c r="T1186" i="13"/>
  <c r="AA1186" i="13"/>
  <c r="AF1186" i="13"/>
  <c r="A1172" i="15"/>
  <c r="T1187" i="13"/>
  <c r="AA1187" i="13"/>
  <c r="AF1187" i="13"/>
  <c r="A1173" i="15"/>
  <c r="T1188" i="13"/>
  <c r="AA1188" i="13"/>
  <c r="AF1188" i="13"/>
  <c r="A1174" i="15"/>
  <c r="T1189" i="13"/>
  <c r="AA1189" i="13"/>
  <c r="AF1189" i="13"/>
  <c r="A1175" i="15"/>
  <c r="T1190" i="13"/>
  <c r="AA1190" i="13"/>
  <c r="AF1190" i="13"/>
  <c r="A1176" i="15"/>
  <c r="T1191" i="13"/>
  <c r="AA1191" i="13"/>
  <c r="AF1191" i="13"/>
  <c r="A1177" i="15"/>
  <c r="T1192" i="13"/>
  <c r="AA1192" i="13"/>
  <c r="AF1192" i="13"/>
  <c r="A1178" i="15"/>
  <c r="T1193" i="13"/>
  <c r="AA1193" i="13"/>
  <c r="AF1193" i="13"/>
  <c r="A1179" i="15"/>
  <c r="T1194" i="13"/>
  <c r="AA1194" i="13"/>
  <c r="AF1194" i="13"/>
  <c r="A1180" i="15"/>
  <c r="T1195" i="13"/>
  <c r="AA1195" i="13"/>
  <c r="AF1195" i="13"/>
  <c r="A1181" i="15"/>
  <c r="T1196" i="13"/>
  <c r="AA1196" i="13"/>
  <c r="AF1196" i="13"/>
  <c r="A1182" i="15"/>
  <c r="T1197" i="13"/>
  <c r="AA1197" i="13"/>
  <c r="AF1197" i="13"/>
  <c r="A1183" i="15"/>
  <c r="T1198" i="13"/>
  <c r="AA1198" i="13"/>
  <c r="AF1198" i="13"/>
  <c r="A1184" i="15"/>
  <c r="T1199" i="13"/>
  <c r="AA1199" i="13"/>
  <c r="AF1199" i="13"/>
  <c r="A1185" i="15"/>
  <c r="T1200" i="13"/>
  <c r="AA1200" i="13"/>
  <c r="AF1200" i="13"/>
  <c r="A1186" i="15"/>
  <c r="T1201" i="13"/>
  <c r="AA1201" i="13"/>
  <c r="AF1201" i="13"/>
  <c r="A1187" i="15"/>
  <c r="T1202" i="13"/>
  <c r="AA1202" i="13"/>
  <c r="AF1202" i="13"/>
  <c r="A1188" i="15"/>
  <c r="T1203" i="13"/>
  <c r="AA1203" i="13"/>
  <c r="AF1203" i="13"/>
  <c r="A1189" i="15"/>
  <c r="T1204" i="13"/>
  <c r="AA1204" i="13"/>
  <c r="AF1204" i="13"/>
  <c r="A1190" i="15"/>
  <c r="T1205" i="13"/>
  <c r="AA1205" i="13"/>
  <c r="AF1205" i="13"/>
  <c r="A1191" i="15"/>
  <c r="T1206" i="13"/>
  <c r="AA1206" i="13"/>
  <c r="AF1206" i="13"/>
  <c r="A1192" i="15"/>
  <c r="T1207" i="13"/>
  <c r="AA1207" i="13"/>
  <c r="AF1207" i="13"/>
  <c r="A1193" i="15"/>
  <c r="T1208" i="13"/>
  <c r="AA1208" i="13"/>
  <c r="AF1208" i="13"/>
  <c r="A1194" i="15"/>
  <c r="T1209" i="13"/>
  <c r="AA1209" i="13"/>
  <c r="AF1209" i="13"/>
  <c r="A1195" i="15"/>
  <c r="T1210" i="13"/>
  <c r="AA1210" i="13"/>
  <c r="AF1210" i="13"/>
  <c r="A1196" i="15"/>
  <c r="T1211" i="13"/>
  <c r="AA1211" i="13"/>
  <c r="AF1211" i="13"/>
  <c r="A1197" i="15"/>
  <c r="T1212" i="13"/>
  <c r="AA1212" i="13"/>
  <c r="AF1212" i="13"/>
  <c r="A1198" i="15"/>
  <c r="T1213" i="13"/>
  <c r="AA1213" i="13"/>
  <c r="AF1213" i="13"/>
  <c r="A1199" i="15"/>
  <c r="T1214" i="13"/>
  <c r="AA1214" i="13"/>
  <c r="AF1214" i="13"/>
  <c r="A1200" i="15"/>
  <c r="T1215" i="13"/>
  <c r="AA1215" i="13"/>
  <c r="AF1215" i="13"/>
  <c r="A1201" i="15"/>
  <c r="T1216" i="13"/>
  <c r="AA1216" i="13"/>
  <c r="AF1216" i="13"/>
  <c r="A1202" i="15"/>
  <c r="T1217" i="13"/>
  <c r="AA1217" i="13"/>
  <c r="AF1217" i="13"/>
  <c r="A1203" i="15"/>
  <c r="T1218" i="13"/>
  <c r="AA1218" i="13"/>
  <c r="AF1218" i="13"/>
  <c r="A1204" i="15"/>
  <c r="T1219" i="13"/>
  <c r="AA1219" i="13"/>
  <c r="AF1219" i="13"/>
  <c r="A1205" i="15"/>
  <c r="T1220" i="13"/>
  <c r="AA1220" i="13"/>
  <c r="AF1220" i="13"/>
  <c r="A1206" i="15"/>
  <c r="T1221" i="13"/>
  <c r="AA1221" i="13"/>
  <c r="AF1221" i="13"/>
  <c r="A1207" i="15"/>
  <c r="T1222" i="13"/>
  <c r="AA1222" i="13"/>
  <c r="AF1222" i="13"/>
  <c r="A1208" i="15"/>
  <c r="T1223" i="13"/>
  <c r="AA1223" i="13"/>
  <c r="AF1223" i="13"/>
  <c r="A1209" i="15"/>
  <c r="T1224" i="13"/>
  <c r="AA1224" i="13"/>
  <c r="AF1224" i="13"/>
  <c r="A1210" i="15"/>
  <c r="T1225" i="13"/>
  <c r="AA1225" i="13"/>
  <c r="AF1225" i="13"/>
  <c r="A1211" i="15"/>
  <c r="T1226" i="13"/>
  <c r="AA1226" i="13"/>
  <c r="AF1226" i="13"/>
  <c r="A1212" i="15"/>
  <c r="T1227" i="13"/>
  <c r="AA1227" i="13"/>
  <c r="AF1227" i="13"/>
  <c r="A1213" i="15"/>
  <c r="T1228" i="13"/>
  <c r="AA1228" i="13"/>
  <c r="AF1228" i="13"/>
  <c r="A1214" i="15"/>
  <c r="T1229" i="13"/>
  <c r="AA1229" i="13"/>
  <c r="AF1229" i="13"/>
  <c r="A1215" i="15"/>
  <c r="T1230" i="13"/>
  <c r="AA1230" i="13"/>
  <c r="AF1230" i="13"/>
  <c r="A1216" i="15"/>
  <c r="T1231" i="13"/>
  <c r="AA1231" i="13"/>
  <c r="AF1231" i="13"/>
  <c r="A1217" i="15"/>
  <c r="T1232" i="13"/>
  <c r="AA1232" i="13"/>
  <c r="AF1232" i="13"/>
  <c r="A1218" i="15"/>
  <c r="T1233" i="13"/>
  <c r="AA1233" i="13"/>
  <c r="AF1233" i="13"/>
  <c r="A1219" i="15"/>
  <c r="T1234" i="13"/>
  <c r="AA1234" i="13"/>
  <c r="AF1234" i="13"/>
  <c r="A1220" i="15"/>
  <c r="T1235" i="13"/>
  <c r="AA1235" i="13"/>
  <c r="AF1235" i="13"/>
  <c r="A1221" i="15"/>
  <c r="T1236" i="13"/>
  <c r="AA1236" i="13"/>
  <c r="AF1236" i="13"/>
  <c r="A1222" i="15"/>
  <c r="T1237" i="13"/>
  <c r="AA1237" i="13"/>
  <c r="AF1237" i="13"/>
  <c r="A1223" i="15"/>
  <c r="T1238" i="13"/>
  <c r="AA1238" i="13"/>
  <c r="AF1238" i="13"/>
  <c r="A1224" i="15"/>
  <c r="T1239" i="13"/>
  <c r="AA1239" i="13"/>
  <c r="AF1239" i="13"/>
  <c r="A1225" i="15"/>
  <c r="T1240" i="13"/>
  <c r="AA1240" i="13"/>
  <c r="AF1240" i="13"/>
  <c r="A1226" i="15"/>
  <c r="T1241" i="13"/>
  <c r="AA1241" i="13"/>
  <c r="AF1241" i="13"/>
  <c r="A1227" i="15"/>
  <c r="T1242" i="13"/>
  <c r="AA1242" i="13"/>
  <c r="AF1242" i="13"/>
  <c r="A1228" i="15"/>
  <c r="T1243" i="13"/>
  <c r="AA1243" i="13"/>
  <c r="AF1243" i="13"/>
  <c r="A1229" i="15"/>
  <c r="T1244" i="13"/>
  <c r="AA1244" i="13"/>
  <c r="AF1244" i="13"/>
  <c r="A1230" i="15"/>
  <c r="T1245" i="13"/>
  <c r="AA1245" i="13"/>
  <c r="AF1245" i="13"/>
  <c r="A1231" i="15"/>
  <c r="T1246" i="13"/>
  <c r="AA1246" i="13"/>
  <c r="AF1246" i="13"/>
  <c r="A1232" i="15"/>
  <c r="T1247" i="13"/>
  <c r="AA1247" i="13"/>
  <c r="AF1247" i="13"/>
  <c r="A1233" i="15"/>
  <c r="T1248" i="13"/>
  <c r="AA1248" i="13"/>
  <c r="AF1248" i="13"/>
  <c r="A1234" i="15"/>
  <c r="T1249" i="13"/>
  <c r="AA1249" i="13"/>
  <c r="AF1249" i="13"/>
  <c r="A1235" i="15"/>
  <c r="T1250" i="13"/>
  <c r="AA1250" i="13"/>
  <c r="AF1250" i="13"/>
  <c r="A1236" i="15"/>
  <c r="T1251" i="13"/>
  <c r="AA1251" i="13"/>
  <c r="AF1251" i="13"/>
  <c r="A1237" i="15"/>
  <c r="T1252" i="13"/>
  <c r="AA1252" i="13"/>
  <c r="AF1252" i="13"/>
  <c r="A1238" i="15"/>
  <c r="T1253" i="13"/>
  <c r="AA1253" i="13"/>
  <c r="AF1253" i="13"/>
  <c r="A1239" i="15"/>
  <c r="T1254" i="13"/>
  <c r="AA1254" i="13"/>
  <c r="AF1254" i="13"/>
  <c r="A1240" i="15"/>
  <c r="T1255" i="13"/>
  <c r="AA1255" i="13"/>
  <c r="AF1255" i="13"/>
  <c r="A1241" i="15"/>
  <c r="T1256" i="13"/>
  <c r="AA1256" i="13"/>
  <c r="AF1256" i="13"/>
  <c r="A1242" i="15"/>
  <c r="T1257" i="13"/>
  <c r="AA1257" i="13"/>
  <c r="AF1257" i="13"/>
  <c r="A1243" i="15"/>
  <c r="T1258" i="13"/>
  <c r="AA1258" i="13"/>
  <c r="AF1258" i="13"/>
  <c r="A1244" i="15"/>
  <c r="T1259" i="13"/>
  <c r="AA1259" i="13"/>
  <c r="AF1259" i="13"/>
  <c r="A1245" i="15"/>
  <c r="T1260" i="13"/>
  <c r="AA1260" i="13"/>
  <c r="AF1260" i="13"/>
  <c r="A1246" i="15"/>
  <c r="T1261" i="13"/>
  <c r="AA1261" i="13"/>
  <c r="AF1261" i="13"/>
  <c r="A1247" i="15"/>
  <c r="T1262" i="13"/>
  <c r="AA1262" i="13"/>
  <c r="AF1262" i="13"/>
  <c r="A1248" i="15"/>
  <c r="T1263" i="13"/>
  <c r="AA1263" i="13"/>
  <c r="AF1263" i="13"/>
  <c r="A1249" i="15"/>
  <c r="T1264" i="13"/>
  <c r="AA1264" i="13"/>
  <c r="AF1264" i="13"/>
  <c r="A1250" i="15"/>
  <c r="T1265" i="13"/>
  <c r="AA1265" i="13"/>
  <c r="AF1265" i="13"/>
  <c r="A1251" i="15"/>
  <c r="T1266" i="13"/>
  <c r="AA1266" i="13"/>
  <c r="AF1266" i="13"/>
  <c r="A1252" i="15"/>
  <c r="T1267" i="13"/>
  <c r="AA1267" i="13"/>
  <c r="AF1267" i="13"/>
  <c r="A1253" i="15"/>
  <c r="T1268" i="13"/>
  <c r="AA1268" i="13"/>
  <c r="AF1268" i="13"/>
  <c r="A1254" i="15"/>
  <c r="T1269" i="13"/>
  <c r="AA1269" i="13"/>
  <c r="AF1269" i="13"/>
  <c r="A1255" i="15"/>
  <c r="T1270" i="13"/>
  <c r="AA1270" i="13"/>
  <c r="AF1270" i="13"/>
  <c r="A1256" i="15"/>
  <c r="T1271" i="13"/>
  <c r="AA1271" i="13"/>
  <c r="AF1271" i="13"/>
  <c r="A1257" i="15"/>
  <c r="T1272" i="13"/>
  <c r="AA1272" i="13"/>
  <c r="AF1272" i="13"/>
  <c r="A1258" i="15"/>
  <c r="T1273" i="13"/>
  <c r="AA1273" i="13"/>
  <c r="AF1273" i="13"/>
  <c r="A1259" i="15"/>
  <c r="T1274" i="13"/>
  <c r="AA1274" i="13"/>
  <c r="AF1274" i="13"/>
  <c r="A1260" i="15"/>
  <c r="T1275" i="13"/>
  <c r="AA1275" i="13"/>
  <c r="AF1275" i="13"/>
  <c r="A1261" i="15"/>
  <c r="T1276" i="13"/>
  <c r="AA1276" i="13"/>
  <c r="AF1276" i="13"/>
  <c r="A1262" i="15"/>
  <c r="T1277" i="13"/>
  <c r="AA1277" i="13"/>
  <c r="AF1277" i="13"/>
  <c r="A1263" i="15"/>
  <c r="T1278" i="13"/>
  <c r="AA1278" i="13"/>
  <c r="AF1278" i="13"/>
  <c r="A1264" i="15"/>
  <c r="T1279" i="13"/>
  <c r="AA1279" i="13"/>
  <c r="AF1279" i="13"/>
  <c r="A1265" i="15"/>
  <c r="T1280" i="13"/>
  <c r="AA1280" i="13"/>
  <c r="AF1280" i="13"/>
  <c r="A1266" i="15"/>
  <c r="T1281" i="13"/>
  <c r="AA1281" i="13"/>
  <c r="AF1281" i="13"/>
  <c r="A1267" i="15"/>
  <c r="T1282" i="13"/>
  <c r="AA1282" i="13"/>
  <c r="AF1282" i="13"/>
  <c r="A1268" i="15"/>
  <c r="T1283" i="13"/>
  <c r="AA1283" i="13"/>
  <c r="AF1283" i="13"/>
  <c r="A1269" i="15"/>
  <c r="T1284" i="13"/>
  <c r="AA1284" i="13"/>
  <c r="AF1284" i="13"/>
  <c r="A1270" i="15"/>
  <c r="T1285" i="13"/>
  <c r="AA1285" i="13"/>
  <c r="AF1285" i="13"/>
  <c r="A1271" i="15"/>
  <c r="T1286" i="13"/>
  <c r="AA1286" i="13"/>
  <c r="AF1286" i="13"/>
  <c r="A1272" i="15"/>
  <c r="T1287" i="13"/>
  <c r="AA1287" i="13"/>
  <c r="AF1287" i="13"/>
  <c r="A1273" i="15"/>
  <c r="T1288" i="13"/>
  <c r="AA1288" i="13"/>
  <c r="AF1288" i="13"/>
  <c r="A1274" i="15"/>
  <c r="T1289" i="13"/>
  <c r="AA1289" i="13"/>
  <c r="AF1289" i="13"/>
  <c r="A1275" i="15"/>
  <c r="T1290" i="13"/>
  <c r="AA1290" i="13"/>
  <c r="AF1290" i="13"/>
  <c r="A1276" i="15"/>
  <c r="T1291" i="13"/>
  <c r="AA1291" i="13"/>
  <c r="AF1291" i="13"/>
  <c r="A1277" i="15"/>
  <c r="T1292" i="13"/>
  <c r="AA1292" i="13"/>
  <c r="AF1292" i="13"/>
  <c r="A1278" i="15"/>
  <c r="T1293" i="13"/>
  <c r="AA1293" i="13"/>
  <c r="AF1293" i="13"/>
  <c r="A1279" i="15"/>
  <c r="T1294" i="13"/>
  <c r="AA1294" i="13"/>
  <c r="AF1294" i="13"/>
  <c r="A1280" i="15"/>
  <c r="T1295" i="13"/>
  <c r="AA1295" i="13"/>
  <c r="AF1295" i="13"/>
  <c r="A1281" i="15"/>
  <c r="T1296" i="13"/>
  <c r="AA1296" i="13"/>
  <c r="AF1296" i="13"/>
  <c r="A1282" i="15"/>
  <c r="T1297" i="13"/>
  <c r="AA1297" i="13"/>
  <c r="AF1297" i="13"/>
  <c r="A1283" i="15"/>
  <c r="T1298" i="13"/>
  <c r="AA1298" i="13"/>
  <c r="AF1298" i="13"/>
  <c r="A1284" i="15"/>
  <c r="T1299" i="13"/>
  <c r="AA1299" i="13"/>
  <c r="AF1299" i="13"/>
  <c r="A1285" i="15"/>
  <c r="T1300" i="13"/>
  <c r="AA1300" i="13"/>
  <c r="AF1300" i="13"/>
  <c r="A1286" i="15"/>
  <c r="T1301" i="13"/>
  <c r="AA1301" i="13"/>
  <c r="AF1301" i="13"/>
  <c r="A1287" i="15"/>
  <c r="T1302" i="13"/>
  <c r="AA1302" i="13"/>
  <c r="AF1302" i="13"/>
  <c r="A1288" i="15"/>
  <c r="T1303" i="13"/>
  <c r="AA1303" i="13"/>
  <c r="AF1303" i="13"/>
  <c r="A1289" i="15"/>
  <c r="T1304" i="13"/>
  <c r="AA1304" i="13"/>
  <c r="AF1304" i="13"/>
  <c r="A1290" i="15"/>
  <c r="T1305" i="13"/>
  <c r="AA1305" i="13"/>
  <c r="AF1305" i="13"/>
  <c r="A1291" i="15"/>
  <c r="T1306" i="13"/>
  <c r="AA1306" i="13"/>
  <c r="AF1306" i="13"/>
  <c r="A1292" i="15"/>
  <c r="T1307" i="13"/>
  <c r="AA1307" i="13"/>
  <c r="AF1307" i="13"/>
  <c r="A1293" i="15"/>
  <c r="T1308" i="13"/>
  <c r="AA1308" i="13"/>
  <c r="AF1308" i="13"/>
  <c r="A1294" i="15"/>
  <c r="T1309" i="13"/>
  <c r="AA1309" i="13"/>
  <c r="AF1309" i="13"/>
  <c r="A1295" i="15"/>
  <c r="T1310" i="13"/>
  <c r="AA1310" i="13"/>
  <c r="AF1310" i="13"/>
  <c r="A1296" i="15"/>
  <c r="T1311" i="13"/>
  <c r="AA1311" i="13"/>
  <c r="AF1311" i="13"/>
  <c r="A1297" i="15"/>
  <c r="T1312" i="13"/>
  <c r="AA1312" i="13"/>
  <c r="AF1312" i="13"/>
  <c r="A1298" i="15"/>
  <c r="T1313" i="13"/>
  <c r="AA1313" i="13"/>
  <c r="AF1313" i="13"/>
  <c r="A1299" i="15"/>
  <c r="T1314" i="13"/>
  <c r="AA1314" i="13"/>
  <c r="AF1314" i="13"/>
  <c r="A1300" i="15"/>
  <c r="T1315" i="13"/>
  <c r="AA1315" i="13"/>
  <c r="AF1315" i="13"/>
  <c r="A1301" i="15"/>
  <c r="T1316" i="13"/>
  <c r="AA1316" i="13"/>
  <c r="AF1316" i="13"/>
  <c r="A1302" i="15"/>
  <c r="T1317" i="13"/>
  <c r="AA1317" i="13"/>
  <c r="AF1317" i="13"/>
  <c r="A1303" i="15"/>
  <c r="T1318" i="13"/>
  <c r="AA1318" i="13"/>
  <c r="AF1318" i="13"/>
  <c r="A1304" i="15"/>
  <c r="T1319" i="13"/>
  <c r="AA1319" i="13"/>
  <c r="AF1319" i="13"/>
  <c r="A1305" i="15"/>
  <c r="T1320" i="13"/>
  <c r="AA1320" i="13"/>
  <c r="AF1320" i="13"/>
  <c r="A1306" i="15"/>
  <c r="T1321" i="13"/>
  <c r="AA1321" i="13"/>
  <c r="AF1321" i="13"/>
  <c r="A1307" i="15"/>
  <c r="T1322" i="13"/>
  <c r="AA1322" i="13"/>
  <c r="AF1322" i="13"/>
  <c r="A1308" i="15"/>
  <c r="T1323" i="13"/>
  <c r="AA1323" i="13"/>
  <c r="AF1323" i="13"/>
  <c r="A1309" i="15"/>
  <c r="T1324" i="13"/>
  <c r="AA1324" i="13"/>
  <c r="AF1324" i="13"/>
  <c r="A1310" i="15"/>
  <c r="T1325" i="13"/>
  <c r="AA1325" i="13"/>
  <c r="AF1325" i="13"/>
  <c r="A1311" i="15"/>
  <c r="T1326" i="13"/>
  <c r="AA1326" i="13"/>
  <c r="AF1326" i="13"/>
  <c r="A1312" i="15"/>
  <c r="T1327" i="13"/>
  <c r="AA1327" i="13"/>
  <c r="AF1327" i="13"/>
  <c r="A1313" i="15"/>
  <c r="T1328" i="13"/>
  <c r="AA1328" i="13"/>
  <c r="AF1328" i="13"/>
  <c r="A1314" i="15"/>
  <c r="T1329" i="13"/>
  <c r="AA1329" i="13"/>
  <c r="AF1329" i="13"/>
  <c r="A1315" i="15"/>
  <c r="T1330" i="13"/>
  <c r="AA1330" i="13"/>
  <c r="AF1330" i="13"/>
  <c r="A1316" i="15"/>
  <c r="T1331" i="13"/>
  <c r="AA1331" i="13"/>
  <c r="AF1331" i="13"/>
  <c r="A1317" i="15"/>
  <c r="T1332" i="13"/>
  <c r="AA1332" i="13"/>
  <c r="AF1332" i="13"/>
  <c r="A1318" i="15"/>
  <c r="T1333" i="13"/>
  <c r="AA1333" i="13"/>
  <c r="AF1333" i="13"/>
  <c r="A1319" i="15"/>
  <c r="T1334" i="13"/>
  <c r="AA1334" i="13"/>
  <c r="AF1334" i="13"/>
  <c r="A1320" i="15"/>
  <c r="T1335" i="13"/>
  <c r="AA1335" i="13"/>
  <c r="AF1335" i="13"/>
  <c r="A1321" i="15"/>
  <c r="T1336" i="13"/>
  <c r="AA1336" i="13"/>
  <c r="AF1336" i="13"/>
  <c r="A1322" i="15"/>
  <c r="T1337" i="13"/>
  <c r="AA1337" i="13"/>
  <c r="AF1337" i="13"/>
  <c r="A1323" i="15"/>
  <c r="T1338" i="13"/>
  <c r="AA1338" i="13"/>
  <c r="AF1338" i="13"/>
  <c r="A1324" i="15"/>
  <c r="T1339" i="13"/>
  <c r="AA1339" i="13"/>
  <c r="AF1339" i="13"/>
  <c r="A1325" i="15"/>
  <c r="T1340" i="13"/>
  <c r="AA1340" i="13"/>
  <c r="AF1340" i="13"/>
  <c r="A1326" i="15"/>
  <c r="T1341" i="13"/>
  <c r="AA1341" i="13"/>
  <c r="AF1341" i="13"/>
  <c r="A1327" i="15"/>
  <c r="T1342" i="13"/>
  <c r="AA1342" i="13"/>
  <c r="AF1342" i="13"/>
  <c r="A1328" i="15"/>
  <c r="T1343" i="13"/>
  <c r="AA1343" i="13"/>
  <c r="AF1343" i="13"/>
  <c r="A1329" i="15"/>
  <c r="T1344" i="13"/>
  <c r="AA1344" i="13"/>
  <c r="AF1344" i="13"/>
  <c r="A1330" i="15"/>
  <c r="T1345" i="13"/>
  <c r="AA1345" i="13"/>
  <c r="AF1345" i="13"/>
  <c r="A1331" i="15"/>
  <c r="T1346" i="13"/>
  <c r="AA1346" i="13"/>
  <c r="AF1346" i="13"/>
  <c r="A1332" i="15"/>
  <c r="T1347" i="13"/>
  <c r="AA1347" i="13"/>
  <c r="AF1347" i="13"/>
  <c r="A1333" i="15"/>
  <c r="T1348" i="13"/>
  <c r="AA1348" i="13"/>
  <c r="AF1348" i="13"/>
  <c r="A1334" i="15"/>
  <c r="T1349" i="13"/>
  <c r="AA1349" i="13"/>
  <c r="AF1349" i="13"/>
  <c r="A1335" i="15"/>
  <c r="T1350" i="13"/>
  <c r="AA1350" i="13"/>
  <c r="AF1350" i="13"/>
  <c r="A1336" i="15"/>
  <c r="T1351" i="13"/>
  <c r="AA1351" i="13"/>
  <c r="AF1351" i="13"/>
  <c r="A1337" i="15"/>
  <c r="T1352" i="13"/>
  <c r="AA1352" i="13"/>
  <c r="AF1352" i="13"/>
  <c r="A1338" i="15"/>
  <c r="T1353" i="13"/>
  <c r="AA1353" i="13"/>
  <c r="AF1353" i="13"/>
  <c r="A1339" i="15"/>
  <c r="T1354" i="13"/>
  <c r="AA1354" i="13"/>
  <c r="AF1354" i="13"/>
  <c r="A1340" i="15"/>
  <c r="T1355" i="13"/>
  <c r="AA1355" i="13"/>
  <c r="AF1355" i="13"/>
  <c r="A1341" i="15"/>
  <c r="T1356" i="13"/>
  <c r="AA1356" i="13"/>
  <c r="AF1356" i="13"/>
  <c r="A1342" i="15"/>
  <c r="T1357" i="13"/>
  <c r="AA1357" i="13"/>
  <c r="AF1357" i="13"/>
  <c r="A1343" i="15"/>
  <c r="T1358" i="13"/>
  <c r="AA1358" i="13"/>
  <c r="AF1358" i="13"/>
  <c r="A1344" i="15"/>
  <c r="T1359" i="13"/>
  <c r="AA1359" i="13"/>
  <c r="AF1359" i="13"/>
  <c r="A1345" i="15"/>
  <c r="T1360" i="13"/>
  <c r="AA1360" i="13"/>
  <c r="AF1360" i="13"/>
  <c r="A1346" i="15"/>
  <c r="T1361" i="13"/>
  <c r="AA1361" i="13"/>
  <c r="AF1361" i="13"/>
  <c r="A1347" i="15"/>
  <c r="T1362" i="13"/>
  <c r="AA1362" i="13"/>
  <c r="AF1362" i="13"/>
  <c r="A1348" i="15"/>
  <c r="T1363" i="13"/>
  <c r="AA1363" i="13"/>
  <c r="AF1363" i="13"/>
  <c r="A1349" i="15"/>
  <c r="T1364" i="13"/>
  <c r="AA1364" i="13"/>
  <c r="AF1364" i="13"/>
  <c r="A1350" i="15"/>
  <c r="T1365" i="13"/>
  <c r="AA1365" i="13"/>
  <c r="AF1365" i="13"/>
  <c r="A1351" i="15"/>
  <c r="T1366" i="13"/>
  <c r="AA1366" i="13"/>
  <c r="AF1366" i="13"/>
  <c r="A1352" i="15"/>
  <c r="T1367" i="13"/>
  <c r="AA1367" i="13"/>
  <c r="AF1367" i="13"/>
  <c r="A1353" i="15"/>
  <c r="T1368" i="13"/>
  <c r="AA1368" i="13"/>
  <c r="AF1368" i="13"/>
  <c r="A1354" i="15"/>
  <c r="T1369" i="13"/>
  <c r="AA1369" i="13"/>
  <c r="AF1369" i="13"/>
  <c r="A1355" i="15"/>
  <c r="T1370" i="13"/>
  <c r="AA1370" i="13"/>
  <c r="AF1370" i="13"/>
  <c r="A1356" i="15"/>
  <c r="T1371" i="13"/>
  <c r="AA1371" i="13"/>
  <c r="AF1371" i="13"/>
  <c r="A1357" i="15"/>
  <c r="T1372" i="13"/>
  <c r="AA1372" i="13"/>
  <c r="AF1372" i="13"/>
  <c r="A1358" i="15"/>
  <c r="T1373" i="13"/>
  <c r="AA1373" i="13"/>
  <c r="AF1373" i="13"/>
  <c r="A1359" i="15"/>
  <c r="T1374" i="13"/>
  <c r="AA1374" i="13"/>
  <c r="AF1374" i="13"/>
  <c r="A1360" i="15"/>
  <c r="T1375" i="13"/>
  <c r="AA1375" i="13"/>
  <c r="AF1375" i="13"/>
  <c r="A1361" i="15"/>
  <c r="T1376" i="13"/>
  <c r="AA1376" i="13"/>
  <c r="AF1376" i="13"/>
  <c r="A1362" i="15"/>
  <c r="T1377" i="13"/>
  <c r="AA1377" i="13"/>
  <c r="AF1377" i="13"/>
  <c r="A1363" i="15"/>
  <c r="T1378" i="13"/>
  <c r="AA1378" i="13"/>
  <c r="AF1378" i="13"/>
  <c r="A1364" i="15"/>
  <c r="T1379" i="13"/>
  <c r="AA1379" i="13"/>
  <c r="AF1379" i="13"/>
  <c r="A1365" i="15"/>
  <c r="T1380" i="13"/>
  <c r="AA1380" i="13"/>
  <c r="AF1380" i="13"/>
  <c r="A1366" i="15"/>
  <c r="T1381" i="13"/>
  <c r="AA1381" i="13"/>
  <c r="AF1381" i="13"/>
  <c r="A1367" i="15"/>
  <c r="T1382" i="13"/>
  <c r="AA1382" i="13"/>
  <c r="AF1382" i="13"/>
  <c r="A1368" i="15"/>
  <c r="T1383" i="13"/>
  <c r="AA1383" i="13"/>
  <c r="AF1383" i="13"/>
  <c r="A1369" i="15"/>
  <c r="T1384" i="13"/>
  <c r="AA1384" i="13"/>
  <c r="AF1384" i="13"/>
  <c r="A1370" i="15"/>
  <c r="T1385" i="13"/>
  <c r="AA1385" i="13"/>
  <c r="AF1385" i="13"/>
  <c r="A1371" i="15"/>
  <c r="T1386" i="13"/>
  <c r="AA1386" i="13"/>
  <c r="AF1386" i="13"/>
  <c r="A1372" i="15"/>
  <c r="T1387" i="13"/>
  <c r="AA1387" i="13"/>
  <c r="AF1387" i="13"/>
  <c r="A1373" i="15"/>
  <c r="T1388" i="13"/>
  <c r="AA1388" i="13"/>
  <c r="AF1388" i="13"/>
  <c r="A1374" i="15"/>
  <c r="T1389" i="13"/>
  <c r="AA1389" i="13"/>
  <c r="AF1389" i="13"/>
  <c r="A1375" i="15"/>
  <c r="T1390" i="13"/>
  <c r="AA1390" i="13"/>
  <c r="AF1390" i="13"/>
  <c r="A1376" i="15"/>
  <c r="T1391" i="13"/>
  <c r="AA1391" i="13"/>
  <c r="AF1391" i="13"/>
  <c r="A1377" i="15"/>
  <c r="T1392" i="13"/>
  <c r="AA1392" i="13"/>
  <c r="AF1392" i="13"/>
  <c r="A1378" i="15"/>
  <c r="T1393" i="13"/>
  <c r="AA1393" i="13"/>
  <c r="AF1393" i="13"/>
  <c r="A1379" i="15"/>
  <c r="T1394" i="13"/>
  <c r="AA1394" i="13"/>
  <c r="AF1394" i="13"/>
  <c r="A1380" i="15"/>
  <c r="T1395" i="13"/>
  <c r="AA1395" i="13"/>
  <c r="AF1395" i="13"/>
  <c r="A1381" i="15"/>
  <c r="T1396" i="13"/>
  <c r="AA1396" i="13"/>
  <c r="AF1396" i="13"/>
  <c r="A1382" i="15"/>
  <c r="T1397" i="13"/>
  <c r="AA1397" i="13"/>
  <c r="AF1397" i="13"/>
  <c r="A1383" i="15"/>
  <c r="T1398" i="13"/>
  <c r="AA1398" i="13"/>
  <c r="AF1398" i="13"/>
  <c r="A1384" i="15"/>
  <c r="T1399" i="13"/>
  <c r="AA1399" i="13"/>
  <c r="AF1399" i="13"/>
  <c r="A1385" i="15"/>
  <c r="T1400" i="13"/>
  <c r="AA1400" i="13"/>
  <c r="AF1400" i="13"/>
  <c r="A1386" i="15"/>
  <c r="T1401" i="13"/>
  <c r="AA1401" i="13"/>
  <c r="AF1401" i="13"/>
  <c r="A1387" i="15"/>
  <c r="T1402" i="13"/>
  <c r="AA1402" i="13"/>
  <c r="AF1402" i="13"/>
  <c r="A1388" i="15"/>
  <c r="T1403" i="13"/>
  <c r="AA1403" i="13"/>
  <c r="AF1403" i="13"/>
  <c r="A1389" i="15"/>
  <c r="T1404" i="13"/>
  <c r="AA1404" i="13"/>
  <c r="AF1404" i="13"/>
  <c r="A1390" i="15"/>
  <c r="T1405" i="13"/>
  <c r="AA1405" i="13"/>
  <c r="AF1405" i="13"/>
  <c r="A1391" i="15"/>
  <c r="T1406" i="13"/>
  <c r="AA1406" i="13"/>
  <c r="AF1406" i="13"/>
  <c r="A1392" i="15"/>
  <c r="T1407" i="13"/>
  <c r="AA1407" i="13"/>
  <c r="AF1407" i="13"/>
  <c r="A1393" i="15"/>
  <c r="T1408" i="13"/>
  <c r="AA1408" i="13"/>
  <c r="AF1408" i="13"/>
  <c r="A1394" i="15"/>
  <c r="T1409" i="13"/>
  <c r="AA1409" i="13"/>
  <c r="AF1409" i="13"/>
  <c r="A1395" i="15"/>
  <c r="T1410" i="13"/>
  <c r="AA1410" i="13"/>
  <c r="AF1410" i="13"/>
  <c r="A1396" i="15"/>
  <c r="T1411" i="13"/>
  <c r="AA1411" i="13"/>
  <c r="AF1411" i="13"/>
  <c r="A1397" i="15"/>
  <c r="T1412" i="13"/>
  <c r="AA1412" i="13"/>
  <c r="AF1412" i="13"/>
  <c r="A1398" i="15"/>
  <c r="T1413" i="13"/>
  <c r="AA1413" i="13"/>
  <c r="AF1413" i="13"/>
  <c r="A1399" i="15"/>
  <c r="T1414" i="13"/>
  <c r="AA1414" i="13"/>
  <c r="AF1414" i="13"/>
  <c r="A1400" i="15"/>
  <c r="T1415" i="13"/>
  <c r="AA1415" i="13"/>
  <c r="AF1415" i="13"/>
  <c r="A1401" i="15"/>
  <c r="T1416" i="13"/>
  <c r="AA1416" i="13"/>
  <c r="AF1416" i="13"/>
  <c r="A1402" i="15"/>
  <c r="T1417" i="13"/>
  <c r="AA1417" i="13"/>
  <c r="AF1417" i="13"/>
  <c r="A1403" i="15"/>
  <c r="T1418" i="13"/>
  <c r="AA1418" i="13"/>
  <c r="AF1418" i="13"/>
  <c r="A1404" i="15"/>
  <c r="T1419" i="13"/>
  <c r="AA1419" i="13"/>
  <c r="AF1419" i="13"/>
  <c r="A1405" i="15"/>
  <c r="T1420" i="13"/>
  <c r="AA1420" i="13"/>
  <c r="AF1420" i="13"/>
  <c r="A1406" i="15"/>
  <c r="T1421" i="13"/>
  <c r="AA1421" i="13"/>
  <c r="AF1421" i="13"/>
  <c r="A1407" i="15"/>
  <c r="T1422" i="13"/>
  <c r="AA1422" i="13"/>
  <c r="AF1422" i="13"/>
  <c r="J15" i="29"/>
  <c r="S523" i="13"/>
  <c r="T523" i="13" s="1"/>
  <c r="S328" i="13"/>
  <c r="T328" i="13" s="1"/>
  <c r="J5" i="29"/>
  <c r="J6" i="29"/>
  <c r="J7" i="29"/>
  <c r="J8" i="29"/>
  <c r="J9" i="29"/>
  <c r="J10" i="29"/>
  <c r="J11" i="29"/>
  <c r="J12" i="29"/>
  <c r="J13" i="29"/>
  <c r="J14" i="29"/>
  <c r="J16" i="29"/>
  <c r="J17" i="29"/>
  <c r="J18" i="29"/>
  <c r="J19" i="29"/>
  <c r="J20" i="29"/>
  <c r="J21" i="29"/>
  <c r="J22" i="29"/>
  <c r="J23" i="29"/>
  <c r="J25" i="29"/>
  <c r="J26" i="29"/>
  <c r="J27" i="29"/>
  <c r="J28" i="29"/>
  <c r="J29" i="29"/>
  <c r="J30" i="29"/>
  <c r="J32" i="29"/>
  <c r="J33" i="29"/>
  <c r="J34" i="29"/>
  <c r="J36" i="29"/>
  <c r="J37" i="29"/>
  <c r="J38" i="29"/>
  <c r="J39" i="29"/>
  <c r="J40" i="29"/>
  <c r="J41" i="29"/>
  <c r="J43" i="29"/>
  <c r="J44" i="29"/>
  <c r="J45" i="29"/>
  <c r="J46" i="29"/>
  <c r="J47" i="29"/>
  <c r="J48" i="29"/>
  <c r="J4" i="29"/>
  <c r="S881" i="13"/>
  <c r="T881" i="13" s="1"/>
  <c r="S811" i="13"/>
  <c r="T811" i="13" s="1"/>
  <c r="S880" i="13"/>
  <c r="T880" i="13" s="1"/>
  <c r="S822" i="13"/>
  <c r="T822" i="13" s="1"/>
  <c r="S819" i="13"/>
  <c r="T819" i="13" s="1"/>
  <c r="T243" i="13"/>
  <c r="S831" i="13"/>
  <c r="T831" i="13" s="1"/>
  <c r="A865" i="13"/>
  <c r="A850" i="15" s="1"/>
  <c r="A866" i="13"/>
  <c r="A851" i="15" s="1"/>
  <c r="A867" i="13"/>
  <c r="A852" i="15" s="1"/>
  <c r="A868" i="13"/>
  <c r="A853" i="15" s="1"/>
  <c r="A869" i="13"/>
  <c r="A854" i="15" s="1"/>
  <c r="A870" i="13"/>
  <c r="A855" i="15" s="1"/>
  <c r="A871" i="13"/>
  <c r="A856" i="15" s="1"/>
  <c r="A872" i="13"/>
  <c r="A857" i="15" s="1"/>
  <c r="A873" i="13"/>
  <c r="A858" i="15" s="1"/>
  <c r="A874" i="13"/>
  <c r="A859" i="15" s="1"/>
  <c r="A875" i="13"/>
  <c r="A860" i="15" s="1"/>
  <c r="A876" i="13"/>
  <c r="A861" i="15" s="1"/>
  <c r="A877" i="13"/>
  <c r="A862" i="15" s="1"/>
  <c r="A878" i="13"/>
  <c r="A863" i="15" s="1"/>
  <c r="A879" i="13"/>
  <c r="A864" i="15" s="1"/>
  <c r="A880" i="13"/>
  <c r="A865" i="15" s="1"/>
  <c r="A881" i="13"/>
  <c r="A866" i="15" s="1"/>
  <c r="A882" i="13"/>
  <c r="A867" i="15" s="1"/>
  <c r="A883" i="13"/>
  <c r="A868" i="15" s="1"/>
  <c r="A884" i="13"/>
  <c r="A869" i="15" s="1"/>
  <c r="A885" i="13"/>
  <c r="A870" i="15" s="1"/>
  <c r="A886" i="13"/>
  <c r="A871" i="15" s="1"/>
  <c r="A887" i="13"/>
  <c r="A872" i="15" s="1"/>
  <c r="A888" i="13"/>
  <c r="A873" i="15" s="1"/>
  <c r="A889" i="13"/>
  <c r="A874" i="15" s="1"/>
  <c r="A890" i="13"/>
  <c r="A875" i="15" s="1"/>
  <c r="A891" i="13"/>
  <c r="A876" i="15" s="1"/>
  <c r="A892" i="13"/>
  <c r="A877" i="15" s="1"/>
  <c r="A893" i="13"/>
  <c r="A878" i="15" s="1"/>
  <c r="A894" i="13"/>
  <c r="A879" i="15" s="1"/>
  <c r="A895" i="13"/>
  <c r="A880" i="15" s="1"/>
  <c r="A896" i="13"/>
  <c r="A881" i="15" s="1"/>
  <c r="A897" i="13"/>
  <c r="A882" i="15" s="1"/>
  <c r="A898" i="13"/>
  <c r="A883" i="15" s="1"/>
  <c r="A899" i="13"/>
  <c r="A884" i="15" s="1"/>
  <c r="A900" i="13"/>
  <c r="A885" i="15" s="1"/>
  <c r="A901" i="13"/>
  <c r="A886" i="15" s="1"/>
  <c r="A902" i="13"/>
  <c r="A887" i="15" s="1"/>
  <c r="A903" i="13"/>
  <c r="A888" i="15" s="1"/>
  <c r="A904" i="13"/>
  <c r="A889" i="15" s="1"/>
  <c r="A905" i="13"/>
  <c r="A890" i="15" s="1"/>
  <c r="A906" i="13"/>
  <c r="A891" i="15" s="1"/>
  <c r="A907" i="13"/>
  <c r="A892" i="15" s="1"/>
  <c r="A908" i="13"/>
  <c r="A893" i="15" s="1"/>
  <c r="A909" i="13"/>
  <c r="A894" i="15" s="1"/>
  <c r="A910" i="13"/>
  <c r="A895" i="15" s="1"/>
  <c r="A911" i="13"/>
  <c r="A896" i="15" s="1"/>
  <c r="A864" i="13"/>
  <c r="A849" i="15" s="1"/>
  <c r="A611" i="13"/>
  <c r="A597" i="15" s="1"/>
  <c r="S861" i="13"/>
  <c r="T861" i="13" s="1"/>
  <c r="S858" i="13"/>
  <c r="T858" i="13" s="1"/>
  <c r="S812" i="13"/>
  <c r="T812" i="13" s="1"/>
  <c r="S818" i="13"/>
  <c r="T818" i="13" s="1"/>
  <c r="S849" i="13"/>
  <c r="T849" i="13" s="1"/>
  <c r="T842" i="13"/>
  <c r="S36" i="13"/>
  <c r="T36" i="13" s="1"/>
  <c r="T777" i="13"/>
  <c r="S158" i="13"/>
  <c r="T158" i="13" s="1"/>
  <c r="S688" i="13"/>
  <c r="T688" i="13" s="1"/>
  <c r="S838" i="13"/>
  <c r="T838" i="13" s="1"/>
  <c r="S836" i="13"/>
  <c r="T836" i="13" s="1"/>
  <c r="A853" i="13"/>
  <c r="A839" i="15" s="1"/>
  <c r="S482" i="13"/>
  <c r="T482" i="13" s="1"/>
  <c r="S689" i="13"/>
  <c r="T689" i="13" s="1"/>
  <c r="S846" i="13"/>
  <c r="T846" i="13" s="1"/>
  <c r="T845" i="13"/>
  <c r="S844" i="13"/>
  <c r="T844" i="13" s="1"/>
  <c r="S843" i="13"/>
  <c r="T843" i="13" s="1"/>
  <c r="T140" i="13"/>
  <c r="A137" i="13"/>
  <c r="A131" i="15" s="1"/>
  <c r="A138" i="13"/>
  <c r="A132" i="15" s="1"/>
  <c r="A139" i="13"/>
  <c r="A133" i="15" s="1"/>
  <c r="A134" i="15"/>
  <c r="A192" i="13"/>
  <c r="A194" i="13"/>
  <c r="A195" i="13"/>
  <c r="A196" i="13"/>
  <c r="A184" i="15" s="1"/>
  <c r="T193" i="13"/>
  <c r="T194" i="13"/>
  <c r="T195" i="13"/>
  <c r="T196" i="13"/>
  <c r="T192" i="13"/>
  <c r="S795" i="13"/>
  <c r="T795" i="13" s="1"/>
  <c r="T833" i="13"/>
  <c r="T834" i="13"/>
  <c r="S824" i="13"/>
  <c r="T824" i="13" s="1"/>
  <c r="S816" i="13"/>
  <c r="T816" i="13" s="1"/>
  <c r="S240" i="13"/>
  <c r="T240" i="13" s="1"/>
  <c r="S395" i="13"/>
  <c r="T395" i="13" s="1"/>
  <c r="T840" i="13"/>
  <c r="S796" i="13"/>
  <c r="T796" i="13" s="1"/>
  <c r="S264" i="13"/>
  <c r="T264" i="13" s="1"/>
  <c r="S808" i="13"/>
  <c r="T808" i="13" s="1"/>
  <c r="T655" i="13"/>
  <c r="S769" i="13"/>
  <c r="T769" i="13" s="1"/>
  <c r="AA186" i="13"/>
  <c r="AA187" i="13"/>
  <c r="AA188" i="13"/>
  <c r="AA189" i="13"/>
  <c r="AA190" i="13"/>
  <c r="AA191" i="13"/>
  <c r="AA196" i="13"/>
  <c r="S186" i="13"/>
  <c r="T186" i="13" s="1"/>
  <c r="S752" i="13"/>
  <c r="T752" i="13" s="1"/>
  <c r="S730" i="13"/>
  <c r="T730" i="13" s="1"/>
  <c r="T731" i="13"/>
  <c r="T681" i="13"/>
  <c r="T684" i="13"/>
  <c r="S159" i="13"/>
  <c r="T159" i="13" s="1"/>
  <c r="T132" i="13"/>
  <c r="T741" i="13"/>
  <c r="AA774" i="13"/>
  <c r="A711" i="13"/>
  <c r="A697" i="15" s="1"/>
  <c r="A712" i="13"/>
  <c r="A698" i="15" s="1"/>
  <c r="A713" i="13"/>
  <c r="A699" i="15" s="1"/>
  <c r="A714" i="13"/>
  <c r="A700" i="15" s="1"/>
  <c r="A715" i="13"/>
  <c r="A701" i="15" s="1"/>
  <c r="A716" i="13"/>
  <c r="A702" i="15" s="1"/>
  <c r="A717" i="13"/>
  <c r="A703" i="15" s="1"/>
  <c r="A718" i="13"/>
  <c r="A704" i="15" s="1"/>
  <c r="A719" i="13"/>
  <c r="A705" i="15" s="1"/>
  <c r="A720" i="13"/>
  <c r="A706" i="15" s="1"/>
  <c r="A721" i="13"/>
  <c r="A707" i="15" s="1"/>
  <c r="A722" i="13"/>
  <c r="A708" i="15" s="1"/>
  <c r="A723" i="13"/>
  <c r="A709" i="15" s="1"/>
  <c r="A724" i="13"/>
  <c r="A710" i="15" s="1"/>
  <c r="A725" i="13"/>
  <c r="A711" i="15" s="1"/>
  <c r="A726" i="13"/>
  <c r="A712" i="15" s="1"/>
  <c r="A727" i="13"/>
  <c r="A713" i="15" s="1"/>
  <c r="A728" i="13"/>
  <c r="A714" i="15" s="1"/>
  <c r="A729" i="13"/>
  <c r="A715" i="15" s="1"/>
  <c r="A730" i="13"/>
  <c r="A716" i="15" s="1"/>
  <c r="A731" i="13"/>
  <c r="A717" i="15" s="1"/>
  <c r="A732" i="13"/>
  <c r="A718" i="15" s="1"/>
  <c r="A733" i="13"/>
  <c r="A719" i="15" s="1"/>
  <c r="A734" i="13"/>
  <c r="A720" i="15" s="1"/>
  <c r="A735" i="13"/>
  <c r="A721" i="15" s="1"/>
  <c r="A736" i="13"/>
  <c r="A722" i="15" s="1"/>
  <c r="A737" i="13"/>
  <c r="A723" i="15" s="1"/>
  <c r="A738" i="13"/>
  <c r="A724" i="15" s="1"/>
  <c r="A739" i="13"/>
  <c r="A725" i="15" s="1"/>
  <c r="A740" i="13"/>
  <c r="A726" i="15" s="1"/>
  <c r="A741" i="13"/>
  <c r="A727" i="15" s="1"/>
  <c r="A742" i="13"/>
  <c r="A728" i="15" s="1"/>
  <c r="A743" i="13"/>
  <c r="A729" i="15" s="1"/>
  <c r="A744" i="13"/>
  <c r="A730" i="15" s="1"/>
  <c r="A745" i="13"/>
  <c r="A731" i="15" s="1"/>
  <c r="A746" i="13"/>
  <c r="A732" i="15" s="1"/>
  <c r="A747" i="13"/>
  <c r="A733" i="15" s="1"/>
  <c r="A748" i="13"/>
  <c r="A734" i="15" s="1"/>
  <c r="A749" i="13"/>
  <c r="A735" i="15" s="1"/>
  <c r="A750" i="13"/>
  <c r="A736" i="15" s="1"/>
  <c r="A751" i="13"/>
  <c r="A737" i="15" s="1"/>
  <c r="A752" i="13"/>
  <c r="A738" i="15" s="1"/>
  <c r="A753" i="13"/>
  <c r="A739" i="15" s="1"/>
  <c r="A754" i="13"/>
  <c r="A740" i="15" s="1"/>
  <c r="A755" i="13"/>
  <c r="A741" i="15" s="1"/>
  <c r="A756" i="13"/>
  <c r="A742" i="15" s="1"/>
  <c r="A757" i="13"/>
  <c r="A743" i="15" s="1"/>
  <c r="A758" i="13"/>
  <c r="A744" i="15" s="1"/>
  <c r="A759" i="13"/>
  <c r="A745" i="15" s="1"/>
  <c r="A760" i="13"/>
  <c r="A746" i="15" s="1"/>
  <c r="A761" i="13"/>
  <c r="A747" i="15" s="1"/>
  <c r="A762" i="13"/>
  <c r="A748" i="15" s="1"/>
  <c r="A763" i="13"/>
  <c r="A749" i="15" s="1"/>
  <c r="A764" i="13"/>
  <c r="A750" i="15" s="1"/>
  <c r="A765" i="13"/>
  <c r="A751" i="15" s="1"/>
  <c r="A766" i="13"/>
  <c r="A752" i="15" s="1"/>
  <c r="A767" i="13"/>
  <c r="A753" i="15" s="1"/>
  <c r="A768" i="13"/>
  <c r="A754" i="15" s="1"/>
  <c r="A769" i="13"/>
  <c r="A755" i="15" s="1"/>
  <c r="A770" i="13"/>
  <c r="A756" i="15" s="1"/>
  <c r="A771" i="13"/>
  <c r="A757" i="15" s="1"/>
  <c r="A772" i="13"/>
  <c r="A758" i="15" s="1"/>
  <c r="A773" i="13"/>
  <c r="A759" i="15" s="1"/>
  <c r="A774" i="13"/>
  <c r="A760" i="15" s="1"/>
  <c r="A775" i="13"/>
  <c r="A761" i="15" s="1"/>
  <c r="A776" i="13"/>
  <c r="A762" i="15" s="1"/>
  <c r="A777" i="13"/>
  <c r="A763" i="15" s="1"/>
  <c r="A778" i="13"/>
  <c r="A764" i="15" s="1"/>
  <c r="A779" i="13"/>
  <c r="A765" i="15" s="1"/>
  <c r="A780" i="13"/>
  <c r="A766" i="15" s="1"/>
  <c r="A781" i="13"/>
  <c r="A767" i="15" s="1"/>
  <c r="A782" i="13"/>
  <c r="A768" i="15" s="1"/>
  <c r="A783" i="13"/>
  <c r="A769" i="15" s="1"/>
  <c r="A784" i="13"/>
  <c r="A770" i="15" s="1"/>
  <c r="A785" i="13"/>
  <c r="A771" i="15" s="1"/>
  <c r="A786" i="13"/>
  <c r="A772" i="15" s="1"/>
  <c r="A787" i="13"/>
  <c r="A773" i="15" s="1"/>
  <c r="A788" i="13"/>
  <c r="A774" i="15" s="1"/>
  <c r="A789" i="13"/>
  <c r="A775" i="15" s="1"/>
  <c r="A790" i="13"/>
  <c r="A776" i="15" s="1"/>
  <c r="A791" i="13"/>
  <c r="A777" i="15" s="1"/>
  <c r="A792" i="13"/>
  <c r="A778" i="15" s="1"/>
  <c r="A793" i="13"/>
  <c r="A779" i="15" s="1"/>
  <c r="A794" i="13"/>
  <c r="A780" i="15" s="1"/>
  <c r="A795" i="13"/>
  <c r="A781" i="15" s="1"/>
  <c r="A796" i="13"/>
  <c r="A782" i="15" s="1"/>
  <c r="A797" i="13"/>
  <c r="A783" i="15" s="1"/>
  <c r="A798" i="13"/>
  <c r="A784" i="15" s="1"/>
  <c r="A799" i="13"/>
  <c r="A785" i="15" s="1"/>
  <c r="A800" i="13"/>
  <c r="A786" i="15" s="1"/>
  <c r="A801" i="13"/>
  <c r="A787" i="15" s="1"/>
  <c r="A802" i="13"/>
  <c r="A788" i="15" s="1"/>
  <c r="A803" i="13"/>
  <c r="A789" i="15" s="1"/>
  <c r="A804" i="13"/>
  <c r="A790" i="15" s="1"/>
  <c r="A805" i="13"/>
  <c r="A791" i="15" s="1"/>
  <c r="A806" i="13"/>
  <c r="A792" i="15" s="1"/>
  <c r="A807" i="13"/>
  <c r="A793" i="15" s="1"/>
  <c r="A808" i="13"/>
  <c r="A794" i="15" s="1"/>
  <c r="A809" i="13"/>
  <c r="A795" i="15" s="1"/>
  <c r="A810" i="13"/>
  <c r="A796" i="15" s="1"/>
  <c r="A811" i="13"/>
  <c r="A797" i="15" s="1"/>
  <c r="A812" i="13"/>
  <c r="A798" i="15" s="1"/>
  <c r="A813" i="13"/>
  <c r="A799" i="15" s="1"/>
  <c r="A814" i="13"/>
  <c r="A800" i="15" s="1"/>
  <c r="A815" i="13"/>
  <c r="A801" i="15" s="1"/>
  <c r="A816" i="13"/>
  <c r="A802" i="15" s="1"/>
  <c r="A817" i="13"/>
  <c r="A803" i="15" s="1"/>
  <c r="A818" i="13"/>
  <c r="A804" i="15" s="1"/>
  <c r="A819" i="13"/>
  <c r="A805" i="15" s="1"/>
  <c r="A820" i="13"/>
  <c r="A806" i="15" s="1"/>
  <c r="A821" i="13"/>
  <c r="A807" i="15" s="1"/>
  <c r="A822" i="13"/>
  <c r="A808" i="15" s="1"/>
  <c r="A823" i="13"/>
  <c r="A809" i="15" s="1"/>
  <c r="A824" i="13"/>
  <c r="A810" i="15" s="1"/>
  <c r="A825" i="13"/>
  <c r="A811" i="15" s="1"/>
  <c r="A826" i="13"/>
  <c r="A812" i="15" s="1"/>
  <c r="A827" i="13"/>
  <c r="A813" i="15" s="1"/>
  <c r="A828" i="13"/>
  <c r="A814" i="15" s="1"/>
  <c r="A829" i="13"/>
  <c r="A815" i="15" s="1"/>
  <c r="A830" i="13"/>
  <c r="A816" i="15" s="1"/>
  <c r="A831" i="13"/>
  <c r="A817" i="15" s="1"/>
  <c r="A832" i="13"/>
  <c r="A818" i="15" s="1"/>
  <c r="A833" i="13"/>
  <c r="A819" i="15" s="1"/>
  <c r="A834" i="13"/>
  <c r="A820" i="15" s="1"/>
  <c r="A835" i="13"/>
  <c r="A821" i="15" s="1"/>
  <c r="A836" i="13"/>
  <c r="A822" i="15" s="1"/>
  <c r="A837" i="13"/>
  <c r="A823" i="15" s="1"/>
  <c r="A838" i="13"/>
  <c r="A824" i="15" s="1"/>
  <c r="A839" i="13"/>
  <c r="A825" i="15" s="1"/>
  <c r="A840" i="13"/>
  <c r="A826" i="15" s="1"/>
  <c r="A841" i="13"/>
  <c r="A827" i="15" s="1"/>
  <c r="A842" i="13"/>
  <c r="A828" i="15" s="1"/>
  <c r="A843" i="13"/>
  <c r="A829" i="15" s="1"/>
  <c r="A844" i="13"/>
  <c r="A830" i="15" s="1"/>
  <c r="A845" i="13"/>
  <c r="A831" i="15" s="1"/>
  <c r="A846" i="13"/>
  <c r="A832" i="15" s="1"/>
  <c r="A847" i="13"/>
  <c r="A833" i="15" s="1"/>
  <c r="A848" i="13"/>
  <c r="A834" i="15" s="1"/>
  <c r="A849" i="13"/>
  <c r="A835" i="15" s="1"/>
  <c r="A850" i="13"/>
  <c r="A836" i="15" s="1"/>
  <c r="A851" i="13"/>
  <c r="A837" i="15" s="1"/>
  <c r="A852" i="13"/>
  <c r="A838" i="15" s="1"/>
  <c r="A854" i="13"/>
  <c r="A840" i="15" s="1"/>
  <c r="A855" i="13"/>
  <c r="A841" i="15" s="1"/>
  <c r="A856" i="13"/>
  <c r="A842" i="15" s="1"/>
  <c r="A857" i="13"/>
  <c r="A843" i="15" s="1"/>
  <c r="A858" i="13"/>
  <c r="A844" i="15" s="1"/>
  <c r="A859" i="13"/>
  <c r="A845" i="15" s="1"/>
  <c r="A860" i="13"/>
  <c r="A846" i="15" s="1"/>
  <c r="A861" i="13"/>
  <c r="A847" i="15" s="1"/>
  <c r="A862" i="13"/>
  <c r="A848" i="15" s="1"/>
  <c r="A710" i="13"/>
  <c r="A696" i="15" s="1"/>
  <c r="A584" i="13"/>
  <c r="A571" i="15" s="1"/>
  <c r="A709" i="13"/>
  <c r="A695" i="15" s="1"/>
  <c r="T776" i="13"/>
  <c r="T266" i="13"/>
  <c r="S786" i="13"/>
  <c r="T786" i="13" s="1"/>
  <c r="S771" i="13"/>
  <c r="T771" i="13" s="1"/>
  <c r="S770" i="13"/>
  <c r="T770" i="13" s="1"/>
  <c r="S445" i="13"/>
  <c r="T445" i="13" s="1"/>
  <c r="T370" i="13"/>
  <c r="T724" i="13"/>
  <c r="S723" i="13"/>
  <c r="T723" i="13" s="1"/>
  <c r="S736" i="13"/>
  <c r="T736" i="13" s="1"/>
  <c r="S735" i="13"/>
  <c r="T735" i="13" s="1"/>
  <c r="S737" i="13"/>
  <c r="T737" i="13" s="1"/>
  <c r="T175" i="13"/>
  <c r="S721" i="13"/>
  <c r="T721" i="13" s="1"/>
  <c r="S153" i="13"/>
  <c r="T153" i="13" s="1"/>
  <c r="S733" i="13"/>
  <c r="T733" i="13" s="1"/>
  <c r="S296" i="13"/>
  <c r="T296" i="13" s="1"/>
  <c r="S492" i="13"/>
  <c r="T492" i="13" s="1"/>
  <c r="S722" i="13"/>
  <c r="T722" i="13" s="1"/>
  <c r="S233" i="13"/>
  <c r="T233" i="13" s="1"/>
  <c r="S691" i="13"/>
  <c r="T691" i="13" s="1"/>
  <c r="B709" i="15"/>
  <c r="C709" i="15"/>
  <c r="D709" i="15"/>
  <c r="E709" i="15"/>
  <c r="F709" i="15"/>
  <c r="G709" i="15"/>
  <c r="H709" i="15"/>
  <c r="B710" i="15"/>
  <c r="C710" i="15"/>
  <c r="D710" i="15"/>
  <c r="E710" i="15"/>
  <c r="F710" i="15"/>
  <c r="G710" i="15"/>
  <c r="H710" i="15"/>
  <c r="B711" i="15"/>
  <c r="C711" i="15"/>
  <c r="D711" i="15"/>
  <c r="E711" i="15"/>
  <c r="F711" i="15"/>
  <c r="G711" i="15"/>
  <c r="H711" i="15"/>
  <c r="B712" i="15"/>
  <c r="C712" i="15"/>
  <c r="D712" i="15"/>
  <c r="E712" i="15"/>
  <c r="F712" i="15"/>
  <c r="G712" i="15"/>
  <c r="H712" i="15"/>
  <c r="B713" i="15"/>
  <c r="C713" i="15"/>
  <c r="D713" i="15"/>
  <c r="E713" i="15"/>
  <c r="F713" i="15"/>
  <c r="G713" i="15"/>
  <c r="H713" i="15"/>
  <c r="B714" i="15"/>
  <c r="C714" i="15"/>
  <c r="D714" i="15"/>
  <c r="E714" i="15"/>
  <c r="F714" i="15"/>
  <c r="G714" i="15"/>
  <c r="H714" i="15"/>
  <c r="B715" i="15"/>
  <c r="C715" i="15"/>
  <c r="D715" i="15"/>
  <c r="E715" i="15"/>
  <c r="F715" i="15"/>
  <c r="G715" i="15"/>
  <c r="H715" i="15"/>
  <c r="B716" i="15"/>
  <c r="C716" i="15"/>
  <c r="D716" i="15"/>
  <c r="E716" i="15"/>
  <c r="F716" i="15"/>
  <c r="G716" i="15"/>
  <c r="H716" i="15"/>
  <c r="B717" i="15"/>
  <c r="C717" i="15"/>
  <c r="D717" i="15"/>
  <c r="E717" i="15"/>
  <c r="F717" i="15"/>
  <c r="G717" i="15"/>
  <c r="H717" i="15"/>
  <c r="B718" i="15"/>
  <c r="C718" i="15"/>
  <c r="D718" i="15"/>
  <c r="E718" i="15"/>
  <c r="F718" i="15"/>
  <c r="G718" i="15"/>
  <c r="H718" i="15"/>
  <c r="B719" i="15"/>
  <c r="C719" i="15"/>
  <c r="D719" i="15"/>
  <c r="E719" i="15"/>
  <c r="F719" i="15"/>
  <c r="G719" i="15"/>
  <c r="H719" i="15"/>
  <c r="B720" i="15"/>
  <c r="C720" i="15"/>
  <c r="D720" i="15"/>
  <c r="E720" i="15"/>
  <c r="F720" i="15"/>
  <c r="G720" i="15"/>
  <c r="H720" i="15"/>
  <c r="B721" i="15"/>
  <c r="C721" i="15"/>
  <c r="D721" i="15"/>
  <c r="E721" i="15"/>
  <c r="F721" i="15"/>
  <c r="G721" i="15"/>
  <c r="H721" i="15"/>
  <c r="B722" i="15"/>
  <c r="C722" i="15"/>
  <c r="D722" i="15"/>
  <c r="E722" i="15"/>
  <c r="F722" i="15"/>
  <c r="G722" i="15"/>
  <c r="H722" i="15"/>
  <c r="B723" i="15"/>
  <c r="C723" i="15"/>
  <c r="D723" i="15"/>
  <c r="E723" i="15"/>
  <c r="F723" i="15"/>
  <c r="G723" i="15"/>
  <c r="H723" i="15"/>
  <c r="B724" i="15"/>
  <c r="C724" i="15"/>
  <c r="D724" i="15"/>
  <c r="E724" i="15"/>
  <c r="F724" i="15"/>
  <c r="G724" i="15"/>
  <c r="H724" i="15"/>
  <c r="B725" i="15"/>
  <c r="C725" i="15"/>
  <c r="D725" i="15"/>
  <c r="E725" i="15"/>
  <c r="F725" i="15"/>
  <c r="G725" i="15"/>
  <c r="H725" i="15"/>
  <c r="B726" i="15"/>
  <c r="C726" i="15"/>
  <c r="D726" i="15"/>
  <c r="E726" i="15"/>
  <c r="F726" i="15"/>
  <c r="G726" i="15"/>
  <c r="H726" i="15"/>
  <c r="B727" i="15"/>
  <c r="C727" i="15"/>
  <c r="D727" i="15"/>
  <c r="E727" i="15"/>
  <c r="F727" i="15"/>
  <c r="G727" i="15"/>
  <c r="H727" i="15"/>
  <c r="B728" i="15"/>
  <c r="C728" i="15"/>
  <c r="D728" i="15"/>
  <c r="E728" i="15"/>
  <c r="F728" i="15"/>
  <c r="G728" i="15"/>
  <c r="H728" i="15"/>
  <c r="B729" i="15"/>
  <c r="C729" i="15"/>
  <c r="D729" i="15"/>
  <c r="E729" i="15"/>
  <c r="F729" i="15"/>
  <c r="G729" i="15"/>
  <c r="H729" i="15"/>
  <c r="B730" i="15"/>
  <c r="C730" i="15"/>
  <c r="D730" i="15"/>
  <c r="E730" i="15"/>
  <c r="F730" i="15"/>
  <c r="G730" i="15"/>
  <c r="H730" i="15"/>
  <c r="B731" i="15"/>
  <c r="C731" i="15"/>
  <c r="D731" i="15"/>
  <c r="E731" i="15"/>
  <c r="F731" i="15"/>
  <c r="G731" i="15"/>
  <c r="H731" i="15"/>
  <c r="B732" i="15"/>
  <c r="C732" i="15"/>
  <c r="D732" i="15"/>
  <c r="E732" i="15"/>
  <c r="F732" i="15"/>
  <c r="G732" i="15"/>
  <c r="H732" i="15"/>
  <c r="B733" i="15"/>
  <c r="C733" i="15"/>
  <c r="D733" i="15"/>
  <c r="E733" i="15"/>
  <c r="F733" i="15"/>
  <c r="G733" i="15"/>
  <c r="H733" i="15"/>
  <c r="B734" i="15"/>
  <c r="C734" i="15"/>
  <c r="D734" i="15"/>
  <c r="E734" i="15"/>
  <c r="F734" i="15"/>
  <c r="G734" i="15"/>
  <c r="H734" i="15"/>
  <c r="B735" i="15"/>
  <c r="C735" i="15"/>
  <c r="D735" i="15"/>
  <c r="E735" i="15"/>
  <c r="F735" i="15"/>
  <c r="G735" i="15"/>
  <c r="H735" i="15"/>
  <c r="B736" i="15"/>
  <c r="C736" i="15"/>
  <c r="D736" i="15"/>
  <c r="E736" i="15"/>
  <c r="F736" i="15"/>
  <c r="G736" i="15"/>
  <c r="H736" i="15"/>
  <c r="B737" i="15"/>
  <c r="C737" i="15"/>
  <c r="D737" i="15"/>
  <c r="E737" i="15"/>
  <c r="F737" i="15"/>
  <c r="G737" i="15"/>
  <c r="H737" i="15"/>
  <c r="B738" i="15"/>
  <c r="C738" i="15"/>
  <c r="D738" i="15"/>
  <c r="E738" i="15"/>
  <c r="F738" i="15"/>
  <c r="G738" i="15"/>
  <c r="H738" i="15"/>
  <c r="B739" i="15"/>
  <c r="C739" i="15"/>
  <c r="D739" i="15"/>
  <c r="E739" i="15"/>
  <c r="F739" i="15"/>
  <c r="G739" i="15"/>
  <c r="H739" i="15"/>
  <c r="B740" i="15"/>
  <c r="C740" i="15"/>
  <c r="D740" i="15"/>
  <c r="E740" i="15"/>
  <c r="F740" i="15"/>
  <c r="G740" i="15"/>
  <c r="H740" i="15"/>
  <c r="B741" i="15"/>
  <c r="C741" i="15"/>
  <c r="D741" i="15"/>
  <c r="E741" i="15"/>
  <c r="F741" i="15"/>
  <c r="G741" i="15"/>
  <c r="H741" i="15"/>
  <c r="B742" i="15"/>
  <c r="C742" i="15"/>
  <c r="D742" i="15"/>
  <c r="E742" i="15"/>
  <c r="F742" i="15"/>
  <c r="G742" i="15"/>
  <c r="H742" i="15"/>
  <c r="B743" i="15"/>
  <c r="C743" i="15"/>
  <c r="D743" i="15"/>
  <c r="E743" i="15"/>
  <c r="F743" i="15"/>
  <c r="G743" i="15"/>
  <c r="H743" i="15"/>
  <c r="B744" i="15"/>
  <c r="C744" i="15"/>
  <c r="D744" i="15"/>
  <c r="E744" i="15"/>
  <c r="F744" i="15"/>
  <c r="G744" i="15"/>
  <c r="H744" i="15"/>
  <c r="B745" i="15"/>
  <c r="C745" i="15"/>
  <c r="D745" i="15"/>
  <c r="E745" i="15"/>
  <c r="F745" i="15"/>
  <c r="G745" i="15"/>
  <c r="H745" i="15"/>
  <c r="B746" i="15"/>
  <c r="C746" i="15"/>
  <c r="D746" i="15"/>
  <c r="E746" i="15"/>
  <c r="F746" i="15"/>
  <c r="G746" i="15"/>
  <c r="H746" i="15"/>
  <c r="B747" i="15"/>
  <c r="C747" i="15"/>
  <c r="D747" i="15"/>
  <c r="E747" i="15"/>
  <c r="F747" i="15"/>
  <c r="G747" i="15"/>
  <c r="H747" i="15"/>
  <c r="B748" i="15"/>
  <c r="C748" i="15"/>
  <c r="D748" i="15"/>
  <c r="E748" i="15"/>
  <c r="F748" i="15"/>
  <c r="G748" i="15"/>
  <c r="H748" i="15"/>
  <c r="B749" i="15"/>
  <c r="C749" i="15"/>
  <c r="D749" i="15"/>
  <c r="E749" i="15"/>
  <c r="F749" i="15"/>
  <c r="G749" i="15"/>
  <c r="H749" i="15"/>
  <c r="B750" i="15"/>
  <c r="C750" i="15"/>
  <c r="D750" i="15"/>
  <c r="E750" i="15"/>
  <c r="F750" i="15"/>
  <c r="G750" i="15"/>
  <c r="H750" i="15"/>
  <c r="B751" i="15"/>
  <c r="C751" i="15"/>
  <c r="D751" i="15"/>
  <c r="E751" i="15"/>
  <c r="F751" i="15"/>
  <c r="G751" i="15"/>
  <c r="H751" i="15"/>
  <c r="B752" i="15"/>
  <c r="C752" i="15"/>
  <c r="D752" i="15"/>
  <c r="E752" i="15"/>
  <c r="F752" i="15"/>
  <c r="G752" i="15"/>
  <c r="H752" i="15"/>
  <c r="B753" i="15"/>
  <c r="C753" i="15"/>
  <c r="D753" i="15"/>
  <c r="E753" i="15"/>
  <c r="F753" i="15"/>
  <c r="G753" i="15"/>
  <c r="H753" i="15"/>
  <c r="B754" i="15"/>
  <c r="C754" i="15"/>
  <c r="D754" i="15"/>
  <c r="E754" i="15"/>
  <c r="F754" i="15"/>
  <c r="G754" i="15"/>
  <c r="H754" i="15"/>
  <c r="B755" i="15"/>
  <c r="C755" i="15"/>
  <c r="D755" i="15"/>
  <c r="E755" i="15"/>
  <c r="F755" i="15"/>
  <c r="G755" i="15"/>
  <c r="H755" i="15"/>
  <c r="B756" i="15"/>
  <c r="C756" i="15"/>
  <c r="D756" i="15"/>
  <c r="E756" i="15"/>
  <c r="F756" i="15"/>
  <c r="G756" i="15"/>
  <c r="H756" i="15"/>
  <c r="B757" i="15"/>
  <c r="C757" i="15"/>
  <c r="D757" i="15"/>
  <c r="E757" i="15"/>
  <c r="F757" i="15"/>
  <c r="G757" i="15"/>
  <c r="H757" i="15"/>
  <c r="B758" i="15"/>
  <c r="C758" i="15"/>
  <c r="D758" i="15"/>
  <c r="E758" i="15"/>
  <c r="F758" i="15"/>
  <c r="G758" i="15"/>
  <c r="H758" i="15"/>
  <c r="B759" i="15"/>
  <c r="C759" i="15"/>
  <c r="D759" i="15"/>
  <c r="E759" i="15"/>
  <c r="F759" i="15"/>
  <c r="G759" i="15"/>
  <c r="H759" i="15"/>
  <c r="B760" i="15"/>
  <c r="C760" i="15"/>
  <c r="D760" i="15"/>
  <c r="E760" i="15"/>
  <c r="F760" i="15"/>
  <c r="G760" i="15"/>
  <c r="H760" i="15"/>
  <c r="B761" i="15"/>
  <c r="C761" i="15"/>
  <c r="D761" i="15"/>
  <c r="E761" i="15"/>
  <c r="F761" i="15"/>
  <c r="G761" i="15"/>
  <c r="H761" i="15"/>
  <c r="B762" i="15"/>
  <c r="C762" i="15"/>
  <c r="D762" i="15"/>
  <c r="E762" i="15"/>
  <c r="F762" i="15"/>
  <c r="G762" i="15"/>
  <c r="H762" i="15"/>
  <c r="B763" i="15"/>
  <c r="C763" i="15"/>
  <c r="D763" i="15"/>
  <c r="E763" i="15"/>
  <c r="F763" i="15"/>
  <c r="G763" i="15"/>
  <c r="H763" i="15"/>
  <c r="B764" i="15"/>
  <c r="C764" i="15"/>
  <c r="D764" i="15"/>
  <c r="E764" i="15"/>
  <c r="F764" i="15"/>
  <c r="G764" i="15"/>
  <c r="H764" i="15"/>
  <c r="B765" i="15"/>
  <c r="C765" i="15"/>
  <c r="D765" i="15"/>
  <c r="E765" i="15"/>
  <c r="F765" i="15"/>
  <c r="G765" i="15"/>
  <c r="H765" i="15"/>
  <c r="B766" i="15"/>
  <c r="C766" i="15"/>
  <c r="D766" i="15"/>
  <c r="E766" i="15"/>
  <c r="F766" i="15"/>
  <c r="G766" i="15"/>
  <c r="H766" i="15"/>
  <c r="B767" i="15"/>
  <c r="C767" i="15"/>
  <c r="D767" i="15"/>
  <c r="E767" i="15"/>
  <c r="F767" i="15"/>
  <c r="G767" i="15"/>
  <c r="H767" i="15"/>
  <c r="B768" i="15"/>
  <c r="C768" i="15"/>
  <c r="D768" i="15"/>
  <c r="E768" i="15"/>
  <c r="F768" i="15"/>
  <c r="G768" i="15"/>
  <c r="H768" i="15"/>
  <c r="B769" i="15"/>
  <c r="C769" i="15"/>
  <c r="D769" i="15"/>
  <c r="E769" i="15"/>
  <c r="F769" i="15"/>
  <c r="G769" i="15"/>
  <c r="H769" i="15"/>
  <c r="B770" i="15"/>
  <c r="C770" i="15"/>
  <c r="D770" i="15"/>
  <c r="E770" i="15"/>
  <c r="F770" i="15"/>
  <c r="G770" i="15"/>
  <c r="H770" i="15"/>
  <c r="B771" i="15"/>
  <c r="C771" i="15"/>
  <c r="D771" i="15"/>
  <c r="E771" i="15"/>
  <c r="F771" i="15"/>
  <c r="G771" i="15"/>
  <c r="H771" i="15"/>
  <c r="B772" i="15"/>
  <c r="C772" i="15"/>
  <c r="D772" i="15"/>
  <c r="E772" i="15"/>
  <c r="F772" i="15"/>
  <c r="G772" i="15"/>
  <c r="H772" i="15"/>
  <c r="B773" i="15"/>
  <c r="C773" i="15"/>
  <c r="D773" i="15"/>
  <c r="E773" i="15"/>
  <c r="F773" i="15"/>
  <c r="G773" i="15"/>
  <c r="H773" i="15"/>
  <c r="B774" i="15"/>
  <c r="C774" i="15"/>
  <c r="D774" i="15"/>
  <c r="E774" i="15"/>
  <c r="F774" i="15"/>
  <c r="G774" i="15"/>
  <c r="H774" i="15"/>
  <c r="B775" i="15"/>
  <c r="C775" i="15"/>
  <c r="D775" i="15"/>
  <c r="E775" i="15"/>
  <c r="F775" i="15"/>
  <c r="G775" i="15"/>
  <c r="H775" i="15"/>
  <c r="B776" i="15"/>
  <c r="C776" i="15"/>
  <c r="D776" i="15"/>
  <c r="E776" i="15"/>
  <c r="F776" i="15"/>
  <c r="G776" i="15"/>
  <c r="H776" i="15"/>
  <c r="B777" i="15"/>
  <c r="C777" i="15"/>
  <c r="D777" i="15"/>
  <c r="E777" i="15"/>
  <c r="F777" i="15"/>
  <c r="G777" i="15"/>
  <c r="H777" i="15"/>
  <c r="B778" i="15"/>
  <c r="C778" i="15"/>
  <c r="D778" i="15"/>
  <c r="E778" i="15"/>
  <c r="F778" i="15"/>
  <c r="G778" i="15"/>
  <c r="H778" i="15"/>
  <c r="B779" i="15"/>
  <c r="C779" i="15"/>
  <c r="D779" i="15"/>
  <c r="E779" i="15"/>
  <c r="F779" i="15"/>
  <c r="G779" i="15"/>
  <c r="H779" i="15"/>
  <c r="B780" i="15"/>
  <c r="C780" i="15"/>
  <c r="D780" i="15"/>
  <c r="E780" i="15"/>
  <c r="F780" i="15"/>
  <c r="G780" i="15"/>
  <c r="H780" i="15"/>
  <c r="B781" i="15"/>
  <c r="C781" i="15"/>
  <c r="D781" i="15"/>
  <c r="E781" i="15"/>
  <c r="F781" i="15"/>
  <c r="G781" i="15"/>
  <c r="H781" i="15"/>
  <c r="B782" i="15"/>
  <c r="C782" i="15"/>
  <c r="D782" i="15"/>
  <c r="E782" i="15"/>
  <c r="F782" i="15"/>
  <c r="G782" i="15"/>
  <c r="H782" i="15"/>
  <c r="B783" i="15"/>
  <c r="C783" i="15"/>
  <c r="D783" i="15"/>
  <c r="E783" i="15"/>
  <c r="F783" i="15"/>
  <c r="G783" i="15"/>
  <c r="H783" i="15"/>
  <c r="B784" i="15"/>
  <c r="C784" i="15"/>
  <c r="D784" i="15"/>
  <c r="E784" i="15"/>
  <c r="F784" i="15"/>
  <c r="G784" i="15"/>
  <c r="H784" i="15"/>
  <c r="B785" i="15"/>
  <c r="C785" i="15"/>
  <c r="D785" i="15"/>
  <c r="E785" i="15"/>
  <c r="F785" i="15"/>
  <c r="G785" i="15"/>
  <c r="H785" i="15"/>
  <c r="B786" i="15"/>
  <c r="C786" i="15"/>
  <c r="D786" i="15"/>
  <c r="E786" i="15"/>
  <c r="F786" i="15"/>
  <c r="G786" i="15"/>
  <c r="H786" i="15"/>
  <c r="B787" i="15"/>
  <c r="C787" i="15"/>
  <c r="D787" i="15"/>
  <c r="E787" i="15"/>
  <c r="F787" i="15"/>
  <c r="G787" i="15"/>
  <c r="H787" i="15"/>
  <c r="B788" i="15"/>
  <c r="C788" i="15"/>
  <c r="D788" i="15"/>
  <c r="E788" i="15"/>
  <c r="F788" i="15"/>
  <c r="G788" i="15"/>
  <c r="H788" i="15"/>
  <c r="B789" i="15"/>
  <c r="C789" i="15"/>
  <c r="D789" i="15"/>
  <c r="E789" i="15"/>
  <c r="F789" i="15"/>
  <c r="G789" i="15"/>
  <c r="H789" i="15"/>
  <c r="B790" i="15"/>
  <c r="C790" i="15"/>
  <c r="D790" i="15"/>
  <c r="E790" i="15"/>
  <c r="F790" i="15"/>
  <c r="G790" i="15"/>
  <c r="H790" i="15"/>
  <c r="B791" i="15"/>
  <c r="C791" i="15"/>
  <c r="D791" i="15"/>
  <c r="E791" i="15"/>
  <c r="F791" i="15"/>
  <c r="G791" i="15"/>
  <c r="H791" i="15"/>
  <c r="B792" i="15"/>
  <c r="C792" i="15"/>
  <c r="D792" i="15"/>
  <c r="E792" i="15"/>
  <c r="F792" i="15"/>
  <c r="G792" i="15"/>
  <c r="H792" i="15"/>
  <c r="B793" i="15"/>
  <c r="C793" i="15"/>
  <c r="D793" i="15"/>
  <c r="E793" i="15"/>
  <c r="F793" i="15"/>
  <c r="G793" i="15"/>
  <c r="H793" i="15"/>
  <c r="B794" i="15"/>
  <c r="C794" i="15"/>
  <c r="D794" i="15"/>
  <c r="E794" i="15"/>
  <c r="F794" i="15"/>
  <c r="G794" i="15"/>
  <c r="H794" i="15"/>
  <c r="B795" i="15"/>
  <c r="C795" i="15"/>
  <c r="D795" i="15"/>
  <c r="E795" i="15"/>
  <c r="F795" i="15"/>
  <c r="G795" i="15"/>
  <c r="H795" i="15"/>
  <c r="B796" i="15"/>
  <c r="C796" i="15"/>
  <c r="D796" i="15"/>
  <c r="E796" i="15"/>
  <c r="F796" i="15"/>
  <c r="G796" i="15"/>
  <c r="H796" i="15"/>
  <c r="B797" i="15"/>
  <c r="C797" i="15"/>
  <c r="D797" i="15"/>
  <c r="E797" i="15"/>
  <c r="F797" i="15"/>
  <c r="G797" i="15"/>
  <c r="H797" i="15"/>
  <c r="B798" i="15"/>
  <c r="C798" i="15"/>
  <c r="D798" i="15"/>
  <c r="E798" i="15"/>
  <c r="F798" i="15"/>
  <c r="G798" i="15"/>
  <c r="H798" i="15"/>
  <c r="B799" i="15"/>
  <c r="C799" i="15"/>
  <c r="D799" i="15"/>
  <c r="E799" i="15"/>
  <c r="F799" i="15"/>
  <c r="G799" i="15"/>
  <c r="H799" i="15"/>
  <c r="B800" i="15"/>
  <c r="C800" i="15"/>
  <c r="D800" i="15"/>
  <c r="E800" i="15"/>
  <c r="F800" i="15"/>
  <c r="G800" i="15"/>
  <c r="H800" i="15"/>
  <c r="B801" i="15"/>
  <c r="C801" i="15"/>
  <c r="D801" i="15"/>
  <c r="E801" i="15"/>
  <c r="F801" i="15"/>
  <c r="G801" i="15"/>
  <c r="H801" i="15"/>
  <c r="B802" i="15"/>
  <c r="C802" i="15"/>
  <c r="D802" i="15"/>
  <c r="E802" i="15"/>
  <c r="F802" i="15"/>
  <c r="G802" i="15"/>
  <c r="H802" i="15"/>
  <c r="B803" i="15"/>
  <c r="C803" i="15"/>
  <c r="D803" i="15"/>
  <c r="E803" i="15"/>
  <c r="F803" i="15"/>
  <c r="G803" i="15"/>
  <c r="H803" i="15"/>
  <c r="B804" i="15"/>
  <c r="C804" i="15"/>
  <c r="D804" i="15"/>
  <c r="E804" i="15"/>
  <c r="F804" i="15"/>
  <c r="G804" i="15"/>
  <c r="H804" i="15"/>
  <c r="B805" i="15"/>
  <c r="C805" i="15"/>
  <c r="D805" i="15"/>
  <c r="E805" i="15"/>
  <c r="F805" i="15"/>
  <c r="G805" i="15"/>
  <c r="H805" i="15"/>
  <c r="B806" i="15"/>
  <c r="C806" i="15"/>
  <c r="D806" i="15"/>
  <c r="E806" i="15"/>
  <c r="F806" i="15"/>
  <c r="G806" i="15"/>
  <c r="H806" i="15"/>
  <c r="B807" i="15"/>
  <c r="C807" i="15"/>
  <c r="D807" i="15"/>
  <c r="E807" i="15"/>
  <c r="F807" i="15"/>
  <c r="G807" i="15"/>
  <c r="H807" i="15"/>
  <c r="B808" i="15"/>
  <c r="C808" i="15"/>
  <c r="D808" i="15"/>
  <c r="E808" i="15"/>
  <c r="F808" i="15"/>
  <c r="G808" i="15"/>
  <c r="H808" i="15"/>
  <c r="B809" i="15"/>
  <c r="C809" i="15"/>
  <c r="D809" i="15"/>
  <c r="E809" i="15"/>
  <c r="F809" i="15"/>
  <c r="G809" i="15"/>
  <c r="H809" i="15"/>
  <c r="B810" i="15"/>
  <c r="C810" i="15"/>
  <c r="D810" i="15"/>
  <c r="E810" i="15"/>
  <c r="F810" i="15"/>
  <c r="G810" i="15"/>
  <c r="H810" i="15"/>
  <c r="B811" i="15"/>
  <c r="C811" i="15"/>
  <c r="D811" i="15"/>
  <c r="E811" i="15"/>
  <c r="F811" i="15"/>
  <c r="G811" i="15"/>
  <c r="H811" i="15"/>
  <c r="B812" i="15"/>
  <c r="C812" i="15"/>
  <c r="D812" i="15"/>
  <c r="E812" i="15"/>
  <c r="F812" i="15"/>
  <c r="G812" i="15"/>
  <c r="H812" i="15"/>
  <c r="B813" i="15"/>
  <c r="C813" i="15"/>
  <c r="D813" i="15"/>
  <c r="E813" i="15"/>
  <c r="F813" i="15"/>
  <c r="G813" i="15"/>
  <c r="H813" i="15"/>
  <c r="B814" i="15"/>
  <c r="C814" i="15"/>
  <c r="D814" i="15"/>
  <c r="E814" i="15"/>
  <c r="F814" i="15"/>
  <c r="G814" i="15"/>
  <c r="H814" i="15"/>
  <c r="B815" i="15"/>
  <c r="C815" i="15"/>
  <c r="D815" i="15"/>
  <c r="E815" i="15"/>
  <c r="F815" i="15"/>
  <c r="G815" i="15"/>
  <c r="H815" i="15"/>
  <c r="B816" i="15"/>
  <c r="C816" i="15"/>
  <c r="D816" i="15"/>
  <c r="E816" i="15"/>
  <c r="F816" i="15"/>
  <c r="G816" i="15"/>
  <c r="H816" i="15"/>
  <c r="B817" i="15"/>
  <c r="C817" i="15"/>
  <c r="D817" i="15"/>
  <c r="E817" i="15"/>
  <c r="F817" i="15"/>
  <c r="G817" i="15"/>
  <c r="H817" i="15"/>
  <c r="B818" i="15"/>
  <c r="C818" i="15"/>
  <c r="D818" i="15"/>
  <c r="E818" i="15"/>
  <c r="F818" i="15"/>
  <c r="G818" i="15"/>
  <c r="H818" i="15"/>
  <c r="B819" i="15"/>
  <c r="C819" i="15"/>
  <c r="D819" i="15"/>
  <c r="E819" i="15"/>
  <c r="F819" i="15"/>
  <c r="G819" i="15"/>
  <c r="H819" i="15"/>
  <c r="B820" i="15"/>
  <c r="C820" i="15"/>
  <c r="D820" i="15"/>
  <c r="E820" i="15"/>
  <c r="F820" i="15"/>
  <c r="G820" i="15"/>
  <c r="H820" i="15"/>
  <c r="B821" i="15"/>
  <c r="C821" i="15"/>
  <c r="D821" i="15"/>
  <c r="E821" i="15"/>
  <c r="F821" i="15"/>
  <c r="G821" i="15"/>
  <c r="H821" i="15"/>
  <c r="B822" i="15"/>
  <c r="C822" i="15"/>
  <c r="D822" i="15"/>
  <c r="E822" i="15"/>
  <c r="F822" i="15"/>
  <c r="G822" i="15"/>
  <c r="H822" i="15"/>
  <c r="B823" i="15"/>
  <c r="C823" i="15"/>
  <c r="D823" i="15"/>
  <c r="E823" i="15"/>
  <c r="F823" i="15"/>
  <c r="G823" i="15"/>
  <c r="H823" i="15"/>
  <c r="B824" i="15"/>
  <c r="C824" i="15"/>
  <c r="D824" i="15"/>
  <c r="E824" i="15"/>
  <c r="F824" i="15"/>
  <c r="G824" i="15"/>
  <c r="H824" i="15"/>
  <c r="B825" i="15"/>
  <c r="C825" i="15"/>
  <c r="D825" i="15"/>
  <c r="E825" i="15"/>
  <c r="F825" i="15"/>
  <c r="G825" i="15"/>
  <c r="H825" i="15"/>
  <c r="B826" i="15"/>
  <c r="C826" i="15"/>
  <c r="D826" i="15"/>
  <c r="E826" i="15"/>
  <c r="F826" i="15"/>
  <c r="G826" i="15"/>
  <c r="H826" i="15"/>
  <c r="B827" i="15"/>
  <c r="C827" i="15"/>
  <c r="D827" i="15"/>
  <c r="E827" i="15"/>
  <c r="F827" i="15"/>
  <c r="G827" i="15"/>
  <c r="H827" i="15"/>
  <c r="B828" i="15"/>
  <c r="C828" i="15"/>
  <c r="D828" i="15"/>
  <c r="E828" i="15"/>
  <c r="F828" i="15"/>
  <c r="G828" i="15"/>
  <c r="H828" i="15"/>
  <c r="B829" i="15"/>
  <c r="C829" i="15"/>
  <c r="D829" i="15"/>
  <c r="E829" i="15"/>
  <c r="F829" i="15"/>
  <c r="G829" i="15"/>
  <c r="H829" i="15"/>
  <c r="B830" i="15"/>
  <c r="C830" i="15"/>
  <c r="D830" i="15"/>
  <c r="E830" i="15"/>
  <c r="F830" i="15"/>
  <c r="G830" i="15"/>
  <c r="H830" i="15"/>
  <c r="B831" i="15"/>
  <c r="C831" i="15"/>
  <c r="D831" i="15"/>
  <c r="E831" i="15"/>
  <c r="F831" i="15"/>
  <c r="G831" i="15"/>
  <c r="H831" i="15"/>
  <c r="B832" i="15"/>
  <c r="C832" i="15"/>
  <c r="D832" i="15"/>
  <c r="E832" i="15"/>
  <c r="F832" i="15"/>
  <c r="G832" i="15"/>
  <c r="H832" i="15"/>
  <c r="B833" i="15"/>
  <c r="C833" i="15"/>
  <c r="D833" i="15"/>
  <c r="E833" i="15"/>
  <c r="F833" i="15"/>
  <c r="G833" i="15"/>
  <c r="H833" i="15"/>
  <c r="B834" i="15"/>
  <c r="C834" i="15"/>
  <c r="D834" i="15"/>
  <c r="E834" i="15"/>
  <c r="F834" i="15"/>
  <c r="G834" i="15"/>
  <c r="H834" i="15"/>
  <c r="B835" i="15"/>
  <c r="C835" i="15"/>
  <c r="D835" i="15"/>
  <c r="E835" i="15"/>
  <c r="F835" i="15"/>
  <c r="G835" i="15"/>
  <c r="H835" i="15"/>
  <c r="B836" i="15"/>
  <c r="C836" i="15"/>
  <c r="D836" i="15"/>
  <c r="E836" i="15"/>
  <c r="F836" i="15"/>
  <c r="G836" i="15"/>
  <c r="H836" i="15"/>
  <c r="B837" i="15"/>
  <c r="C837" i="15"/>
  <c r="D837" i="15"/>
  <c r="E837" i="15"/>
  <c r="F837" i="15"/>
  <c r="G837" i="15"/>
  <c r="H837" i="15"/>
  <c r="B838" i="15"/>
  <c r="C838" i="15"/>
  <c r="D838" i="15"/>
  <c r="E838" i="15"/>
  <c r="F838" i="15"/>
  <c r="G838" i="15"/>
  <c r="H838" i="15"/>
  <c r="B839" i="15"/>
  <c r="C839" i="15"/>
  <c r="D839" i="15"/>
  <c r="E839" i="15"/>
  <c r="F839" i="15"/>
  <c r="G839" i="15"/>
  <c r="H839" i="15"/>
  <c r="B840" i="15"/>
  <c r="C840" i="15"/>
  <c r="D840" i="15"/>
  <c r="E840" i="15"/>
  <c r="F840" i="15"/>
  <c r="G840" i="15"/>
  <c r="H840" i="15"/>
  <c r="B841" i="15"/>
  <c r="C841" i="15"/>
  <c r="D841" i="15"/>
  <c r="E841" i="15"/>
  <c r="F841" i="15"/>
  <c r="G841" i="15"/>
  <c r="H841" i="15"/>
  <c r="B842" i="15"/>
  <c r="C842" i="15"/>
  <c r="D842" i="15"/>
  <c r="E842" i="15"/>
  <c r="F842" i="15"/>
  <c r="G842" i="15"/>
  <c r="H842" i="15"/>
  <c r="B843" i="15"/>
  <c r="C843" i="15"/>
  <c r="D843" i="15"/>
  <c r="E843" i="15"/>
  <c r="F843" i="15"/>
  <c r="G843" i="15"/>
  <c r="H843" i="15"/>
  <c r="B844" i="15"/>
  <c r="C844" i="15"/>
  <c r="D844" i="15"/>
  <c r="E844" i="15"/>
  <c r="F844" i="15"/>
  <c r="G844" i="15"/>
  <c r="H844" i="15"/>
  <c r="B845" i="15"/>
  <c r="C845" i="15"/>
  <c r="D845" i="15"/>
  <c r="E845" i="15"/>
  <c r="F845" i="15"/>
  <c r="G845" i="15"/>
  <c r="H845" i="15"/>
  <c r="B846" i="15"/>
  <c r="C846" i="15"/>
  <c r="D846" i="15"/>
  <c r="E846" i="15"/>
  <c r="F846" i="15"/>
  <c r="G846" i="15"/>
  <c r="H846" i="15"/>
  <c r="B847" i="15"/>
  <c r="C847" i="15"/>
  <c r="D847" i="15"/>
  <c r="E847" i="15"/>
  <c r="F847" i="15"/>
  <c r="G847" i="15"/>
  <c r="H847" i="15"/>
  <c r="B848" i="15"/>
  <c r="C848" i="15"/>
  <c r="D848" i="15"/>
  <c r="E848" i="15"/>
  <c r="F848" i="15"/>
  <c r="G848" i="15"/>
  <c r="H848" i="15"/>
  <c r="B849" i="15"/>
  <c r="C849" i="15"/>
  <c r="D849" i="15"/>
  <c r="E849" i="15"/>
  <c r="F849" i="15"/>
  <c r="G849" i="15"/>
  <c r="H849" i="15"/>
  <c r="B850" i="15"/>
  <c r="C850" i="15"/>
  <c r="D850" i="15"/>
  <c r="E850" i="15"/>
  <c r="F850" i="15"/>
  <c r="G850" i="15"/>
  <c r="H850" i="15"/>
  <c r="B851" i="15"/>
  <c r="C851" i="15"/>
  <c r="D851" i="15"/>
  <c r="E851" i="15"/>
  <c r="F851" i="15"/>
  <c r="G851" i="15"/>
  <c r="H851" i="15"/>
  <c r="B852" i="15"/>
  <c r="C852" i="15"/>
  <c r="D852" i="15"/>
  <c r="E852" i="15"/>
  <c r="F852" i="15"/>
  <c r="G852" i="15"/>
  <c r="H852" i="15"/>
  <c r="B853" i="15"/>
  <c r="C853" i="15"/>
  <c r="D853" i="15"/>
  <c r="E853" i="15"/>
  <c r="F853" i="15"/>
  <c r="G853" i="15"/>
  <c r="H853" i="15"/>
  <c r="B854" i="15"/>
  <c r="C854" i="15"/>
  <c r="D854" i="15"/>
  <c r="E854" i="15"/>
  <c r="F854" i="15"/>
  <c r="G854" i="15"/>
  <c r="H854" i="15"/>
  <c r="B855" i="15"/>
  <c r="C855" i="15"/>
  <c r="D855" i="15"/>
  <c r="E855" i="15"/>
  <c r="F855" i="15"/>
  <c r="G855" i="15"/>
  <c r="H855" i="15"/>
  <c r="B856" i="15"/>
  <c r="C856" i="15"/>
  <c r="D856" i="15"/>
  <c r="E856" i="15"/>
  <c r="F856" i="15"/>
  <c r="G856" i="15"/>
  <c r="H856" i="15"/>
  <c r="B857" i="15"/>
  <c r="C857" i="15"/>
  <c r="D857" i="15"/>
  <c r="E857" i="15"/>
  <c r="F857" i="15"/>
  <c r="G857" i="15"/>
  <c r="H857" i="15"/>
  <c r="B858" i="15"/>
  <c r="C858" i="15"/>
  <c r="D858" i="15"/>
  <c r="E858" i="15"/>
  <c r="F858" i="15"/>
  <c r="G858" i="15"/>
  <c r="H858" i="15"/>
  <c r="B859" i="15"/>
  <c r="C859" i="15"/>
  <c r="D859" i="15"/>
  <c r="E859" i="15"/>
  <c r="F859" i="15"/>
  <c r="G859" i="15"/>
  <c r="H859" i="15"/>
  <c r="B860" i="15"/>
  <c r="C860" i="15"/>
  <c r="D860" i="15"/>
  <c r="E860" i="15"/>
  <c r="F860" i="15"/>
  <c r="G860" i="15"/>
  <c r="H860" i="15"/>
  <c r="B861" i="15"/>
  <c r="C861" i="15"/>
  <c r="D861" i="15"/>
  <c r="E861" i="15"/>
  <c r="F861" i="15"/>
  <c r="G861" i="15"/>
  <c r="H861" i="15"/>
  <c r="B862" i="15"/>
  <c r="C862" i="15"/>
  <c r="D862" i="15"/>
  <c r="E862" i="15"/>
  <c r="F862" i="15"/>
  <c r="G862" i="15"/>
  <c r="H862" i="15"/>
  <c r="B863" i="15"/>
  <c r="C863" i="15"/>
  <c r="D863" i="15"/>
  <c r="E863" i="15"/>
  <c r="F863" i="15"/>
  <c r="G863" i="15"/>
  <c r="H863" i="15"/>
  <c r="B864" i="15"/>
  <c r="C864" i="15"/>
  <c r="D864" i="15"/>
  <c r="E864" i="15"/>
  <c r="F864" i="15"/>
  <c r="G864" i="15"/>
  <c r="H864" i="15"/>
  <c r="B865" i="15"/>
  <c r="C865" i="15"/>
  <c r="D865" i="15"/>
  <c r="E865" i="15"/>
  <c r="F865" i="15"/>
  <c r="G865" i="15"/>
  <c r="H865" i="15"/>
  <c r="B866" i="15"/>
  <c r="C866" i="15"/>
  <c r="D866" i="15"/>
  <c r="E866" i="15"/>
  <c r="F866" i="15"/>
  <c r="G866" i="15"/>
  <c r="H866" i="15"/>
  <c r="B867" i="15"/>
  <c r="C867" i="15"/>
  <c r="D867" i="15"/>
  <c r="E867" i="15"/>
  <c r="F867" i="15"/>
  <c r="G867" i="15"/>
  <c r="H867" i="15"/>
  <c r="B868" i="15"/>
  <c r="C868" i="15"/>
  <c r="D868" i="15"/>
  <c r="E868" i="15"/>
  <c r="F868" i="15"/>
  <c r="G868" i="15"/>
  <c r="H868" i="15"/>
  <c r="B869" i="15"/>
  <c r="C869" i="15"/>
  <c r="D869" i="15"/>
  <c r="E869" i="15"/>
  <c r="F869" i="15"/>
  <c r="G869" i="15"/>
  <c r="H869" i="15"/>
  <c r="B870" i="15"/>
  <c r="C870" i="15"/>
  <c r="D870" i="15"/>
  <c r="E870" i="15"/>
  <c r="F870" i="15"/>
  <c r="G870" i="15"/>
  <c r="H870" i="15"/>
  <c r="B871" i="15"/>
  <c r="C871" i="15"/>
  <c r="D871" i="15"/>
  <c r="E871" i="15"/>
  <c r="F871" i="15"/>
  <c r="G871" i="15"/>
  <c r="H871" i="15"/>
  <c r="B872" i="15"/>
  <c r="C872" i="15"/>
  <c r="D872" i="15"/>
  <c r="E872" i="15"/>
  <c r="F872" i="15"/>
  <c r="G872" i="15"/>
  <c r="H872" i="15"/>
  <c r="B873" i="15"/>
  <c r="C873" i="15"/>
  <c r="D873" i="15"/>
  <c r="E873" i="15"/>
  <c r="F873" i="15"/>
  <c r="G873" i="15"/>
  <c r="H873" i="15"/>
  <c r="B874" i="15"/>
  <c r="C874" i="15"/>
  <c r="D874" i="15"/>
  <c r="E874" i="15"/>
  <c r="F874" i="15"/>
  <c r="G874" i="15"/>
  <c r="H874" i="15"/>
  <c r="B875" i="15"/>
  <c r="C875" i="15"/>
  <c r="D875" i="15"/>
  <c r="E875" i="15"/>
  <c r="F875" i="15"/>
  <c r="G875" i="15"/>
  <c r="H875" i="15"/>
  <c r="B876" i="15"/>
  <c r="C876" i="15"/>
  <c r="D876" i="15"/>
  <c r="E876" i="15"/>
  <c r="F876" i="15"/>
  <c r="G876" i="15"/>
  <c r="H876" i="15"/>
  <c r="B877" i="15"/>
  <c r="C877" i="15"/>
  <c r="D877" i="15"/>
  <c r="E877" i="15"/>
  <c r="F877" i="15"/>
  <c r="G877" i="15"/>
  <c r="H877" i="15"/>
  <c r="B878" i="15"/>
  <c r="C878" i="15"/>
  <c r="D878" i="15"/>
  <c r="E878" i="15"/>
  <c r="F878" i="15"/>
  <c r="G878" i="15"/>
  <c r="H878" i="15"/>
  <c r="B879" i="15"/>
  <c r="C879" i="15"/>
  <c r="D879" i="15"/>
  <c r="E879" i="15"/>
  <c r="F879" i="15"/>
  <c r="G879" i="15"/>
  <c r="H879" i="15"/>
  <c r="B880" i="15"/>
  <c r="C880" i="15"/>
  <c r="D880" i="15"/>
  <c r="E880" i="15"/>
  <c r="F880" i="15"/>
  <c r="G880" i="15"/>
  <c r="H880" i="15"/>
  <c r="B881" i="15"/>
  <c r="C881" i="15"/>
  <c r="D881" i="15"/>
  <c r="E881" i="15"/>
  <c r="F881" i="15"/>
  <c r="G881" i="15"/>
  <c r="H881" i="15"/>
  <c r="B882" i="15"/>
  <c r="C882" i="15"/>
  <c r="D882" i="15"/>
  <c r="E882" i="15"/>
  <c r="F882" i="15"/>
  <c r="G882" i="15"/>
  <c r="H882" i="15"/>
  <c r="B883" i="15"/>
  <c r="C883" i="15"/>
  <c r="D883" i="15"/>
  <c r="E883" i="15"/>
  <c r="F883" i="15"/>
  <c r="G883" i="15"/>
  <c r="H883" i="15"/>
  <c r="B884" i="15"/>
  <c r="C884" i="15"/>
  <c r="D884" i="15"/>
  <c r="E884" i="15"/>
  <c r="F884" i="15"/>
  <c r="G884" i="15"/>
  <c r="H884" i="15"/>
  <c r="B885" i="15"/>
  <c r="C885" i="15"/>
  <c r="D885" i="15"/>
  <c r="E885" i="15"/>
  <c r="F885" i="15"/>
  <c r="G885" i="15"/>
  <c r="H885" i="15"/>
  <c r="B886" i="15"/>
  <c r="C886" i="15"/>
  <c r="D886" i="15"/>
  <c r="E886" i="15"/>
  <c r="F886" i="15"/>
  <c r="G886" i="15"/>
  <c r="H886" i="15"/>
  <c r="B887" i="15"/>
  <c r="C887" i="15"/>
  <c r="D887" i="15"/>
  <c r="E887" i="15"/>
  <c r="F887" i="15"/>
  <c r="G887" i="15"/>
  <c r="H887" i="15"/>
  <c r="B888" i="15"/>
  <c r="C888" i="15"/>
  <c r="D888" i="15"/>
  <c r="E888" i="15"/>
  <c r="F888" i="15"/>
  <c r="G888" i="15"/>
  <c r="H888" i="15"/>
  <c r="B889" i="15"/>
  <c r="C889" i="15"/>
  <c r="D889" i="15"/>
  <c r="E889" i="15"/>
  <c r="F889" i="15"/>
  <c r="G889" i="15"/>
  <c r="H889" i="15"/>
  <c r="B890" i="15"/>
  <c r="C890" i="15"/>
  <c r="D890" i="15"/>
  <c r="E890" i="15"/>
  <c r="F890" i="15"/>
  <c r="G890" i="15"/>
  <c r="H890" i="15"/>
  <c r="B891" i="15"/>
  <c r="C891" i="15"/>
  <c r="D891" i="15"/>
  <c r="E891" i="15"/>
  <c r="F891" i="15"/>
  <c r="G891" i="15"/>
  <c r="H891" i="15"/>
  <c r="B892" i="15"/>
  <c r="C892" i="15"/>
  <c r="D892" i="15"/>
  <c r="E892" i="15"/>
  <c r="F892" i="15"/>
  <c r="G892" i="15"/>
  <c r="H892" i="15"/>
  <c r="B893" i="15"/>
  <c r="C893" i="15"/>
  <c r="D893" i="15"/>
  <c r="E893" i="15"/>
  <c r="F893" i="15"/>
  <c r="G893" i="15"/>
  <c r="H893" i="15"/>
  <c r="B894" i="15"/>
  <c r="C894" i="15"/>
  <c r="D894" i="15"/>
  <c r="E894" i="15"/>
  <c r="F894" i="15"/>
  <c r="G894" i="15"/>
  <c r="H894" i="15"/>
  <c r="B895" i="15"/>
  <c r="C895" i="15"/>
  <c r="D895" i="15"/>
  <c r="E895" i="15"/>
  <c r="F895" i="15"/>
  <c r="G895" i="15"/>
  <c r="H895" i="15"/>
  <c r="B896" i="15"/>
  <c r="C896" i="15"/>
  <c r="D896" i="15"/>
  <c r="E896" i="15"/>
  <c r="F896" i="15"/>
  <c r="G896" i="15"/>
  <c r="H896" i="15"/>
  <c r="B897" i="15"/>
  <c r="C897" i="15"/>
  <c r="D897" i="15"/>
  <c r="E897" i="15"/>
  <c r="F897" i="15"/>
  <c r="G897" i="15"/>
  <c r="H897" i="15"/>
  <c r="B898" i="15"/>
  <c r="C898" i="15"/>
  <c r="D898" i="15"/>
  <c r="E898" i="15"/>
  <c r="F898" i="15"/>
  <c r="G898" i="15"/>
  <c r="H898" i="15"/>
  <c r="B899" i="15"/>
  <c r="C899" i="15"/>
  <c r="D899" i="15"/>
  <c r="E899" i="15"/>
  <c r="F899" i="15"/>
  <c r="G899" i="15"/>
  <c r="H899" i="15"/>
  <c r="B900" i="15"/>
  <c r="C900" i="15"/>
  <c r="D900" i="15"/>
  <c r="E900" i="15"/>
  <c r="F900" i="15"/>
  <c r="G900" i="15"/>
  <c r="H900" i="15"/>
  <c r="B901" i="15"/>
  <c r="C901" i="15"/>
  <c r="D901" i="15"/>
  <c r="E901" i="15"/>
  <c r="F901" i="15"/>
  <c r="G901" i="15"/>
  <c r="H901" i="15"/>
  <c r="B902" i="15"/>
  <c r="C902" i="15"/>
  <c r="D902" i="15"/>
  <c r="E902" i="15"/>
  <c r="F902" i="15"/>
  <c r="G902" i="15"/>
  <c r="H902" i="15"/>
  <c r="B903" i="15"/>
  <c r="C903" i="15"/>
  <c r="D903" i="15"/>
  <c r="E903" i="15"/>
  <c r="F903" i="15"/>
  <c r="G903" i="15"/>
  <c r="H903" i="15"/>
  <c r="B904" i="15"/>
  <c r="C904" i="15"/>
  <c r="D904" i="15"/>
  <c r="E904" i="15"/>
  <c r="F904" i="15"/>
  <c r="G904" i="15"/>
  <c r="H904" i="15"/>
  <c r="B905" i="15"/>
  <c r="C905" i="15"/>
  <c r="D905" i="15"/>
  <c r="E905" i="15"/>
  <c r="F905" i="15"/>
  <c r="G905" i="15"/>
  <c r="H905" i="15"/>
  <c r="B906" i="15"/>
  <c r="C906" i="15"/>
  <c r="D906" i="15"/>
  <c r="E906" i="15"/>
  <c r="F906" i="15"/>
  <c r="G906" i="15"/>
  <c r="H906" i="15"/>
  <c r="B907" i="15"/>
  <c r="C907" i="15"/>
  <c r="D907" i="15"/>
  <c r="E907" i="15"/>
  <c r="F907" i="15"/>
  <c r="G907" i="15"/>
  <c r="H907" i="15"/>
  <c r="B908" i="15"/>
  <c r="C908" i="15"/>
  <c r="D908" i="15"/>
  <c r="E908" i="15"/>
  <c r="F908" i="15"/>
  <c r="G908" i="15"/>
  <c r="H908" i="15"/>
  <c r="B909" i="15"/>
  <c r="C909" i="15"/>
  <c r="D909" i="15"/>
  <c r="E909" i="15"/>
  <c r="F909" i="15"/>
  <c r="G909" i="15"/>
  <c r="H909" i="15"/>
  <c r="B910" i="15"/>
  <c r="C910" i="15"/>
  <c r="D910" i="15"/>
  <c r="E910" i="15"/>
  <c r="F910" i="15"/>
  <c r="G910" i="15"/>
  <c r="H910" i="15"/>
  <c r="B911" i="15"/>
  <c r="C911" i="15"/>
  <c r="D911" i="15"/>
  <c r="E911" i="15"/>
  <c r="F911" i="15"/>
  <c r="G911" i="15"/>
  <c r="H911" i="15"/>
  <c r="B912" i="15"/>
  <c r="C912" i="15"/>
  <c r="D912" i="15"/>
  <c r="E912" i="15"/>
  <c r="F912" i="15"/>
  <c r="G912" i="15"/>
  <c r="H912" i="15"/>
  <c r="B913" i="15"/>
  <c r="C913" i="15"/>
  <c r="D913" i="15"/>
  <c r="E913" i="15"/>
  <c r="F913" i="15"/>
  <c r="G913" i="15"/>
  <c r="H913" i="15"/>
  <c r="B914" i="15"/>
  <c r="C914" i="15"/>
  <c r="D914" i="15"/>
  <c r="E914" i="15"/>
  <c r="F914" i="15"/>
  <c r="G914" i="15"/>
  <c r="H914" i="15"/>
  <c r="B915" i="15"/>
  <c r="C915" i="15"/>
  <c r="D915" i="15"/>
  <c r="E915" i="15"/>
  <c r="F915" i="15"/>
  <c r="G915" i="15"/>
  <c r="H915" i="15"/>
  <c r="B916" i="15"/>
  <c r="C916" i="15"/>
  <c r="D916" i="15"/>
  <c r="E916" i="15"/>
  <c r="F916" i="15"/>
  <c r="G916" i="15"/>
  <c r="H916" i="15"/>
  <c r="B917" i="15"/>
  <c r="C917" i="15"/>
  <c r="D917" i="15"/>
  <c r="E917" i="15"/>
  <c r="F917" i="15"/>
  <c r="G917" i="15"/>
  <c r="H917" i="15"/>
  <c r="B918" i="15"/>
  <c r="C918" i="15"/>
  <c r="D918" i="15"/>
  <c r="E918" i="15"/>
  <c r="F918" i="15"/>
  <c r="G918" i="15"/>
  <c r="H918" i="15"/>
  <c r="B919" i="15"/>
  <c r="C919" i="15"/>
  <c r="D919" i="15"/>
  <c r="E919" i="15"/>
  <c r="F919" i="15"/>
  <c r="G919" i="15"/>
  <c r="H919" i="15"/>
  <c r="B920" i="15"/>
  <c r="C920" i="15"/>
  <c r="D920" i="15"/>
  <c r="E920" i="15"/>
  <c r="F920" i="15"/>
  <c r="G920" i="15"/>
  <c r="H920" i="15"/>
  <c r="B921" i="15"/>
  <c r="C921" i="15"/>
  <c r="D921" i="15"/>
  <c r="E921" i="15"/>
  <c r="F921" i="15"/>
  <c r="G921" i="15"/>
  <c r="H921" i="15"/>
  <c r="B922" i="15"/>
  <c r="C922" i="15"/>
  <c r="D922" i="15"/>
  <c r="E922" i="15"/>
  <c r="F922" i="15"/>
  <c r="G922" i="15"/>
  <c r="H922" i="15"/>
  <c r="B923" i="15"/>
  <c r="C923" i="15"/>
  <c r="D923" i="15"/>
  <c r="E923" i="15"/>
  <c r="F923" i="15"/>
  <c r="G923" i="15"/>
  <c r="H923" i="15"/>
  <c r="B924" i="15"/>
  <c r="C924" i="15"/>
  <c r="D924" i="15"/>
  <c r="E924" i="15"/>
  <c r="F924" i="15"/>
  <c r="G924" i="15"/>
  <c r="H924" i="15"/>
  <c r="B925" i="15"/>
  <c r="C925" i="15"/>
  <c r="D925" i="15"/>
  <c r="E925" i="15"/>
  <c r="F925" i="15"/>
  <c r="G925" i="15"/>
  <c r="H925" i="15"/>
  <c r="B926" i="15"/>
  <c r="C926" i="15"/>
  <c r="D926" i="15"/>
  <c r="E926" i="15"/>
  <c r="F926" i="15"/>
  <c r="G926" i="15"/>
  <c r="H926" i="15"/>
  <c r="B927" i="15"/>
  <c r="C927" i="15"/>
  <c r="D927" i="15"/>
  <c r="E927" i="15"/>
  <c r="F927" i="15"/>
  <c r="G927" i="15"/>
  <c r="H927" i="15"/>
  <c r="B928" i="15"/>
  <c r="C928" i="15"/>
  <c r="D928" i="15"/>
  <c r="E928" i="15"/>
  <c r="F928" i="15"/>
  <c r="G928" i="15"/>
  <c r="H928" i="15"/>
  <c r="B929" i="15"/>
  <c r="C929" i="15"/>
  <c r="D929" i="15"/>
  <c r="E929" i="15"/>
  <c r="F929" i="15"/>
  <c r="G929" i="15"/>
  <c r="H929" i="15"/>
  <c r="B930" i="15"/>
  <c r="C930" i="15"/>
  <c r="D930" i="15"/>
  <c r="E930" i="15"/>
  <c r="F930" i="15"/>
  <c r="G930" i="15"/>
  <c r="H930" i="15"/>
  <c r="B931" i="15"/>
  <c r="C931" i="15"/>
  <c r="D931" i="15"/>
  <c r="E931" i="15"/>
  <c r="F931" i="15"/>
  <c r="G931" i="15"/>
  <c r="H931" i="15"/>
  <c r="B932" i="15"/>
  <c r="C932" i="15"/>
  <c r="D932" i="15"/>
  <c r="E932" i="15"/>
  <c r="F932" i="15"/>
  <c r="G932" i="15"/>
  <c r="H932" i="15"/>
  <c r="B933" i="15"/>
  <c r="C933" i="15"/>
  <c r="D933" i="15"/>
  <c r="E933" i="15"/>
  <c r="F933" i="15"/>
  <c r="G933" i="15"/>
  <c r="H933" i="15"/>
  <c r="B934" i="15"/>
  <c r="C934" i="15"/>
  <c r="D934" i="15"/>
  <c r="E934" i="15"/>
  <c r="F934" i="15"/>
  <c r="G934" i="15"/>
  <c r="H934" i="15"/>
  <c r="B935" i="15"/>
  <c r="C935" i="15"/>
  <c r="D935" i="15"/>
  <c r="E935" i="15"/>
  <c r="F935" i="15"/>
  <c r="G935" i="15"/>
  <c r="H935" i="15"/>
  <c r="B936" i="15"/>
  <c r="C936" i="15"/>
  <c r="D936" i="15"/>
  <c r="E936" i="15"/>
  <c r="F936" i="15"/>
  <c r="G936" i="15"/>
  <c r="H936" i="15"/>
  <c r="B937" i="15"/>
  <c r="C937" i="15"/>
  <c r="D937" i="15"/>
  <c r="E937" i="15"/>
  <c r="F937" i="15"/>
  <c r="G937" i="15"/>
  <c r="H937" i="15"/>
  <c r="B938" i="15"/>
  <c r="C938" i="15"/>
  <c r="D938" i="15"/>
  <c r="E938" i="15"/>
  <c r="F938" i="15"/>
  <c r="G938" i="15"/>
  <c r="H938" i="15"/>
  <c r="B939" i="15"/>
  <c r="C939" i="15"/>
  <c r="D939" i="15"/>
  <c r="E939" i="15"/>
  <c r="F939" i="15"/>
  <c r="G939" i="15"/>
  <c r="H939" i="15"/>
  <c r="B940" i="15"/>
  <c r="C940" i="15"/>
  <c r="D940" i="15"/>
  <c r="E940" i="15"/>
  <c r="F940" i="15"/>
  <c r="G940" i="15"/>
  <c r="H940" i="15"/>
  <c r="B941" i="15"/>
  <c r="C941" i="15"/>
  <c r="D941" i="15"/>
  <c r="E941" i="15"/>
  <c r="F941" i="15"/>
  <c r="G941" i="15"/>
  <c r="H941" i="15"/>
  <c r="B942" i="15"/>
  <c r="C942" i="15"/>
  <c r="D942" i="15"/>
  <c r="E942" i="15"/>
  <c r="F942" i="15"/>
  <c r="G942" i="15"/>
  <c r="H942" i="15"/>
  <c r="B943" i="15"/>
  <c r="C943" i="15"/>
  <c r="D943" i="15"/>
  <c r="E943" i="15"/>
  <c r="F943" i="15"/>
  <c r="G943" i="15"/>
  <c r="H943" i="15"/>
  <c r="B944" i="15"/>
  <c r="C944" i="15"/>
  <c r="D944" i="15"/>
  <c r="E944" i="15"/>
  <c r="F944" i="15"/>
  <c r="G944" i="15"/>
  <c r="H944" i="15"/>
  <c r="B945" i="15"/>
  <c r="C945" i="15"/>
  <c r="D945" i="15"/>
  <c r="E945" i="15"/>
  <c r="F945" i="15"/>
  <c r="G945" i="15"/>
  <c r="H945" i="15"/>
  <c r="B946" i="15"/>
  <c r="C946" i="15"/>
  <c r="D946" i="15"/>
  <c r="E946" i="15"/>
  <c r="F946" i="15"/>
  <c r="G946" i="15"/>
  <c r="H946" i="15"/>
  <c r="B947" i="15"/>
  <c r="C947" i="15"/>
  <c r="D947" i="15"/>
  <c r="E947" i="15"/>
  <c r="F947" i="15"/>
  <c r="G947" i="15"/>
  <c r="H947" i="15"/>
  <c r="B948" i="15"/>
  <c r="C948" i="15"/>
  <c r="D948" i="15"/>
  <c r="E948" i="15"/>
  <c r="F948" i="15"/>
  <c r="G948" i="15"/>
  <c r="H948" i="15"/>
  <c r="B949" i="15"/>
  <c r="C949" i="15"/>
  <c r="D949" i="15"/>
  <c r="E949" i="15"/>
  <c r="F949" i="15"/>
  <c r="G949" i="15"/>
  <c r="H949" i="15"/>
  <c r="B950" i="15"/>
  <c r="C950" i="15"/>
  <c r="D950" i="15"/>
  <c r="E950" i="15"/>
  <c r="F950" i="15"/>
  <c r="G950" i="15"/>
  <c r="H950" i="15"/>
  <c r="B951" i="15"/>
  <c r="C951" i="15"/>
  <c r="D951" i="15"/>
  <c r="E951" i="15"/>
  <c r="F951" i="15"/>
  <c r="G951" i="15"/>
  <c r="H951" i="15"/>
  <c r="B952" i="15"/>
  <c r="C952" i="15"/>
  <c r="D952" i="15"/>
  <c r="E952" i="15"/>
  <c r="F952" i="15"/>
  <c r="G952" i="15"/>
  <c r="H952" i="15"/>
  <c r="B953" i="15"/>
  <c r="C953" i="15"/>
  <c r="D953" i="15"/>
  <c r="E953" i="15"/>
  <c r="F953" i="15"/>
  <c r="G953" i="15"/>
  <c r="H953" i="15"/>
  <c r="B954" i="15"/>
  <c r="C954" i="15"/>
  <c r="D954" i="15"/>
  <c r="E954" i="15"/>
  <c r="F954" i="15"/>
  <c r="G954" i="15"/>
  <c r="H954" i="15"/>
  <c r="B955" i="15"/>
  <c r="C955" i="15"/>
  <c r="D955" i="15"/>
  <c r="E955" i="15"/>
  <c r="F955" i="15"/>
  <c r="G955" i="15"/>
  <c r="H955" i="15"/>
  <c r="B956" i="15"/>
  <c r="C956" i="15"/>
  <c r="D956" i="15"/>
  <c r="E956" i="15"/>
  <c r="F956" i="15"/>
  <c r="G956" i="15"/>
  <c r="H956" i="15"/>
  <c r="B957" i="15"/>
  <c r="C957" i="15"/>
  <c r="D957" i="15"/>
  <c r="E957" i="15"/>
  <c r="F957" i="15"/>
  <c r="G957" i="15"/>
  <c r="H957" i="15"/>
  <c r="B958" i="15"/>
  <c r="C958" i="15"/>
  <c r="D958" i="15"/>
  <c r="E958" i="15"/>
  <c r="F958" i="15"/>
  <c r="G958" i="15"/>
  <c r="H958" i="15"/>
  <c r="B959" i="15"/>
  <c r="C959" i="15"/>
  <c r="D959" i="15"/>
  <c r="E959" i="15"/>
  <c r="F959" i="15"/>
  <c r="G959" i="15"/>
  <c r="H959" i="15"/>
  <c r="B960" i="15"/>
  <c r="C960" i="15"/>
  <c r="D960" i="15"/>
  <c r="E960" i="15"/>
  <c r="F960" i="15"/>
  <c r="G960" i="15"/>
  <c r="H960" i="15"/>
  <c r="B961" i="15"/>
  <c r="C961" i="15"/>
  <c r="D961" i="15"/>
  <c r="E961" i="15"/>
  <c r="F961" i="15"/>
  <c r="G961" i="15"/>
  <c r="H961" i="15"/>
  <c r="B962" i="15"/>
  <c r="C962" i="15"/>
  <c r="D962" i="15"/>
  <c r="E962" i="15"/>
  <c r="F962" i="15"/>
  <c r="G962" i="15"/>
  <c r="H962" i="15"/>
  <c r="B963" i="15"/>
  <c r="C963" i="15"/>
  <c r="D963" i="15"/>
  <c r="E963" i="15"/>
  <c r="F963" i="15"/>
  <c r="G963" i="15"/>
  <c r="H963" i="15"/>
  <c r="B964" i="15"/>
  <c r="C964" i="15"/>
  <c r="D964" i="15"/>
  <c r="E964" i="15"/>
  <c r="F964" i="15"/>
  <c r="G964" i="15"/>
  <c r="H964" i="15"/>
  <c r="B965" i="15"/>
  <c r="C965" i="15"/>
  <c r="D965" i="15"/>
  <c r="E965" i="15"/>
  <c r="F965" i="15"/>
  <c r="G965" i="15"/>
  <c r="H965" i="15"/>
  <c r="B966" i="15"/>
  <c r="C966" i="15"/>
  <c r="D966" i="15"/>
  <c r="E966" i="15"/>
  <c r="F966" i="15"/>
  <c r="G966" i="15"/>
  <c r="H966" i="15"/>
  <c r="B967" i="15"/>
  <c r="C967" i="15"/>
  <c r="D967" i="15"/>
  <c r="E967" i="15"/>
  <c r="F967" i="15"/>
  <c r="G967" i="15"/>
  <c r="H967" i="15"/>
  <c r="B968" i="15"/>
  <c r="C968" i="15"/>
  <c r="D968" i="15"/>
  <c r="E968" i="15"/>
  <c r="F968" i="15"/>
  <c r="G968" i="15"/>
  <c r="H968" i="15"/>
  <c r="B969" i="15"/>
  <c r="C969" i="15"/>
  <c r="D969" i="15"/>
  <c r="E969" i="15"/>
  <c r="F969" i="15"/>
  <c r="G969" i="15"/>
  <c r="H969" i="15"/>
  <c r="B970" i="15"/>
  <c r="C970" i="15"/>
  <c r="D970" i="15"/>
  <c r="E970" i="15"/>
  <c r="F970" i="15"/>
  <c r="G970" i="15"/>
  <c r="H970" i="15"/>
  <c r="B971" i="15"/>
  <c r="C971" i="15"/>
  <c r="D971" i="15"/>
  <c r="E971" i="15"/>
  <c r="F971" i="15"/>
  <c r="G971" i="15"/>
  <c r="H971" i="15"/>
  <c r="B972" i="15"/>
  <c r="C972" i="15"/>
  <c r="D972" i="15"/>
  <c r="E972" i="15"/>
  <c r="F972" i="15"/>
  <c r="G972" i="15"/>
  <c r="H972" i="15"/>
  <c r="B973" i="15"/>
  <c r="C973" i="15"/>
  <c r="D973" i="15"/>
  <c r="E973" i="15"/>
  <c r="F973" i="15"/>
  <c r="G973" i="15"/>
  <c r="H973" i="15"/>
  <c r="B974" i="15"/>
  <c r="C974" i="15"/>
  <c r="D974" i="15"/>
  <c r="E974" i="15"/>
  <c r="F974" i="15"/>
  <c r="G974" i="15"/>
  <c r="H974" i="15"/>
  <c r="B975" i="15"/>
  <c r="C975" i="15"/>
  <c r="D975" i="15"/>
  <c r="E975" i="15"/>
  <c r="F975" i="15"/>
  <c r="G975" i="15"/>
  <c r="H975" i="15"/>
  <c r="B976" i="15"/>
  <c r="C976" i="15"/>
  <c r="D976" i="15"/>
  <c r="E976" i="15"/>
  <c r="F976" i="15"/>
  <c r="G976" i="15"/>
  <c r="H976" i="15"/>
  <c r="B977" i="15"/>
  <c r="C977" i="15"/>
  <c r="D977" i="15"/>
  <c r="E977" i="15"/>
  <c r="F977" i="15"/>
  <c r="G977" i="15"/>
  <c r="H977" i="15"/>
  <c r="B978" i="15"/>
  <c r="C978" i="15"/>
  <c r="D978" i="15"/>
  <c r="E978" i="15"/>
  <c r="F978" i="15"/>
  <c r="G978" i="15"/>
  <c r="H978" i="15"/>
  <c r="B979" i="15"/>
  <c r="C979" i="15"/>
  <c r="D979" i="15"/>
  <c r="E979" i="15"/>
  <c r="F979" i="15"/>
  <c r="G979" i="15"/>
  <c r="H979" i="15"/>
  <c r="B980" i="15"/>
  <c r="C980" i="15"/>
  <c r="D980" i="15"/>
  <c r="E980" i="15"/>
  <c r="F980" i="15"/>
  <c r="G980" i="15"/>
  <c r="H980" i="15"/>
  <c r="B981" i="15"/>
  <c r="C981" i="15"/>
  <c r="D981" i="15"/>
  <c r="E981" i="15"/>
  <c r="F981" i="15"/>
  <c r="G981" i="15"/>
  <c r="H981" i="15"/>
  <c r="B982" i="15"/>
  <c r="C982" i="15"/>
  <c r="D982" i="15"/>
  <c r="E982" i="15"/>
  <c r="F982" i="15"/>
  <c r="G982" i="15"/>
  <c r="H982" i="15"/>
  <c r="B983" i="15"/>
  <c r="C983" i="15"/>
  <c r="D983" i="15"/>
  <c r="E983" i="15"/>
  <c r="F983" i="15"/>
  <c r="G983" i="15"/>
  <c r="H983" i="15"/>
  <c r="B984" i="15"/>
  <c r="C984" i="15"/>
  <c r="D984" i="15"/>
  <c r="E984" i="15"/>
  <c r="F984" i="15"/>
  <c r="G984" i="15"/>
  <c r="H984" i="15"/>
  <c r="B985" i="15"/>
  <c r="C985" i="15"/>
  <c r="D985" i="15"/>
  <c r="E985" i="15"/>
  <c r="F985" i="15"/>
  <c r="G985" i="15"/>
  <c r="H985" i="15"/>
  <c r="B986" i="15"/>
  <c r="C986" i="15"/>
  <c r="D986" i="15"/>
  <c r="E986" i="15"/>
  <c r="F986" i="15"/>
  <c r="G986" i="15"/>
  <c r="H986" i="15"/>
  <c r="B987" i="15"/>
  <c r="C987" i="15"/>
  <c r="D987" i="15"/>
  <c r="E987" i="15"/>
  <c r="F987" i="15"/>
  <c r="G987" i="15"/>
  <c r="H987" i="15"/>
  <c r="B988" i="15"/>
  <c r="C988" i="15"/>
  <c r="D988" i="15"/>
  <c r="E988" i="15"/>
  <c r="F988" i="15"/>
  <c r="G988" i="15"/>
  <c r="H988" i="15"/>
  <c r="B989" i="15"/>
  <c r="C989" i="15"/>
  <c r="D989" i="15"/>
  <c r="E989" i="15"/>
  <c r="F989" i="15"/>
  <c r="G989" i="15"/>
  <c r="H989" i="15"/>
  <c r="B990" i="15"/>
  <c r="C990" i="15"/>
  <c r="D990" i="15"/>
  <c r="E990" i="15"/>
  <c r="F990" i="15"/>
  <c r="G990" i="15"/>
  <c r="H990" i="15"/>
  <c r="B991" i="15"/>
  <c r="C991" i="15"/>
  <c r="D991" i="15"/>
  <c r="E991" i="15"/>
  <c r="F991" i="15"/>
  <c r="G991" i="15"/>
  <c r="H991" i="15"/>
  <c r="B992" i="15"/>
  <c r="C992" i="15"/>
  <c r="D992" i="15"/>
  <c r="E992" i="15"/>
  <c r="F992" i="15"/>
  <c r="G992" i="15"/>
  <c r="H992" i="15"/>
  <c r="B993" i="15"/>
  <c r="C993" i="15"/>
  <c r="D993" i="15"/>
  <c r="E993" i="15"/>
  <c r="F993" i="15"/>
  <c r="G993" i="15"/>
  <c r="H993" i="15"/>
  <c r="B994" i="15"/>
  <c r="C994" i="15"/>
  <c r="D994" i="15"/>
  <c r="E994" i="15"/>
  <c r="F994" i="15"/>
  <c r="G994" i="15"/>
  <c r="H994" i="15"/>
  <c r="B995" i="15"/>
  <c r="C995" i="15"/>
  <c r="D995" i="15"/>
  <c r="E995" i="15"/>
  <c r="F995" i="15"/>
  <c r="G995" i="15"/>
  <c r="H995" i="15"/>
  <c r="B996" i="15"/>
  <c r="C996" i="15"/>
  <c r="D996" i="15"/>
  <c r="E996" i="15"/>
  <c r="F996" i="15"/>
  <c r="G996" i="15"/>
  <c r="H996" i="15"/>
  <c r="B997" i="15"/>
  <c r="C997" i="15"/>
  <c r="D997" i="15"/>
  <c r="E997" i="15"/>
  <c r="F997" i="15"/>
  <c r="G997" i="15"/>
  <c r="H997" i="15"/>
  <c r="B998" i="15"/>
  <c r="C998" i="15"/>
  <c r="D998" i="15"/>
  <c r="E998" i="15"/>
  <c r="F998" i="15"/>
  <c r="G998" i="15"/>
  <c r="H998" i="15"/>
  <c r="B999" i="15"/>
  <c r="C999" i="15"/>
  <c r="D999" i="15"/>
  <c r="E999" i="15"/>
  <c r="F999" i="15"/>
  <c r="G999" i="15"/>
  <c r="H999" i="15"/>
  <c r="B1000" i="15"/>
  <c r="C1000" i="15"/>
  <c r="D1000" i="15"/>
  <c r="E1000" i="15"/>
  <c r="F1000" i="15"/>
  <c r="G1000" i="15"/>
  <c r="H1000" i="15"/>
  <c r="B1001" i="15"/>
  <c r="C1001" i="15"/>
  <c r="D1001" i="15"/>
  <c r="E1001" i="15"/>
  <c r="F1001" i="15"/>
  <c r="G1001" i="15"/>
  <c r="H1001" i="15"/>
  <c r="B1002" i="15"/>
  <c r="C1002" i="15"/>
  <c r="D1002" i="15"/>
  <c r="E1002" i="15"/>
  <c r="F1002" i="15"/>
  <c r="G1002" i="15"/>
  <c r="H1002" i="15"/>
  <c r="B1003" i="15"/>
  <c r="C1003" i="15"/>
  <c r="D1003" i="15"/>
  <c r="E1003" i="15"/>
  <c r="F1003" i="15"/>
  <c r="G1003" i="15"/>
  <c r="H1003" i="15"/>
  <c r="B1004" i="15"/>
  <c r="C1004" i="15"/>
  <c r="D1004" i="15"/>
  <c r="E1004" i="15"/>
  <c r="F1004" i="15"/>
  <c r="G1004" i="15"/>
  <c r="H1004" i="15"/>
  <c r="B1005" i="15"/>
  <c r="C1005" i="15"/>
  <c r="D1005" i="15"/>
  <c r="E1005" i="15"/>
  <c r="F1005" i="15"/>
  <c r="G1005" i="15"/>
  <c r="H1005" i="15"/>
  <c r="B1006" i="15"/>
  <c r="C1006" i="15"/>
  <c r="D1006" i="15"/>
  <c r="E1006" i="15"/>
  <c r="F1006" i="15"/>
  <c r="G1006" i="15"/>
  <c r="H1006" i="15"/>
  <c r="B1007" i="15"/>
  <c r="C1007" i="15"/>
  <c r="D1007" i="15"/>
  <c r="E1007" i="15"/>
  <c r="F1007" i="15"/>
  <c r="G1007" i="15"/>
  <c r="H1007" i="15"/>
  <c r="B1008" i="15"/>
  <c r="C1008" i="15"/>
  <c r="D1008" i="15"/>
  <c r="E1008" i="15"/>
  <c r="F1008" i="15"/>
  <c r="G1008" i="15"/>
  <c r="H1008" i="15"/>
  <c r="B1009" i="15"/>
  <c r="C1009" i="15"/>
  <c r="D1009" i="15"/>
  <c r="E1009" i="15"/>
  <c r="F1009" i="15"/>
  <c r="G1009" i="15"/>
  <c r="H1009" i="15"/>
  <c r="B1010" i="15"/>
  <c r="C1010" i="15"/>
  <c r="D1010" i="15"/>
  <c r="E1010" i="15"/>
  <c r="F1010" i="15"/>
  <c r="G1010" i="15"/>
  <c r="H1010" i="15"/>
  <c r="B1011" i="15"/>
  <c r="C1011" i="15"/>
  <c r="D1011" i="15"/>
  <c r="E1011" i="15"/>
  <c r="F1011" i="15"/>
  <c r="G1011" i="15"/>
  <c r="H1011" i="15"/>
  <c r="B1012" i="15"/>
  <c r="C1012" i="15"/>
  <c r="D1012" i="15"/>
  <c r="E1012" i="15"/>
  <c r="F1012" i="15"/>
  <c r="G1012" i="15"/>
  <c r="H1012" i="15"/>
  <c r="B1013" i="15"/>
  <c r="C1013" i="15"/>
  <c r="D1013" i="15"/>
  <c r="E1013" i="15"/>
  <c r="F1013" i="15"/>
  <c r="G1013" i="15"/>
  <c r="H1013" i="15"/>
  <c r="B1014" i="15"/>
  <c r="C1014" i="15"/>
  <c r="D1014" i="15"/>
  <c r="E1014" i="15"/>
  <c r="F1014" i="15"/>
  <c r="G1014" i="15"/>
  <c r="H1014" i="15"/>
  <c r="B1015" i="15"/>
  <c r="C1015" i="15"/>
  <c r="D1015" i="15"/>
  <c r="E1015" i="15"/>
  <c r="F1015" i="15"/>
  <c r="G1015" i="15"/>
  <c r="H1015" i="15"/>
  <c r="B1016" i="15"/>
  <c r="C1016" i="15"/>
  <c r="D1016" i="15"/>
  <c r="E1016" i="15"/>
  <c r="F1016" i="15"/>
  <c r="G1016" i="15"/>
  <c r="H1016" i="15"/>
  <c r="B1017" i="15"/>
  <c r="C1017" i="15"/>
  <c r="D1017" i="15"/>
  <c r="E1017" i="15"/>
  <c r="F1017" i="15"/>
  <c r="G1017" i="15"/>
  <c r="H1017" i="15"/>
  <c r="B1018" i="15"/>
  <c r="C1018" i="15"/>
  <c r="D1018" i="15"/>
  <c r="E1018" i="15"/>
  <c r="F1018" i="15"/>
  <c r="G1018" i="15"/>
  <c r="H1018" i="15"/>
  <c r="B1019" i="15"/>
  <c r="C1019" i="15"/>
  <c r="D1019" i="15"/>
  <c r="E1019" i="15"/>
  <c r="F1019" i="15"/>
  <c r="G1019" i="15"/>
  <c r="H1019" i="15"/>
  <c r="B1020" i="15"/>
  <c r="C1020" i="15"/>
  <c r="D1020" i="15"/>
  <c r="E1020" i="15"/>
  <c r="F1020" i="15"/>
  <c r="G1020" i="15"/>
  <c r="H1020" i="15"/>
  <c r="B1021" i="15"/>
  <c r="C1021" i="15"/>
  <c r="D1021" i="15"/>
  <c r="E1021" i="15"/>
  <c r="F1021" i="15"/>
  <c r="G1021" i="15"/>
  <c r="H1021" i="15"/>
  <c r="B1022" i="15"/>
  <c r="C1022" i="15"/>
  <c r="D1022" i="15"/>
  <c r="E1022" i="15"/>
  <c r="F1022" i="15"/>
  <c r="G1022" i="15"/>
  <c r="H1022" i="15"/>
  <c r="B1023" i="15"/>
  <c r="C1023" i="15"/>
  <c r="D1023" i="15"/>
  <c r="E1023" i="15"/>
  <c r="F1023" i="15"/>
  <c r="G1023" i="15"/>
  <c r="H1023" i="15"/>
  <c r="B1024" i="15"/>
  <c r="C1024" i="15"/>
  <c r="D1024" i="15"/>
  <c r="E1024" i="15"/>
  <c r="F1024" i="15"/>
  <c r="G1024" i="15"/>
  <c r="H1024" i="15"/>
  <c r="B1025" i="15"/>
  <c r="C1025" i="15"/>
  <c r="D1025" i="15"/>
  <c r="E1025" i="15"/>
  <c r="F1025" i="15"/>
  <c r="G1025" i="15"/>
  <c r="H1025" i="15"/>
  <c r="B1026" i="15"/>
  <c r="C1026" i="15"/>
  <c r="D1026" i="15"/>
  <c r="E1026" i="15"/>
  <c r="F1026" i="15"/>
  <c r="G1026" i="15"/>
  <c r="H1026" i="15"/>
  <c r="B1027" i="15"/>
  <c r="C1027" i="15"/>
  <c r="D1027" i="15"/>
  <c r="E1027" i="15"/>
  <c r="F1027" i="15"/>
  <c r="G1027" i="15"/>
  <c r="H1027" i="15"/>
  <c r="B1028" i="15"/>
  <c r="C1028" i="15"/>
  <c r="D1028" i="15"/>
  <c r="E1028" i="15"/>
  <c r="F1028" i="15"/>
  <c r="G1028" i="15"/>
  <c r="H1028" i="15"/>
  <c r="B1029" i="15"/>
  <c r="C1029" i="15"/>
  <c r="D1029" i="15"/>
  <c r="E1029" i="15"/>
  <c r="F1029" i="15"/>
  <c r="G1029" i="15"/>
  <c r="H1029" i="15"/>
  <c r="B1030" i="15"/>
  <c r="C1030" i="15"/>
  <c r="D1030" i="15"/>
  <c r="E1030" i="15"/>
  <c r="F1030" i="15"/>
  <c r="G1030" i="15"/>
  <c r="H1030" i="15"/>
  <c r="B1031" i="15"/>
  <c r="C1031" i="15"/>
  <c r="D1031" i="15"/>
  <c r="E1031" i="15"/>
  <c r="F1031" i="15"/>
  <c r="G1031" i="15"/>
  <c r="H1031" i="15"/>
  <c r="B1032" i="15"/>
  <c r="C1032" i="15"/>
  <c r="D1032" i="15"/>
  <c r="E1032" i="15"/>
  <c r="F1032" i="15"/>
  <c r="G1032" i="15"/>
  <c r="H1032" i="15"/>
  <c r="B1033" i="15"/>
  <c r="C1033" i="15"/>
  <c r="D1033" i="15"/>
  <c r="E1033" i="15"/>
  <c r="F1033" i="15"/>
  <c r="G1033" i="15"/>
  <c r="H1033" i="15"/>
  <c r="B1034" i="15"/>
  <c r="C1034" i="15"/>
  <c r="D1034" i="15"/>
  <c r="E1034" i="15"/>
  <c r="F1034" i="15"/>
  <c r="G1034" i="15"/>
  <c r="H1034" i="15"/>
  <c r="B1035" i="15"/>
  <c r="C1035" i="15"/>
  <c r="D1035" i="15"/>
  <c r="E1035" i="15"/>
  <c r="F1035" i="15"/>
  <c r="G1035" i="15"/>
  <c r="H1035" i="15"/>
  <c r="B1036" i="15"/>
  <c r="C1036" i="15"/>
  <c r="D1036" i="15"/>
  <c r="E1036" i="15"/>
  <c r="F1036" i="15"/>
  <c r="G1036" i="15"/>
  <c r="H1036" i="15"/>
  <c r="B1037" i="15"/>
  <c r="C1037" i="15"/>
  <c r="D1037" i="15"/>
  <c r="E1037" i="15"/>
  <c r="F1037" i="15"/>
  <c r="G1037" i="15"/>
  <c r="H1037" i="15"/>
  <c r="B1038" i="15"/>
  <c r="C1038" i="15"/>
  <c r="D1038" i="15"/>
  <c r="E1038" i="15"/>
  <c r="F1038" i="15"/>
  <c r="G1038" i="15"/>
  <c r="H1038" i="15"/>
  <c r="B1039" i="15"/>
  <c r="C1039" i="15"/>
  <c r="D1039" i="15"/>
  <c r="E1039" i="15"/>
  <c r="F1039" i="15"/>
  <c r="G1039" i="15"/>
  <c r="H1039" i="15"/>
  <c r="B1040" i="15"/>
  <c r="C1040" i="15"/>
  <c r="D1040" i="15"/>
  <c r="E1040" i="15"/>
  <c r="F1040" i="15"/>
  <c r="G1040" i="15"/>
  <c r="H1040" i="15"/>
  <c r="B1041" i="15"/>
  <c r="C1041" i="15"/>
  <c r="D1041" i="15"/>
  <c r="E1041" i="15"/>
  <c r="F1041" i="15"/>
  <c r="G1041" i="15"/>
  <c r="H1041" i="15"/>
  <c r="B1042" i="15"/>
  <c r="C1042" i="15"/>
  <c r="D1042" i="15"/>
  <c r="E1042" i="15"/>
  <c r="F1042" i="15"/>
  <c r="G1042" i="15"/>
  <c r="H1042" i="15"/>
  <c r="B1043" i="15"/>
  <c r="C1043" i="15"/>
  <c r="D1043" i="15"/>
  <c r="E1043" i="15"/>
  <c r="F1043" i="15"/>
  <c r="G1043" i="15"/>
  <c r="H1043" i="15"/>
  <c r="B1044" i="15"/>
  <c r="C1044" i="15"/>
  <c r="D1044" i="15"/>
  <c r="E1044" i="15"/>
  <c r="F1044" i="15"/>
  <c r="G1044" i="15"/>
  <c r="H1044" i="15"/>
  <c r="B1045" i="15"/>
  <c r="C1045" i="15"/>
  <c r="D1045" i="15"/>
  <c r="E1045" i="15"/>
  <c r="F1045" i="15"/>
  <c r="G1045" i="15"/>
  <c r="H1045" i="15"/>
  <c r="B1046" i="15"/>
  <c r="C1046" i="15"/>
  <c r="D1046" i="15"/>
  <c r="E1046" i="15"/>
  <c r="F1046" i="15"/>
  <c r="G1046" i="15"/>
  <c r="H1046" i="15"/>
  <c r="B1047" i="15"/>
  <c r="C1047" i="15"/>
  <c r="D1047" i="15"/>
  <c r="E1047" i="15"/>
  <c r="F1047" i="15"/>
  <c r="G1047" i="15"/>
  <c r="H1047" i="15"/>
  <c r="B1048" i="15"/>
  <c r="C1048" i="15"/>
  <c r="D1048" i="15"/>
  <c r="E1048" i="15"/>
  <c r="F1048" i="15"/>
  <c r="G1048" i="15"/>
  <c r="H1048" i="15"/>
  <c r="B1049" i="15"/>
  <c r="C1049" i="15"/>
  <c r="D1049" i="15"/>
  <c r="E1049" i="15"/>
  <c r="F1049" i="15"/>
  <c r="G1049" i="15"/>
  <c r="H1049" i="15"/>
  <c r="B1050" i="15"/>
  <c r="C1050" i="15"/>
  <c r="D1050" i="15"/>
  <c r="E1050" i="15"/>
  <c r="F1050" i="15"/>
  <c r="G1050" i="15"/>
  <c r="H1050" i="15"/>
  <c r="B1051" i="15"/>
  <c r="C1051" i="15"/>
  <c r="D1051" i="15"/>
  <c r="E1051" i="15"/>
  <c r="F1051" i="15"/>
  <c r="G1051" i="15"/>
  <c r="H1051" i="15"/>
  <c r="B1052" i="15"/>
  <c r="C1052" i="15"/>
  <c r="D1052" i="15"/>
  <c r="E1052" i="15"/>
  <c r="F1052" i="15"/>
  <c r="G1052" i="15"/>
  <c r="H1052" i="15"/>
  <c r="B1053" i="15"/>
  <c r="C1053" i="15"/>
  <c r="D1053" i="15"/>
  <c r="E1053" i="15"/>
  <c r="F1053" i="15"/>
  <c r="G1053" i="15"/>
  <c r="H1053" i="15"/>
  <c r="B1054" i="15"/>
  <c r="C1054" i="15"/>
  <c r="D1054" i="15"/>
  <c r="E1054" i="15"/>
  <c r="F1054" i="15"/>
  <c r="G1054" i="15"/>
  <c r="H1054" i="15"/>
  <c r="B1055" i="15"/>
  <c r="C1055" i="15"/>
  <c r="D1055" i="15"/>
  <c r="E1055" i="15"/>
  <c r="F1055" i="15"/>
  <c r="G1055" i="15"/>
  <c r="H1055" i="15"/>
  <c r="B1056" i="15"/>
  <c r="C1056" i="15"/>
  <c r="D1056" i="15"/>
  <c r="E1056" i="15"/>
  <c r="F1056" i="15"/>
  <c r="G1056" i="15"/>
  <c r="H1056" i="15"/>
  <c r="B1057" i="15"/>
  <c r="C1057" i="15"/>
  <c r="D1057" i="15"/>
  <c r="E1057" i="15"/>
  <c r="F1057" i="15"/>
  <c r="G1057" i="15"/>
  <c r="H1057" i="15"/>
  <c r="B1058" i="15"/>
  <c r="C1058" i="15"/>
  <c r="D1058" i="15"/>
  <c r="E1058" i="15"/>
  <c r="F1058" i="15"/>
  <c r="G1058" i="15"/>
  <c r="H1058" i="15"/>
  <c r="B1059" i="15"/>
  <c r="C1059" i="15"/>
  <c r="D1059" i="15"/>
  <c r="E1059" i="15"/>
  <c r="F1059" i="15"/>
  <c r="G1059" i="15"/>
  <c r="H1059" i="15"/>
  <c r="B1060" i="15"/>
  <c r="C1060" i="15"/>
  <c r="D1060" i="15"/>
  <c r="E1060" i="15"/>
  <c r="F1060" i="15"/>
  <c r="G1060" i="15"/>
  <c r="H1060" i="15"/>
  <c r="B1061" i="15"/>
  <c r="C1061" i="15"/>
  <c r="D1061" i="15"/>
  <c r="E1061" i="15"/>
  <c r="F1061" i="15"/>
  <c r="G1061" i="15"/>
  <c r="H1061" i="15"/>
  <c r="B1062" i="15"/>
  <c r="C1062" i="15"/>
  <c r="D1062" i="15"/>
  <c r="E1062" i="15"/>
  <c r="F1062" i="15"/>
  <c r="G1062" i="15"/>
  <c r="H1062" i="15"/>
  <c r="B1063" i="15"/>
  <c r="C1063" i="15"/>
  <c r="D1063" i="15"/>
  <c r="E1063" i="15"/>
  <c r="F1063" i="15"/>
  <c r="G1063" i="15"/>
  <c r="H1063" i="15"/>
  <c r="B1064" i="15"/>
  <c r="C1064" i="15"/>
  <c r="D1064" i="15"/>
  <c r="E1064" i="15"/>
  <c r="F1064" i="15"/>
  <c r="G1064" i="15"/>
  <c r="H1064" i="15"/>
  <c r="B1065" i="15"/>
  <c r="C1065" i="15"/>
  <c r="D1065" i="15"/>
  <c r="E1065" i="15"/>
  <c r="F1065" i="15"/>
  <c r="G1065" i="15"/>
  <c r="H1065" i="15"/>
  <c r="B1066" i="15"/>
  <c r="C1066" i="15"/>
  <c r="D1066" i="15"/>
  <c r="E1066" i="15"/>
  <c r="F1066" i="15"/>
  <c r="G1066" i="15"/>
  <c r="H1066" i="15"/>
  <c r="B1067" i="15"/>
  <c r="C1067" i="15"/>
  <c r="D1067" i="15"/>
  <c r="E1067" i="15"/>
  <c r="F1067" i="15"/>
  <c r="G1067" i="15"/>
  <c r="H1067" i="15"/>
  <c r="B1068" i="15"/>
  <c r="C1068" i="15"/>
  <c r="D1068" i="15"/>
  <c r="E1068" i="15"/>
  <c r="F1068" i="15"/>
  <c r="G1068" i="15"/>
  <c r="H1068" i="15"/>
  <c r="B1069" i="15"/>
  <c r="C1069" i="15"/>
  <c r="D1069" i="15"/>
  <c r="E1069" i="15"/>
  <c r="F1069" i="15"/>
  <c r="G1069" i="15"/>
  <c r="H1069" i="15"/>
  <c r="B1070" i="15"/>
  <c r="C1070" i="15"/>
  <c r="D1070" i="15"/>
  <c r="E1070" i="15"/>
  <c r="F1070" i="15"/>
  <c r="G1070" i="15"/>
  <c r="H1070" i="15"/>
  <c r="B1071" i="15"/>
  <c r="C1071" i="15"/>
  <c r="D1071" i="15"/>
  <c r="E1071" i="15"/>
  <c r="F1071" i="15"/>
  <c r="G1071" i="15"/>
  <c r="H1071" i="15"/>
  <c r="B1072" i="15"/>
  <c r="C1072" i="15"/>
  <c r="D1072" i="15"/>
  <c r="E1072" i="15"/>
  <c r="F1072" i="15"/>
  <c r="G1072" i="15"/>
  <c r="H1072" i="15"/>
  <c r="B1073" i="15"/>
  <c r="C1073" i="15"/>
  <c r="D1073" i="15"/>
  <c r="E1073" i="15"/>
  <c r="F1073" i="15"/>
  <c r="G1073" i="15"/>
  <c r="H1073" i="15"/>
  <c r="B1074" i="15"/>
  <c r="C1074" i="15"/>
  <c r="D1074" i="15"/>
  <c r="E1074" i="15"/>
  <c r="F1074" i="15"/>
  <c r="G1074" i="15"/>
  <c r="H1074" i="15"/>
  <c r="B1075" i="15"/>
  <c r="C1075" i="15"/>
  <c r="D1075" i="15"/>
  <c r="E1075" i="15"/>
  <c r="F1075" i="15"/>
  <c r="G1075" i="15"/>
  <c r="H1075" i="15"/>
  <c r="B1076" i="15"/>
  <c r="C1076" i="15"/>
  <c r="D1076" i="15"/>
  <c r="E1076" i="15"/>
  <c r="F1076" i="15"/>
  <c r="G1076" i="15"/>
  <c r="H1076" i="15"/>
  <c r="B1077" i="15"/>
  <c r="C1077" i="15"/>
  <c r="D1077" i="15"/>
  <c r="E1077" i="15"/>
  <c r="F1077" i="15"/>
  <c r="G1077" i="15"/>
  <c r="H1077" i="15"/>
  <c r="B1078" i="15"/>
  <c r="C1078" i="15"/>
  <c r="D1078" i="15"/>
  <c r="E1078" i="15"/>
  <c r="F1078" i="15"/>
  <c r="G1078" i="15"/>
  <c r="H1078" i="15"/>
  <c r="B1079" i="15"/>
  <c r="C1079" i="15"/>
  <c r="D1079" i="15"/>
  <c r="E1079" i="15"/>
  <c r="F1079" i="15"/>
  <c r="G1079" i="15"/>
  <c r="H1079" i="15"/>
  <c r="B1080" i="15"/>
  <c r="C1080" i="15"/>
  <c r="D1080" i="15"/>
  <c r="E1080" i="15"/>
  <c r="F1080" i="15"/>
  <c r="G1080" i="15"/>
  <c r="H1080" i="15"/>
  <c r="B1081" i="15"/>
  <c r="C1081" i="15"/>
  <c r="D1081" i="15"/>
  <c r="E1081" i="15"/>
  <c r="F1081" i="15"/>
  <c r="G1081" i="15"/>
  <c r="H1081" i="15"/>
  <c r="B1082" i="15"/>
  <c r="C1082" i="15"/>
  <c r="D1082" i="15"/>
  <c r="E1082" i="15"/>
  <c r="F1082" i="15"/>
  <c r="G1082" i="15"/>
  <c r="H1082" i="15"/>
  <c r="B1083" i="15"/>
  <c r="C1083" i="15"/>
  <c r="D1083" i="15"/>
  <c r="E1083" i="15"/>
  <c r="F1083" i="15"/>
  <c r="G1083" i="15"/>
  <c r="H1083" i="15"/>
  <c r="B1084" i="15"/>
  <c r="C1084" i="15"/>
  <c r="D1084" i="15"/>
  <c r="E1084" i="15"/>
  <c r="F1084" i="15"/>
  <c r="G1084" i="15"/>
  <c r="H1084" i="15"/>
  <c r="B1085" i="15"/>
  <c r="C1085" i="15"/>
  <c r="D1085" i="15"/>
  <c r="E1085" i="15"/>
  <c r="F1085" i="15"/>
  <c r="G1085" i="15"/>
  <c r="H1085" i="15"/>
  <c r="B1086" i="15"/>
  <c r="C1086" i="15"/>
  <c r="D1086" i="15"/>
  <c r="E1086" i="15"/>
  <c r="F1086" i="15"/>
  <c r="G1086" i="15"/>
  <c r="H1086" i="15"/>
  <c r="B1087" i="15"/>
  <c r="C1087" i="15"/>
  <c r="D1087" i="15"/>
  <c r="E1087" i="15"/>
  <c r="F1087" i="15"/>
  <c r="G1087" i="15"/>
  <c r="H1087" i="15"/>
  <c r="B1088" i="15"/>
  <c r="C1088" i="15"/>
  <c r="D1088" i="15"/>
  <c r="E1088" i="15"/>
  <c r="F1088" i="15"/>
  <c r="G1088" i="15"/>
  <c r="H1088" i="15"/>
  <c r="B1089" i="15"/>
  <c r="C1089" i="15"/>
  <c r="D1089" i="15"/>
  <c r="E1089" i="15"/>
  <c r="F1089" i="15"/>
  <c r="G1089" i="15"/>
  <c r="H1089" i="15"/>
  <c r="B1090" i="15"/>
  <c r="C1090" i="15"/>
  <c r="D1090" i="15"/>
  <c r="E1090" i="15"/>
  <c r="F1090" i="15"/>
  <c r="G1090" i="15"/>
  <c r="H1090" i="15"/>
  <c r="B1091" i="15"/>
  <c r="C1091" i="15"/>
  <c r="D1091" i="15"/>
  <c r="E1091" i="15"/>
  <c r="F1091" i="15"/>
  <c r="G1091" i="15"/>
  <c r="H1091" i="15"/>
  <c r="B1092" i="15"/>
  <c r="C1092" i="15"/>
  <c r="D1092" i="15"/>
  <c r="E1092" i="15"/>
  <c r="F1092" i="15"/>
  <c r="G1092" i="15"/>
  <c r="H1092" i="15"/>
  <c r="B1093" i="15"/>
  <c r="C1093" i="15"/>
  <c r="D1093" i="15"/>
  <c r="E1093" i="15"/>
  <c r="F1093" i="15"/>
  <c r="G1093" i="15"/>
  <c r="H1093" i="15"/>
  <c r="B1094" i="15"/>
  <c r="C1094" i="15"/>
  <c r="D1094" i="15"/>
  <c r="E1094" i="15"/>
  <c r="F1094" i="15"/>
  <c r="G1094" i="15"/>
  <c r="H1094" i="15"/>
  <c r="B1095" i="15"/>
  <c r="C1095" i="15"/>
  <c r="D1095" i="15"/>
  <c r="E1095" i="15"/>
  <c r="F1095" i="15"/>
  <c r="G1095" i="15"/>
  <c r="H1095" i="15"/>
  <c r="B1096" i="15"/>
  <c r="C1096" i="15"/>
  <c r="D1096" i="15"/>
  <c r="E1096" i="15"/>
  <c r="F1096" i="15"/>
  <c r="G1096" i="15"/>
  <c r="H1096" i="15"/>
  <c r="B1097" i="15"/>
  <c r="C1097" i="15"/>
  <c r="D1097" i="15"/>
  <c r="E1097" i="15"/>
  <c r="F1097" i="15"/>
  <c r="G1097" i="15"/>
  <c r="H1097" i="15"/>
  <c r="B1098" i="15"/>
  <c r="C1098" i="15"/>
  <c r="D1098" i="15"/>
  <c r="E1098" i="15"/>
  <c r="F1098" i="15"/>
  <c r="G1098" i="15"/>
  <c r="H1098" i="15"/>
  <c r="B1099" i="15"/>
  <c r="C1099" i="15"/>
  <c r="D1099" i="15"/>
  <c r="E1099" i="15"/>
  <c r="F1099" i="15"/>
  <c r="G1099" i="15"/>
  <c r="H1099" i="15"/>
  <c r="B1100" i="15"/>
  <c r="C1100" i="15"/>
  <c r="D1100" i="15"/>
  <c r="E1100" i="15"/>
  <c r="F1100" i="15"/>
  <c r="G1100" i="15"/>
  <c r="H1100" i="15"/>
  <c r="B1101" i="15"/>
  <c r="C1101" i="15"/>
  <c r="D1101" i="15"/>
  <c r="E1101" i="15"/>
  <c r="F1101" i="15"/>
  <c r="G1101" i="15"/>
  <c r="H1101" i="15"/>
  <c r="B1102" i="15"/>
  <c r="C1102" i="15"/>
  <c r="D1102" i="15"/>
  <c r="E1102" i="15"/>
  <c r="F1102" i="15"/>
  <c r="G1102" i="15"/>
  <c r="H1102" i="15"/>
  <c r="B1103" i="15"/>
  <c r="C1103" i="15"/>
  <c r="D1103" i="15"/>
  <c r="E1103" i="15"/>
  <c r="F1103" i="15"/>
  <c r="G1103" i="15"/>
  <c r="H1103" i="15"/>
  <c r="B1104" i="15"/>
  <c r="C1104" i="15"/>
  <c r="D1104" i="15"/>
  <c r="E1104" i="15"/>
  <c r="F1104" i="15"/>
  <c r="G1104" i="15"/>
  <c r="H1104" i="15"/>
  <c r="B1105" i="15"/>
  <c r="C1105" i="15"/>
  <c r="D1105" i="15"/>
  <c r="E1105" i="15"/>
  <c r="F1105" i="15"/>
  <c r="G1105" i="15"/>
  <c r="H1105" i="15"/>
  <c r="B1106" i="15"/>
  <c r="C1106" i="15"/>
  <c r="D1106" i="15"/>
  <c r="E1106" i="15"/>
  <c r="F1106" i="15"/>
  <c r="G1106" i="15"/>
  <c r="H1106" i="15"/>
  <c r="B1107" i="15"/>
  <c r="C1107" i="15"/>
  <c r="D1107" i="15"/>
  <c r="E1107" i="15"/>
  <c r="F1107" i="15"/>
  <c r="G1107" i="15"/>
  <c r="H1107" i="15"/>
  <c r="B1108" i="15"/>
  <c r="C1108" i="15"/>
  <c r="D1108" i="15"/>
  <c r="E1108" i="15"/>
  <c r="F1108" i="15"/>
  <c r="G1108" i="15"/>
  <c r="H1108" i="15"/>
  <c r="B1109" i="15"/>
  <c r="C1109" i="15"/>
  <c r="D1109" i="15"/>
  <c r="E1109" i="15"/>
  <c r="F1109" i="15"/>
  <c r="G1109" i="15"/>
  <c r="H1109" i="15"/>
  <c r="B1110" i="15"/>
  <c r="C1110" i="15"/>
  <c r="D1110" i="15"/>
  <c r="E1110" i="15"/>
  <c r="F1110" i="15"/>
  <c r="G1110" i="15"/>
  <c r="H1110" i="15"/>
  <c r="B1111" i="15"/>
  <c r="C1111" i="15"/>
  <c r="D1111" i="15"/>
  <c r="E1111" i="15"/>
  <c r="F1111" i="15"/>
  <c r="G1111" i="15"/>
  <c r="H1111" i="15"/>
  <c r="B1112" i="15"/>
  <c r="C1112" i="15"/>
  <c r="D1112" i="15"/>
  <c r="E1112" i="15"/>
  <c r="F1112" i="15"/>
  <c r="G1112" i="15"/>
  <c r="H1112" i="15"/>
  <c r="B1113" i="15"/>
  <c r="C1113" i="15"/>
  <c r="D1113" i="15"/>
  <c r="E1113" i="15"/>
  <c r="F1113" i="15"/>
  <c r="G1113" i="15"/>
  <c r="H1113" i="15"/>
  <c r="B1114" i="15"/>
  <c r="C1114" i="15"/>
  <c r="D1114" i="15"/>
  <c r="E1114" i="15"/>
  <c r="F1114" i="15"/>
  <c r="G1114" i="15"/>
  <c r="H1114" i="15"/>
  <c r="B1115" i="15"/>
  <c r="C1115" i="15"/>
  <c r="D1115" i="15"/>
  <c r="E1115" i="15"/>
  <c r="F1115" i="15"/>
  <c r="G1115" i="15"/>
  <c r="H1115" i="15"/>
  <c r="B1116" i="15"/>
  <c r="C1116" i="15"/>
  <c r="D1116" i="15"/>
  <c r="E1116" i="15"/>
  <c r="F1116" i="15"/>
  <c r="G1116" i="15"/>
  <c r="H1116" i="15"/>
  <c r="B1117" i="15"/>
  <c r="C1117" i="15"/>
  <c r="D1117" i="15"/>
  <c r="E1117" i="15"/>
  <c r="F1117" i="15"/>
  <c r="G1117" i="15"/>
  <c r="H1117" i="15"/>
  <c r="B1118" i="15"/>
  <c r="C1118" i="15"/>
  <c r="D1118" i="15"/>
  <c r="E1118" i="15"/>
  <c r="F1118" i="15"/>
  <c r="G1118" i="15"/>
  <c r="H1118" i="15"/>
  <c r="B1119" i="15"/>
  <c r="C1119" i="15"/>
  <c r="D1119" i="15"/>
  <c r="E1119" i="15"/>
  <c r="F1119" i="15"/>
  <c r="G1119" i="15"/>
  <c r="H1119" i="15"/>
  <c r="B1120" i="15"/>
  <c r="C1120" i="15"/>
  <c r="D1120" i="15"/>
  <c r="E1120" i="15"/>
  <c r="F1120" i="15"/>
  <c r="G1120" i="15"/>
  <c r="H1120" i="15"/>
  <c r="B1121" i="15"/>
  <c r="C1121" i="15"/>
  <c r="D1121" i="15"/>
  <c r="E1121" i="15"/>
  <c r="F1121" i="15"/>
  <c r="G1121" i="15"/>
  <c r="H1121" i="15"/>
  <c r="B1122" i="15"/>
  <c r="C1122" i="15"/>
  <c r="D1122" i="15"/>
  <c r="E1122" i="15"/>
  <c r="F1122" i="15"/>
  <c r="G1122" i="15"/>
  <c r="H1122" i="15"/>
  <c r="B1123" i="15"/>
  <c r="C1123" i="15"/>
  <c r="D1123" i="15"/>
  <c r="E1123" i="15"/>
  <c r="F1123" i="15"/>
  <c r="G1123" i="15"/>
  <c r="H1123" i="15"/>
  <c r="B1124" i="15"/>
  <c r="C1124" i="15"/>
  <c r="D1124" i="15"/>
  <c r="E1124" i="15"/>
  <c r="F1124" i="15"/>
  <c r="G1124" i="15"/>
  <c r="H1124" i="15"/>
  <c r="B1125" i="15"/>
  <c r="C1125" i="15"/>
  <c r="D1125" i="15"/>
  <c r="E1125" i="15"/>
  <c r="F1125" i="15"/>
  <c r="G1125" i="15"/>
  <c r="H1125" i="15"/>
  <c r="B1126" i="15"/>
  <c r="C1126" i="15"/>
  <c r="D1126" i="15"/>
  <c r="E1126" i="15"/>
  <c r="F1126" i="15"/>
  <c r="G1126" i="15"/>
  <c r="H1126" i="15"/>
  <c r="B1127" i="15"/>
  <c r="C1127" i="15"/>
  <c r="D1127" i="15"/>
  <c r="E1127" i="15"/>
  <c r="F1127" i="15"/>
  <c r="G1127" i="15"/>
  <c r="H1127" i="15"/>
  <c r="B1128" i="15"/>
  <c r="C1128" i="15"/>
  <c r="D1128" i="15"/>
  <c r="E1128" i="15"/>
  <c r="F1128" i="15"/>
  <c r="G1128" i="15"/>
  <c r="H1128" i="15"/>
  <c r="B1129" i="15"/>
  <c r="C1129" i="15"/>
  <c r="D1129" i="15"/>
  <c r="E1129" i="15"/>
  <c r="F1129" i="15"/>
  <c r="G1129" i="15"/>
  <c r="H1129" i="15"/>
  <c r="B1130" i="15"/>
  <c r="C1130" i="15"/>
  <c r="D1130" i="15"/>
  <c r="E1130" i="15"/>
  <c r="F1130" i="15"/>
  <c r="G1130" i="15"/>
  <c r="H1130" i="15"/>
  <c r="B1131" i="15"/>
  <c r="C1131" i="15"/>
  <c r="D1131" i="15"/>
  <c r="E1131" i="15"/>
  <c r="F1131" i="15"/>
  <c r="G1131" i="15"/>
  <c r="H1131" i="15"/>
  <c r="B1132" i="15"/>
  <c r="C1132" i="15"/>
  <c r="D1132" i="15"/>
  <c r="E1132" i="15"/>
  <c r="F1132" i="15"/>
  <c r="G1132" i="15"/>
  <c r="H1132" i="15"/>
  <c r="B1133" i="15"/>
  <c r="C1133" i="15"/>
  <c r="D1133" i="15"/>
  <c r="E1133" i="15"/>
  <c r="F1133" i="15"/>
  <c r="G1133" i="15"/>
  <c r="H1133" i="15"/>
  <c r="B1134" i="15"/>
  <c r="C1134" i="15"/>
  <c r="D1134" i="15"/>
  <c r="E1134" i="15"/>
  <c r="F1134" i="15"/>
  <c r="G1134" i="15"/>
  <c r="H1134" i="15"/>
  <c r="B1135" i="15"/>
  <c r="C1135" i="15"/>
  <c r="D1135" i="15"/>
  <c r="E1135" i="15"/>
  <c r="F1135" i="15"/>
  <c r="G1135" i="15"/>
  <c r="H1135" i="15"/>
  <c r="B1136" i="15"/>
  <c r="C1136" i="15"/>
  <c r="D1136" i="15"/>
  <c r="E1136" i="15"/>
  <c r="F1136" i="15"/>
  <c r="G1136" i="15"/>
  <c r="H1136" i="15"/>
  <c r="B1137" i="15"/>
  <c r="C1137" i="15"/>
  <c r="D1137" i="15"/>
  <c r="E1137" i="15"/>
  <c r="F1137" i="15"/>
  <c r="G1137" i="15"/>
  <c r="H1137" i="15"/>
  <c r="B1138" i="15"/>
  <c r="C1138" i="15"/>
  <c r="D1138" i="15"/>
  <c r="E1138" i="15"/>
  <c r="F1138" i="15"/>
  <c r="G1138" i="15"/>
  <c r="H1138" i="15"/>
  <c r="B1139" i="15"/>
  <c r="C1139" i="15"/>
  <c r="D1139" i="15"/>
  <c r="E1139" i="15"/>
  <c r="F1139" i="15"/>
  <c r="G1139" i="15"/>
  <c r="H1139" i="15"/>
  <c r="B1140" i="15"/>
  <c r="C1140" i="15"/>
  <c r="D1140" i="15"/>
  <c r="E1140" i="15"/>
  <c r="F1140" i="15"/>
  <c r="G1140" i="15"/>
  <c r="H1140" i="15"/>
  <c r="B1141" i="15"/>
  <c r="C1141" i="15"/>
  <c r="D1141" i="15"/>
  <c r="E1141" i="15"/>
  <c r="F1141" i="15"/>
  <c r="G1141" i="15"/>
  <c r="H1141" i="15"/>
  <c r="B1142" i="15"/>
  <c r="C1142" i="15"/>
  <c r="D1142" i="15"/>
  <c r="E1142" i="15"/>
  <c r="F1142" i="15"/>
  <c r="G1142" i="15"/>
  <c r="H1142" i="15"/>
  <c r="B1143" i="15"/>
  <c r="C1143" i="15"/>
  <c r="D1143" i="15"/>
  <c r="E1143" i="15"/>
  <c r="F1143" i="15"/>
  <c r="G1143" i="15"/>
  <c r="H1143" i="15"/>
  <c r="B1144" i="15"/>
  <c r="C1144" i="15"/>
  <c r="D1144" i="15"/>
  <c r="E1144" i="15"/>
  <c r="F1144" i="15"/>
  <c r="G1144" i="15"/>
  <c r="H1144" i="15"/>
  <c r="B1145" i="15"/>
  <c r="C1145" i="15"/>
  <c r="D1145" i="15"/>
  <c r="E1145" i="15"/>
  <c r="F1145" i="15"/>
  <c r="G1145" i="15"/>
  <c r="H1145" i="15"/>
  <c r="B1146" i="15"/>
  <c r="C1146" i="15"/>
  <c r="D1146" i="15"/>
  <c r="E1146" i="15"/>
  <c r="F1146" i="15"/>
  <c r="G1146" i="15"/>
  <c r="H1146" i="15"/>
  <c r="B1147" i="15"/>
  <c r="C1147" i="15"/>
  <c r="D1147" i="15"/>
  <c r="E1147" i="15"/>
  <c r="F1147" i="15"/>
  <c r="G1147" i="15"/>
  <c r="H1147" i="15"/>
  <c r="B1148" i="15"/>
  <c r="C1148" i="15"/>
  <c r="D1148" i="15"/>
  <c r="E1148" i="15"/>
  <c r="F1148" i="15"/>
  <c r="G1148" i="15"/>
  <c r="H1148" i="15"/>
  <c r="B1149" i="15"/>
  <c r="C1149" i="15"/>
  <c r="D1149" i="15"/>
  <c r="E1149" i="15"/>
  <c r="F1149" i="15"/>
  <c r="G1149" i="15"/>
  <c r="H1149" i="15"/>
  <c r="B1150" i="15"/>
  <c r="C1150" i="15"/>
  <c r="D1150" i="15"/>
  <c r="E1150" i="15"/>
  <c r="F1150" i="15"/>
  <c r="G1150" i="15"/>
  <c r="H1150" i="15"/>
  <c r="B1151" i="15"/>
  <c r="C1151" i="15"/>
  <c r="D1151" i="15"/>
  <c r="E1151" i="15"/>
  <c r="F1151" i="15"/>
  <c r="G1151" i="15"/>
  <c r="H1151" i="15"/>
  <c r="B1152" i="15"/>
  <c r="C1152" i="15"/>
  <c r="D1152" i="15"/>
  <c r="E1152" i="15"/>
  <c r="F1152" i="15"/>
  <c r="G1152" i="15"/>
  <c r="H1152" i="15"/>
  <c r="B1153" i="15"/>
  <c r="C1153" i="15"/>
  <c r="D1153" i="15"/>
  <c r="E1153" i="15"/>
  <c r="F1153" i="15"/>
  <c r="G1153" i="15"/>
  <c r="H1153" i="15"/>
  <c r="B1154" i="15"/>
  <c r="C1154" i="15"/>
  <c r="D1154" i="15"/>
  <c r="E1154" i="15"/>
  <c r="F1154" i="15"/>
  <c r="G1154" i="15"/>
  <c r="H1154" i="15"/>
  <c r="B1155" i="15"/>
  <c r="C1155" i="15"/>
  <c r="D1155" i="15"/>
  <c r="E1155" i="15"/>
  <c r="F1155" i="15"/>
  <c r="G1155" i="15"/>
  <c r="H1155" i="15"/>
  <c r="B1156" i="15"/>
  <c r="C1156" i="15"/>
  <c r="D1156" i="15"/>
  <c r="E1156" i="15"/>
  <c r="F1156" i="15"/>
  <c r="G1156" i="15"/>
  <c r="H1156" i="15"/>
  <c r="B1157" i="15"/>
  <c r="C1157" i="15"/>
  <c r="D1157" i="15"/>
  <c r="E1157" i="15"/>
  <c r="F1157" i="15"/>
  <c r="G1157" i="15"/>
  <c r="H1157" i="15"/>
  <c r="B1158" i="15"/>
  <c r="C1158" i="15"/>
  <c r="D1158" i="15"/>
  <c r="E1158" i="15"/>
  <c r="F1158" i="15"/>
  <c r="G1158" i="15"/>
  <c r="H1158" i="15"/>
  <c r="B1159" i="15"/>
  <c r="C1159" i="15"/>
  <c r="D1159" i="15"/>
  <c r="E1159" i="15"/>
  <c r="F1159" i="15"/>
  <c r="G1159" i="15"/>
  <c r="H1159" i="15"/>
  <c r="B1160" i="15"/>
  <c r="C1160" i="15"/>
  <c r="D1160" i="15"/>
  <c r="E1160" i="15"/>
  <c r="F1160" i="15"/>
  <c r="G1160" i="15"/>
  <c r="H1160" i="15"/>
  <c r="B1161" i="15"/>
  <c r="C1161" i="15"/>
  <c r="D1161" i="15"/>
  <c r="E1161" i="15"/>
  <c r="F1161" i="15"/>
  <c r="G1161" i="15"/>
  <c r="H1161" i="15"/>
  <c r="B1162" i="15"/>
  <c r="C1162" i="15"/>
  <c r="D1162" i="15"/>
  <c r="E1162" i="15"/>
  <c r="F1162" i="15"/>
  <c r="G1162" i="15"/>
  <c r="H1162" i="15"/>
  <c r="B1163" i="15"/>
  <c r="C1163" i="15"/>
  <c r="D1163" i="15"/>
  <c r="E1163" i="15"/>
  <c r="F1163" i="15"/>
  <c r="G1163" i="15"/>
  <c r="H1163" i="15"/>
  <c r="B1164" i="15"/>
  <c r="C1164" i="15"/>
  <c r="D1164" i="15"/>
  <c r="E1164" i="15"/>
  <c r="F1164" i="15"/>
  <c r="G1164" i="15"/>
  <c r="H1164" i="15"/>
  <c r="B1165" i="15"/>
  <c r="C1165" i="15"/>
  <c r="D1165" i="15"/>
  <c r="E1165" i="15"/>
  <c r="F1165" i="15"/>
  <c r="G1165" i="15"/>
  <c r="H1165" i="15"/>
  <c r="B1166" i="15"/>
  <c r="C1166" i="15"/>
  <c r="D1166" i="15"/>
  <c r="E1166" i="15"/>
  <c r="F1166" i="15"/>
  <c r="G1166" i="15"/>
  <c r="H1166" i="15"/>
  <c r="B1167" i="15"/>
  <c r="C1167" i="15"/>
  <c r="D1167" i="15"/>
  <c r="E1167" i="15"/>
  <c r="F1167" i="15"/>
  <c r="G1167" i="15"/>
  <c r="H1167" i="15"/>
  <c r="B1168" i="15"/>
  <c r="C1168" i="15"/>
  <c r="D1168" i="15"/>
  <c r="E1168" i="15"/>
  <c r="F1168" i="15"/>
  <c r="G1168" i="15"/>
  <c r="H1168" i="15"/>
  <c r="B1169" i="15"/>
  <c r="C1169" i="15"/>
  <c r="D1169" i="15"/>
  <c r="E1169" i="15"/>
  <c r="F1169" i="15"/>
  <c r="G1169" i="15"/>
  <c r="H1169" i="15"/>
  <c r="B1170" i="15"/>
  <c r="C1170" i="15"/>
  <c r="D1170" i="15"/>
  <c r="E1170" i="15"/>
  <c r="F1170" i="15"/>
  <c r="G1170" i="15"/>
  <c r="H1170" i="15"/>
  <c r="B1171" i="15"/>
  <c r="C1171" i="15"/>
  <c r="D1171" i="15"/>
  <c r="E1171" i="15"/>
  <c r="F1171" i="15"/>
  <c r="G1171" i="15"/>
  <c r="H1171" i="15"/>
  <c r="B1172" i="15"/>
  <c r="C1172" i="15"/>
  <c r="D1172" i="15"/>
  <c r="E1172" i="15"/>
  <c r="F1172" i="15"/>
  <c r="G1172" i="15"/>
  <c r="H1172" i="15"/>
  <c r="B1173" i="15"/>
  <c r="C1173" i="15"/>
  <c r="D1173" i="15"/>
  <c r="E1173" i="15"/>
  <c r="F1173" i="15"/>
  <c r="G1173" i="15"/>
  <c r="H1173" i="15"/>
  <c r="B1174" i="15"/>
  <c r="C1174" i="15"/>
  <c r="D1174" i="15"/>
  <c r="E1174" i="15"/>
  <c r="F1174" i="15"/>
  <c r="G1174" i="15"/>
  <c r="H1174" i="15"/>
  <c r="B1175" i="15"/>
  <c r="C1175" i="15"/>
  <c r="D1175" i="15"/>
  <c r="E1175" i="15"/>
  <c r="F1175" i="15"/>
  <c r="G1175" i="15"/>
  <c r="H1175" i="15"/>
  <c r="B1176" i="15"/>
  <c r="C1176" i="15"/>
  <c r="D1176" i="15"/>
  <c r="E1176" i="15"/>
  <c r="F1176" i="15"/>
  <c r="G1176" i="15"/>
  <c r="H1176" i="15"/>
  <c r="B1177" i="15"/>
  <c r="C1177" i="15"/>
  <c r="D1177" i="15"/>
  <c r="E1177" i="15"/>
  <c r="F1177" i="15"/>
  <c r="G1177" i="15"/>
  <c r="H1177" i="15"/>
  <c r="B1178" i="15"/>
  <c r="C1178" i="15"/>
  <c r="D1178" i="15"/>
  <c r="E1178" i="15"/>
  <c r="F1178" i="15"/>
  <c r="G1178" i="15"/>
  <c r="H1178" i="15"/>
  <c r="B1179" i="15"/>
  <c r="C1179" i="15"/>
  <c r="D1179" i="15"/>
  <c r="E1179" i="15"/>
  <c r="F1179" i="15"/>
  <c r="G1179" i="15"/>
  <c r="H1179" i="15"/>
  <c r="B1180" i="15"/>
  <c r="C1180" i="15"/>
  <c r="D1180" i="15"/>
  <c r="E1180" i="15"/>
  <c r="F1180" i="15"/>
  <c r="G1180" i="15"/>
  <c r="H1180" i="15"/>
  <c r="B1181" i="15"/>
  <c r="C1181" i="15"/>
  <c r="D1181" i="15"/>
  <c r="E1181" i="15"/>
  <c r="F1181" i="15"/>
  <c r="G1181" i="15"/>
  <c r="H1181" i="15"/>
  <c r="B1182" i="15"/>
  <c r="C1182" i="15"/>
  <c r="D1182" i="15"/>
  <c r="E1182" i="15"/>
  <c r="F1182" i="15"/>
  <c r="G1182" i="15"/>
  <c r="H1182" i="15"/>
  <c r="B1183" i="15"/>
  <c r="C1183" i="15"/>
  <c r="D1183" i="15"/>
  <c r="E1183" i="15"/>
  <c r="F1183" i="15"/>
  <c r="G1183" i="15"/>
  <c r="H1183" i="15"/>
  <c r="B1184" i="15"/>
  <c r="C1184" i="15"/>
  <c r="D1184" i="15"/>
  <c r="E1184" i="15"/>
  <c r="F1184" i="15"/>
  <c r="G1184" i="15"/>
  <c r="H1184" i="15"/>
  <c r="B1185" i="15"/>
  <c r="C1185" i="15"/>
  <c r="D1185" i="15"/>
  <c r="E1185" i="15"/>
  <c r="F1185" i="15"/>
  <c r="G1185" i="15"/>
  <c r="H1185" i="15"/>
  <c r="B1186" i="15"/>
  <c r="C1186" i="15"/>
  <c r="D1186" i="15"/>
  <c r="E1186" i="15"/>
  <c r="F1186" i="15"/>
  <c r="G1186" i="15"/>
  <c r="H1186" i="15"/>
  <c r="B1187" i="15"/>
  <c r="C1187" i="15"/>
  <c r="D1187" i="15"/>
  <c r="E1187" i="15"/>
  <c r="F1187" i="15"/>
  <c r="G1187" i="15"/>
  <c r="H1187" i="15"/>
  <c r="B1188" i="15"/>
  <c r="C1188" i="15"/>
  <c r="D1188" i="15"/>
  <c r="E1188" i="15"/>
  <c r="F1188" i="15"/>
  <c r="G1188" i="15"/>
  <c r="H1188" i="15"/>
  <c r="B1189" i="15"/>
  <c r="C1189" i="15"/>
  <c r="D1189" i="15"/>
  <c r="E1189" i="15"/>
  <c r="F1189" i="15"/>
  <c r="G1189" i="15"/>
  <c r="H1189" i="15"/>
  <c r="B1190" i="15"/>
  <c r="C1190" i="15"/>
  <c r="D1190" i="15"/>
  <c r="E1190" i="15"/>
  <c r="F1190" i="15"/>
  <c r="G1190" i="15"/>
  <c r="H1190" i="15"/>
  <c r="B1191" i="15"/>
  <c r="C1191" i="15"/>
  <c r="D1191" i="15"/>
  <c r="E1191" i="15"/>
  <c r="F1191" i="15"/>
  <c r="G1191" i="15"/>
  <c r="H1191" i="15"/>
  <c r="B1192" i="15"/>
  <c r="C1192" i="15"/>
  <c r="D1192" i="15"/>
  <c r="E1192" i="15"/>
  <c r="F1192" i="15"/>
  <c r="G1192" i="15"/>
  <c r="H1192" i="15"/>
  <c r="B1193" i="15"/>
  <c r="C1193" i="15"/>
  <c r="D1193" i="15"/>
  <c r="E1193" i="15"/>
  <c r="F1193" i="15"/>
  <c r="G1193" i="15"/>
  <c r="H1193" i="15"/>
  <c r="B1194" i="15"/>
  <c r="C1194" i="15"/>
  <c r="D1194" i="15"/>
  <c r="E1194" i="15"/>
  <c r="F1194" i="15"/>
  <c r="G1194" i="15"/>
  <c r="H1194" i="15"/>
  <c r="B1195" i="15"/>
  <c r="C1195" i="15"/>
  <c r="D1195" i="15"/>
  <c r="E1195" i="15"/>
  <c r="F1195" i="15"/>
  <c r="G1195" i="15"/>
  <c r="H1195" i="15"/>
  <c r="B1196" i="15"/>
  <c r="C1196" i="15"/>
  <c r="D1196" i="15"/>
  <c r="E1196" i="15"/>
  <c r="F1196" i="15"/>
  <c r="G1196" i="15"/>
  <c r="H1196" i="15"/>
  <c r="B1197" i="15"/>
  <c r="C1197" i="15"/>
  <c r="D1197" i="15"/>
  <c r="E1197" i="15"/>
  <c r="F1197" i="15"/>
  <c r="G1197" i="15"/>
  <c r="H1197" i="15"/>
  <c r="B1198" i="15"/>
  <c r="C1198" i="15"/>
  <c r="D1198" i="15"/>
  <c r="E1198" i="15"/>
  <c r="F1198" i="15"/>
  <c r="G1198" i="15"/>
  <c r="H1198" i="15"/>
  <c r="B1199" i="15"/>
  <c r="C1199" i="15"/>
  <c r="D1199" i="15"/>
  <c r="E1199" i="15"/>
  <c r="F1199" i="15"/>
  <c r="G1199" i="15"/>
  <c r="H1199" i="15"/>
  <c r="B1200" i="15"/>
  <c r="C1200" i="15"/>
  <c r="D1200" i="15"/>
  <c r="E1200" i="15"/>
  <c r="F1200" i="15"/>
  <c r="G1200" i="15"/>
  <c r="H1200" i="15"/>
  <c r="B1201" i="15"/>
  <c r="C1201" i="15"/>
  <c r="D1201" i="15"/>
  <c r="E1201" i="15"/>
  <c r="F1201" i="15"/>
  <c r="G1201" i="15"/>
  <c r="H1201" i="15"/>
  <c r="B1202" i="15"/>
  <c r="C1202" i="15"/>
  <c r="D1202" i="15"/>
  <c r="E1202" i="15"/>
  <c r="F1202" i="15"/>
  <c r="G1202" i="15"/>
  <c r="H1202" i="15"/>
  <c r="B1203" i="15"/>
  <c r="C1203" i="15"/>
  <c r="D1203" i="15"/>
  <c r="E1203" i="15"/>
  <c r="F1203" i="15"/>
  <c r="G1203" i="15"/>
  <c r="H1203" i="15"/>
  <c r="B1204" i="15"/>
  <c r="C1204" i="15"/>
  <c r="D1204" i="15"/>
  <c r="E1204" i="15"/>
  <c r="F1204" i="15"/>
  <c r="G1204" i="15"/>
  <c r="H1204" i="15"/>
  <c r="B1205" i="15"/>
  <c r="C1205" i="15"/>
  <c r="D1205" i="15"/>
  <c r="E1205" i="15"/>
  <c r="F1205" i="15"/>
  <c r="G1205" i="15"/>
  <c r="H1205" i="15"/>
  <c r="B1206" i="15"/>
  <c r="C1206" i="15"/>
  <c r="D1206" i="15"/>
  <c r="E1206" i="15"/>
  <c r="F1206" i="15"/>
  <c r="G1206" i="15"/>
  <c r="H1206" i="15"/>
  <c r="B1207" i="15"/>
  <c r="C1207" i="15"/>
  <c r="D1207" i="15"/>
  <c r="E1207" i="15"/>
  <c r="F1207" i="15"/>
  <c r="G1207" i="15"/>
  <c r="H1207" i="15"/>
  <c r="B1208" i="15"/>
  <c r="C1208" i="15"/>
  <c r="D1208" i="15"/>
  <c r="E1208" i="15"/>
  <c r="F1208" i="15"/>
  <c r="G1208" i="15"/>
  <c r="H1208" i="15"/>
  <c r="B1209" i="15"/>
  <c r="C1209" i="15"/>
  <c r="D1209" i="15"/>
  <c r="E1209" i="15"/>
  <c r="F1209" i="15"/>
  <c r="G1209" i="15"/>
  <c r="H1209" i="15"/>
  <c r="B1210" i="15"/>
  <c r="C1210" i="15"/>
  <c r="D1210" i="15"/>
  <c r="E1210" i="15"/>
  <c r="F1210" i="15"/>
  <c r="G1210" i="15"/>
  <c r="H1210" i="15"/>
  <c r="B1211" i="15"/>
  <c r="C1211" i="15"/>
  <c r="D1211" i="15"/>
  <c r="E1211" i="15"/>
  <c r="F1211" i="15"/>
  <c r="G1211" i="15"/>
  <c r="H1211" i="15"/>
  <c r="B1212" i="15"/>
  <c r="C1212" i="15"/>
  <c r="D1212" i="15"/>
  <c r="E1212" i="15"/>
  <c r="F1212" i="15"/>
  <c r="G1212" i="15"/>
  <c r="H1212" i="15"/>
  <c r="B1213" i="15"/>
  <c r="C1213" i="15"/>
  <c r="D1213" i="15"/>
  <c r="E1213" i="15"/>
  <c r="F1213" i="15"/>
  <c r="G1213" i="15"/>
  <c r="H1213" i="15"/>
  <c r="B1214" i="15"/>
  <c r="C1214" i="15"/>
  <c r="D1214" i="15"/>
  <c r="E1214" i="15"/>
  <c r="F1214" i="15"/>
  <c r="G1214" i="15"/>
  <c r="H1214" i="15"/>
  <c r="B1215" i="15"/>
  <c r="C1215" i="15"/>
  <c r="D1215" i="15"/>
  <c r="E1215" i="15"/>
  <c r="F1215" i="15"/>
  <c r="G1215" i="15"/>
  <c r="H1215" i="15"/>
  <c r="B1216" i="15"/>
  <c r="C1216" i="15"/>
  <c r="D1216" i="15"/>
  <c r="E1216" i="15"/>
  <c r="F1216" i="15"/>
  <c r="G1216" i="15"/>
  <c r="H1216" i="15"/>
  <c r="B1217" i="15"/>
  <c r="C1217" i="15"/>
  <c r="D1217" i="15"/>
  <c r="E1217" i="15"/>
  <c r="F1217" i="15"/>
  <c r="G1217" i="15"/>
  <c r="H1217" i="15"/>
  <c r="B1218" i="15"/>
  <c r="C1218" i="15"/>
  <c r="D1218" i="15"/>
  <c r="E1218" i="15"/>
  <c r="F1218" i="15"/>
  <c r="G1218" i="15"/>
  <c r="H1218" i="15"/>
  <c r="B1219" i="15"/>
  <c r="C1219" i="15"/>
  <c r="D1219" i="15"/>
  <c r="E1219" i="15"/>
  <c r="F1219" i="15"/>
  <c r="G1219" i="15"/>
  <c r="H1219" i="15"/>
  <c r="B1220" i="15"/>
  <c r="C1220" i="15"/>
  <c r="D1220" i="15"/>
  <c r="E1220" i="15"/>
  <c r="F1220" i="15"/>
  <c r="G1220" i="15"/>
  <c r="H1220" i="15"/>
  <c r="B1221" i="15"/>
  <c r="C1221" i="15"/>
  <c r="D1221" i="15"/>
  <c r="E1221" i="15"/>
  <c r="F1221" i="15"/>
  <c r="G1221" i="15"/>
  <c r="H1221" i="15"/>
  <c r="B1222" i="15"/>
  <c r="C1222" i="15"/>
  <c r="D1222" i="15"/>
  <c r="E1222" i="15"/>
  <c r="F1222" i="15"/>
  <c r="G1222" i="15"/>
  <c r="H1222" i="15"/>
  <c r="B1223" i="15"/>
  <c r="C1223" i="15"/>
  <c r="D1223" i="15"/>
  <c r="E1223" i="15"/>
  <c r="F1223" i="15"/>
  <c r="G1223" i="15"/>
  <c r="H1223" i="15"/>
  <c r="B1224" i="15"/>
  <c r="C1224" i="15"/>
  <c r="D1224" i="15"/>
  <c r="E1224" i="15"/>
  <c r="F1224" i="15"/>
  <c r="G1224" i="15"/>
  <c r="H1224" i="15"/>
  <c r="B1225" i="15"/>
  <c r="C1225" i="15"/>
  <c r="D1225" i="15"/>
  <c r="E1225" i="15"/>
  <c r="F1225" i="15"/>
  <c r="G1225" i="15"/>
  <c r="H1225" i="15"/>
  <c r="B1226" i="15"/>
  <c r="C1226" i="15"/>
  <c r="D1226" i="15"/>
  <c r="E1226" i="15"/>
  <c r="F1226" i="15"/>
  <c r="G1226" i="15"/>
  <c r="H1226" i="15"/>
  <c r="B1227" i="15"/>
  <c r="C1227" i="15"/>
  <c r="D1227" i="15"/>
  <c r="E1227" i="15"/>
  <c r="F1227" i="15"/>
  <c r="G1227" i="15"/>
  <c r="H1227" i="15"/>
  <c r="B1228" i="15"/>
  <c r="C1228" i="15"/>
  <c r="D1228" i="15"/>
  <c r="E1228" i="15"/>
  <c r="F1228" i="15"/>
  <c r="G1228" i="15"/>
  <c r="H1228" i="15"/>
  <c r="B1229" i="15"/>
  <c r="C1229" i="15"/>
  <c r="D1229" i="15"/>
  <c r="E1229" i="15"/>
  <c r="F1229" i="15"/>
  <c r="G1229" i="15"/>
  <c r="H1229" i="15"/>
  <c r="B1230" i="15"/>
  <c r="C1230" i="15"/>
  <c r="D1230" i="15"/>
  <c r="E1230" i="15"/>
  <c r="F1230" i="15"/>
  <c r="G1230" i="15"/>
  <c r="H1230" i="15"/>
  <c r="B1231" i="15"/>
  <c r="C1231" i="15"/>
  <c r="D1231" i="15"/>
  <c r="E1231" i="15"/>
  <c r="F1231" i="15"/>
  <c r="G1231" i="15"/>
  <c r="H1231" i="15"/>
  <c r="B1232" i="15"/>
  <c r="C1232" i="15"/>
  <c r="D1232" i="15"/>
  <c r="E1232" i="15"/>
  <c r="F1232" i="15"/>
  <c r="G1232" i="15"/>
  <c r="H1232" i="15"/>
  <c r="B1233" i="15"/>
  <c r="C1233" i="15"/>
  <c r="D1233" i="15"/>
  <c r="E1233" i="15"/>
  <c r="F1233" i="15"/>
  <c r="G1233" i="15"/>
  <c r="H1233" i="15"/>
  <c r="B1234" i="15"/>
  <c r="C1234" i="15"/>
  <c r="D1234" i="15"/>
  <c r="E1234" i="15"/>
  <c r="F1234" i="15"/>
  <c r="G1234" i="15"/>
  <c r="H1234" i="15"/>
  <c r="B1235" i="15"/>
  <c r="C1235" i="15"/>
  <c r="D1235" i="15"/>
  <c r="E1235" i="15"/>
  <c r="F1235" i="15"/>
  <c r="G1235" i="15"/>
  <c r="H1235" i="15"/>
  <c r="B1236" i="15"/>
  <c r="C1236" i="15"/>
  <c r="D1236" i="15"/>
  <c r="E1236" i="15"/>
  <c r="F1236" i="15"/>
  <c r="G1236" i="15"/>
  <c r="H1236" i="15"/>
  <c r="B1237" i="15"/>
  <c r="C1237" i="15"/>
  <c r="D1237" i="15"/>
  <c r="E1237" i="15"/>
  <c r="F1237" i="15"/>
  <c r="G1237" i="15"/>
  <c r="H1237" i="15"/>
  <c r="B1238" i="15"/>
  <c r="C1238" i="15"/>
  <c r="D1238" i="15"/>
  <c r="E1238" i="15"/>
  <c r="F1238" i="15"/>
  <c r="G1238" i="15"/>
  <c r="H1238" i="15"/>
  <c r="B1239" i="15"/>
  <c r="C1239" i="15"/>
  <c r="D1239" i="15"/>
  <c r="E1239" i="15"/>
  <c r="F1239" i="15"/>
  <c r="G1239" i="15"/>
  <c r="H1239" i="15"/>
  <c r="B1240" i="15"/>
  <c r="C1240" i="15"/>
  <c r="D1240" i="15"/>
  <c r="E1240" i="15"/>
  <c r="F1240" i="15"/>
  <c r="G1240" i="15"/>
  <c r="H1240" i="15"/>
  <c r="B1241" i="15"/>
  <c r="C1241" i="15"/>
  <c r="D1241" i="15"/>
  <c r="E1241" i="15"/>
  <c r="F1241" i="15"/>
  <c r="G1241" i="15"/>
  <c r="H1241" i="15"/>
  <c r="B1242" i="15"/>
  <c r="C1242" i="15"/>
  <c r="D1242" i="15"/>
  <c r="E1242" i="15"/>
  <c r="F1242" i="15"/>
  <c r="G1242" i="15"/>
  <c r="H1242" i="15"/>
  <c r="B1243" i="15"/>
  <c r="C1243" i="15"/>
  <c r="D1243" i="15"/>
  <c r="E1243" i="15"/>
  <c r="F1243" i="15"/>
  <c r="G1243" i="15"/>
  <c r="H1243" i="15"/>
  <c r="B1244" i="15"/>
  <c r="C1244" i="15"/>
  <c r="D1244" i="15"/>
  <c r="E1244" i="15"/>
  <c r="F1244" i="15"/>
  <c r="G1244" i="15"/>
  <c r="H1244" i="15"/>
  <c r="B1245" i="15"/>
  <c r="C1245" i="15"/>
  <c r="D1245" i="15"/>
  <c r="E1245" i="15"/>
  <c r="F1245" i="15"/>
  <c r="G1245" i="15"/>
  <c r="H1245" i="15"/>
  <c r="B1246" i="15"/>
  <c r="C1246" i="15"/>
  <c r="D1246" i="15"/>
  <c r="E1246" i="15"/>
  <c r="F1246" i="15"/>
  <c r="G1246" i="15"/>
  <c r="H1246" i="15"/>
  <c r="B1247" i="15"/>
  <c r="C1247" i="15"/>
  <c r="D1247" i="15"/>
  <c r="E1247" i="15"/>
  <c r="F1247" i="15"/>
  <c r="G1247" i="15"/>
  <c r="H1247" i="15"/>
  <c r="B1248" i="15"/>
  <c r="C1248" i="15"/>
  <c r="D1248" i="15"/>
  <c r="E1248" i="15"/>
  <c r="F1248" i="15"/>
  <c r="G1248" i="15"/>
  <c r="H1248" i="15"/>
  <c r="B1249" i="15"/>
  <c r="C1249" i="15"/>
  <c r="D1249" i="15"/>
  <c r="E1249" i="15"/>
  <c r="F1249" i="15"/>
  <c r="G1249" i="15"/>
  <c r="H1249" i="15"/>
  <c r="B1250" i="15"/>
  <c r="C1250" i="15"/>
  <c r="D1250" i="15"/>
  <c r="E1250" i="15"/>
  <c r="F1250" i="15"/>
  <c r="G1250" i="15"/>
  <c r="H1250" i="15"/>
  <c r="B1251" i="15"/>
  <c r="C1251" i="15"/>
  <c r="D1251" i="15"/>
  <c r="E1251" i="15"/>
  <c r="F1251" i="15"/>
  <c r="G1251" i="15"/>
  <c r="H1251" i="15"/>
  <c r="B1252" i="15"/>
  <c r="C1252" i="15"/>
  <c r="D1252" i="15"/>
  <c r="E1252" i="15"/>
  <c r="F1252" i="15"/>
  <c r="G1252" i="15"/>
  <c r="H1252" i="15"/>
  <c r="B1253" i="15"/>
  <c r="C1253" i="15"/>
  <c r="D1253" i="15"/>
  <c r="E1253" i="15"/>
  <c r="F1253" i="15"/>
  <c r="G1253" i="15"/>
  <c r="H1253" i="15"/>
  <c r="B1254" i="15"/>
  <c r="C1254" i="15"/>
  <c r="D1254" i="15"/>
  <c r="E1254" i="15"/>
  <c r="F1254" i="15"/>
  <c r="G1254" i="15"/>
  <c r="H1254" i="15"/>
  <c r="B1255" i="15"/>
  <c r="C1255" i="15"/>
  <c r="D1255" i="15"/>
  <c r="E1255" i="15"/>
  <c r="F1255" i="15"/>
  <c r="G1255" i="15"/>
  <c r="H1255" i="15"/>
  <c r="B1256" i="15"/>
  <c r="C1256" i="15"/>
  <c r="D1256" i="15"/>
  <c r="E1256" i="15"/>
  <c r="F1256" i="15"/>
  <c r="G1256" i="15"/>
  <c r="H1256" i="15"/>
  <c r="B1257" i="15"/>
  <c r="C1257" i="15"/>
  <c r="D1257" i="15"/>
  <c r="E1257" i="15"/>
  <c r="F1257" i="15"/>
  <c r="G1257" i="15"/>
  <c r="H1257" i="15"/>
  <c r="B1258" i="15"/>
  <c r="C1258" i="15"/>
  <c r="D1258" i="15"/>
  <c r="E1258" i="15"/>
  <c r="F1258" i="15"/>
  <c r="G1258" i="15"/>
  <c r="H1258" i="15"/>
  <c r="B1259" i="15"/>
  <c r="C1259" i="15"/>
  <c r="D1259" i="15"/>
  <c r="E1259" i="15"/>
  <c r="F1259" i="15"/>
  <c r="G1259" i="15"/>
  <c r="H1259" i="15"/>
  <c r="B1260" i="15"/>
  <c r="C1260" i="15"/>
  <c r="D1260" i="15"/>
  <c r="E1260" i="15"/>
  <c r="F1260" i="15"/>
  <c r="G1260" i="15"/>
  <c r="H1260" i="15"/>
  <c r="B1261" i="15"/>
  <c r="C1261" i="15"/>
  <c r="D1261" i="15"/>
  <c r="E1261" i="15"/>
  <c r="F1261" i="15"/>
  <c r="G1261" i="15"/>
  <c r="H1261" i="15"/>
  <c r="B1262" i="15"/>
  <c r="C1262" i="15"/>
  <c r="D1262" i="15"/>
  <c r="E1262" i="15"/>
  <c r="F1262" i="15"/>
  <c r="G1262" i="15"/>
  <c r="H1262" i="15"/>
  <c r="B1263" i="15"/>
  <c r="C1263" i="15"/>
  <c r="D1263" i="15"/>
  <c r="E1263" i="15"/>
  <c r="F1263" i="15"/>
  <c r="G1263" i="15"/>
  <c r="H1263" i="15"/>
  <c r="B1264" i="15"/>
  <c r="C1264" i="15"/>
  <c r="D1264" i="15"/>
  <c r="E1264" i="15"/>
  <c r="F1264" i="15"/>
  <c r="G1264" i="15"/>
  <c r="H1264" i="15"/>
  <c r="B1265" i="15"/>
  <c r="C1265" i="15"/>
  <c r="D1265" i="15"/>
  <c r="E1265" i="15"/>
  <c r="F1265" i="15"/>
  <c r="G1265" i="15"/>
  <c r="H1265" i="15"/>
  <c r="B1266" i="15"/>
  <c r="C1266" i="15"/>
  <c r="D1266" i="15"/>
  <c r="E1266" i="15"/>
  <c r="F1266" i="15"/>
  <c r="G1266" i="15"/>
  <c r="H1266" i="15"/>
  <c r="B1267" i="15"/>
  <c r="C1267" i="15"/>
  <c r="D1267" i="15"/>
  <c r="E1267" i="15"/>
  <c r="F1267" i="15"/>
  <c r="G1267" i="15"/>
  <c r="H1267" i="15"/>
  <c r="B1268" i="15"/>
  <c r="C1268" i="15"/>
  <c r="D1268" i="15"/>
  <c r="E1268" i="15"/>
  <c r="F1268" i="15"/>
  <c r="G1268" i="15"/>
  <c r="H1268" i="15"/>
  <c r="B1269" i="15"/>
  <c r="C1269" i="15"/>
  <c r="D1269" i="15"/>
  <c r="E1269" i="15"/>
  <c r="F1269" i="15"/>
  <c r="G1269" i="15"/>
  <c r="H1269" i="15"/>
  <c r="B1270" i="15"/>
  <c r="C1270" i="15"/>
  <c r="D1270" i="15"/>
  <c r="E1270" i="15"/>
  <c r="F1270" i="15"/>
  <c r="G1270" i="15"/>
  <c r="H1270" i="15"/>
  <c r="B1271" i="15"/>
  <c r="C1271" i="15"/>
  <c r="D1271" i="15"/>
  <c r="E1271" i="15"/>
  <c r="F1271" i="15"/>
  <c r="G1271" i="15"/>
  <c r="H1271" i="15"/>
  <c r="B1272" i="15"/>
  <c r="C1272" i="15"/>
  <c r="D1272" i="15"/>
  <c r="E1272" i="15"/>
  <c r="F1272" i="15"/>
  <c r="G1272" i="15"/>
  <c r="H1272" i="15"/>
  <c r="B1273" i="15"/>
  <c r="C1273" i="15"/>
  <c r="D1273" i="15"/>
  <c r="E1273" i="15"/>
  <c r="F1273" i="15"/>
  <c r="G1273" i="15"/>
  <c r="H1273" i="15"/>
  <c r="B1274" i="15"/>
  <c r="C1274" i="15"/>
  <c r="D1274" i="15"/>
  <c r="E1274" i="15"/>
  <c r="F1274" i="15"/>
  <c r="G1274" i="15"/>
  <c r="H1274" i="15"/>
  <c r="B1275" i="15"/>
  <c r="C1275" i="15"/>
  <c r="D1275" i="15"/>
  <c r="E1275" i="15"/>
  <c r="F1275" i="15"/>
  <c r="G1275" i="15"/>
  <c r="H1275" i="15"/>
  <c r="B1276" i="15"/>
  <c r="C1276" i="15"/>
  <c r="D1276" i="15"/>
  <c r="E1276" i="15"/>
  <c r="F1276" i="15"/>
  <c r="G1276" i="15"/>
  <c r="H1276" i="15"/>
  <c r="B1277" i="15"/>
  <c r="C1277" i="15"/>
  <c r="D1277" i="15"/>
  <c r="E1277" i="15"/>
  <c r="F1277" i="15"/>
  <c r="G1277" i="15"/>
  <c r="H1277" i="15"/>
  <c r="B1278" i="15"/>
  <c r="C1278" i="15"/>
  <c r="D1278" i="15"/>
  <c r="E1278" i="15"/>
  <c r="F1278" i="15"/>
  <c r="G1278" i="15"/>
  <c r="H1278" i="15"/>
  <c r="B1279" i="15"/>
  <c r="C1279" i="15"/>
  <c r="D1279" i="15"/>
  <c r="E1279" i="15"/>
  <c r="F1279" i="15"/>
  <c r="G1279" i="15"/>
  <c r="H1279" i="15"/>
  <c r="B1280" i="15"/>
  <c r="C1280" i="15"/>
  <c r="D1280" i="15"/>
  <c r="E1280" i="15"/>
  <c r="F1280" i="15"/>
  <c r="G1280" i="15"/>
  <c r="H1280" i="15"/>
  <c r="B1281" i="15"/>
  <c r="C1281" i="15"/>
  <c r="D1281" i="15"/>
  <c r="E1281" i="15"/>
  <c r="F1281" i="15"/>
  <c r="G1281" i="15"/>
  <c r="H1281" i="15"/>
  <c r="B1282" i="15"/>
  <c r="C1282" i="15"/>
  <c r="D1282" i="15"/>
  <c r="E1282" i="15"/>
  <c r="F1282" i="15"/>
  <c r="G1282" i="15"/>
  <c r="H1282" i="15"/>
  <c r="B1283" i="15"/>
  <c r="C1283" i="15"/>
  <c r="D1283" i="15"/>
  <c r="E1283" i="15"/>
  <c r="F1283" i="15"/>
  <c r="G1283" i="15"/>
  <c r="H1283" i="15"/>
  <c r="B1284" i="15"/>
  <c r="C1284" i="15"/>
  <c r="D1284" i="15"/>
  <c r="E1284" i="15"/>
  <c r="F1284" i="15"/>
  <c r="G1284" i="15"/>
  <c r="H1284" i="15"/>
  <c r="B1285" i="15"/>
  <c r="C1285" i="15"/>
  <c r="D1285" i="15"/>
  <c r="E1285" i="15"/>
  <c r="F1285" i="15"/>
  <c r="G1285" i="15"/>
  <c r="H1285" i="15"/>
  <c r="B1286" i="15"/>
  <c r="C1286" i="15"/>
  <c r="D1286" i="15"/>
  <c r="E1286" i="15"/>
  <c r="F1286" i="15"/>
  <c r="G1286" i="15"/>
  <c r="H1286" i="15"/>
  <c r="B1287" i="15"/>
  <c r="C1287" i="15"/>
  <c r="D1287" i="15"/>
  <c r="E1287" i="15"/>
  <c r="F1287" i="15"/>
  <c r="G1287" i="15"/>
  <c r="H1287" i="15"/>
  <c r="B1288" i="15"/>
  <c r="C1288" i="15"/>
  <c r="D1288" i="15"/>
  <c r="E1288" i="15"/>
  <c r="F1288" i="15"/>
  <c r="G1288" i="15"/>
  <c r="H1288" i="15"/>
  <c r="B1289" i="15"/>
  <c r="C1289" i="15"/>
  <c r="D1289" i="15"/>
  <c r="E1289" i="15"/>
  <c r="F1289" i="15"/>
  <c r="G1289" i="15"/>
  <c r="H1289" i="15"/>
  <c r="B1290" i="15"/>
  <c r="C1290" i="15"/>
  <c r="D1290" i="15"/>
  <c r="E1290" i="15"/>
  <c r="F1290" i="15"/>
  <c r="G1290" i="15"/>
  <c r="H1290" i="15"/>
  <c r="B1291" i="15"/>
  <c r="C1291" i="15"/>
  <c r="D1291" i="15"/>
  <c r="E1291" i="15"/>
  <c r="F1291" i="15"/>
  <c r="G1291" i="15"/>
  <c r="H1291" i="15"/>
  <c r="B1292" i="15"/>
  <c r="C1292" i="15"/>
  <c r="D1292" i="15"/>
  <c r="E1292" i="15"/>
  <c r="F1292" i="15"/>
  <c r="G1292" i="15"/>
  <c r="H1292" i="15"/>
  <c r="B1293" i="15"/>
  <c r="C1293" i="15"/>
  <c r="D1293" i="15"/>
  <c r="E1293" i="15"/>
  <c r="F1293" i="15"/>
  <c r="G1293" i="15"/>
  <c r="H1293" i="15"/>
  <c r="B1294" i="15"/>
  <c r="C1294" i="15"/>
  <c r="D1294" i="15"/>
  <c r="E1294" i="15"/>
  <c r="F1294" i="15"/>
  <c r="G1294" i="15"/>
  <c r="H1294" i="15"/>
  <c r="B1295" i="15"/>
  <c r="C1295" i="15"/>
  <c r="D1295" i="15"/>
  <c r="E1295" i="15"/>
  <c r="F1295" i="15"/>
  <c r="G1295" i="15"/>
  <c r="H1295" i="15"/>
  <c r="B1296" i="15"/>
  <c r="C1296" i="15"/>
  <c r="D1296" i="15"/>
  <c r="E1296" i="15"/>
  <c r="F1296" i="15"/>
  <c r="G1296" i="15"/>
  <c r="H1296" i="15"/>
  <c r="B1297" i="15"/>
  <c r="C1297" i="15"/>
  <c r="D1297" i="15"/>
  <c r="E1297" i="15"/>
  <c r="F1297" i="15"/>
  <c r="G1297" i="15"/>
  <c r="H1297" i="15"/>
  <c r="B1298" i="15"/>
  <c r="C1298" i="15"/>
  <c r="D1298" i="15"/>
  <c r="E1298" i="15"/>
  <c r="F1298" i="15"/>
  <c r="G1298" i="15"/>
  <c r="H1298" i="15"/>
  <c r="B1299" i="15"/>
  <c r="C1299" i="15"/>
  <c r="D1299" i="15"/>
  <c r="E1299" i="15"/>
  <c r="F1299" i="15"/>
  <c r="G1299" i="15"/>
  <c r="H1299" i="15"/>
  <c r="B1300" i="15"/>
  <c r="C1300" i="15"/>
  <c r="D1300" i="15"/>
  <c r="E1300" i="15"/>
  <c r="F1300" i="15"/>
  <c r="G1300" i="15"/>
  <c r="H1300" i="15"/>
  <c r="B1301" i="15"/>
  <c r="C1301" i="15"/>
  <c r="D1301" i="15"/>
  <c r="E1301" i="15"/>
  <c r="F1301" i="15"/>
  <c r="G1301" i="15"/>
  <c r="H1301" i="15"/>
  <c r="B1302" i="15"/>
  <c r="C1302" i="15"/>
  <c r="D1302" i="15"/>
  <c r="E1302" i="15"/>
  <c r="F1302" i="15"/>
  <c r="G1302" i="15"/>
  <c r="H1302" i="15"/>
  <c r="B1303" i="15"/>
  <c r="C1303" i="15"/>
  <c r="D1303" i="15"/>
  <c r="E1303" i="15"/>
  <c r="F1303" i="15"/>
  <c r="G1303" i="15"/>
  <c r="H1303" i="15"/>
  <c r="B1304" i="15"/>
  <c r="C1304" i="15"/>
  <c r="D1304" i="15"/>
  <c r="E1304" i="15"/>
  <c r="F1304" i="15"/>
  <c r="G1304" i="15"/>
  <c r="H1304" i="15"/>
  <c r="B1305" i="15"/>
  <c r="C1305" i="15"/>
  <c r="D1305" i="15"/>
  <c r="E1305" i="15"/>
  <c r="F1305" i="15"/>
  <c r="G1305" i="15"/>
  <c r="H1305" i="15"/>
  <c r="B1306" i="15"/>
  <c r="C1306" i="15"/>
  <c r="D1306" i="15"/>
  <c r="E1306" i="15"/>
  <c r="F1306" i="15"/>
  <c r="G1306" i="15"/>
  <c r="H1306" i="15"/>
  <c r="B1307" i="15"/>
  <c r="C1307" i="15"/>
  <c r="D1307" i="15"/>
  <c r="E1307" i="15"/>
  <c r="F1307" i="15"/>
  <c r="G1307" i="15"/>
  <c r="H1307" i="15"/>
  <c r="B1308" i="15"/>
  <c r="C1308" i="15"/>
  <c r="D1308" i="15"/>
  <c r="E1308" i="15"/>
  <c r="F1308" i="15"/>
  <c r="G1308" i="15"/>
  <c r="H1308" i="15"/>
  <c r="B1309" i="15"/>
  <c r="C1309" i="15"/>
  <c r="D1309" i="15"/>
  <c r="E1309" i="15"/>
  <c r="F1309" i="15"/>
  <c r="G1309" i="15"/>
  <c r="H1309" i="15"/>
  <c r="B1310" i="15"/>
  <c r="C1310" i="15"/>
  <c r="D1310" i="15"/>
  <c r="E1310" i="15"/>
  <c r="F1310" i="15"/>
  <c r="G1310" i="15"/>
  <c r="H1310" i="15"/>
  <c r="B1311" i="15"/>
  <c r="C1311" i="15"/>
  <c r="D1311" i="15"/>
  <c r="E1311" i="15"/>
  <c r="F1311" i="15"/>
  <c r="G1311" i="15"/>
  <c r="H1311" i="15"/>
  <c r="B1312" i="15"/>
  <c r="C1312" i="15"/>
  <c r="D1312" i="15"/>
  <c r="E1312" i="15"/>
  <c r="F1312" i="15"/>
  <c r="G1312" i="15"/>
  <c r="H1312" i="15"/>
  <c r="B1313" i="15"/>
  <c r="C1313" i="15"/>
  <c r="D1313" i="15"/>
  <c r="E1313" i="15"/>
  <c r="F1313" i="15"/>
  <c r="G1313" i="15"/>
  <c r="H1313" i="15"/>
  <c r="B1314" i="15"/>
  <c r="C1314" i="15"/>
  <c r="D1314" i="15"/>
  <c r="E1314" i="15"/>
  <c r="F1314" i="15"/>
  <c r="G1314" i="15"/>
  <c r="H1314" i="15"/>
  <c r="B1315" i="15"/>
  <c r="C1315" i="15"/>
  <c r="D1315" i="15"/>
  <c r="E1315" i="15"/>
  <c r="F1315" i="15"/>
  <c r="G1315" i="15"/>
  <c r="H1315" i="15"/>
  <c r="B1316" i="15"/>
  <c r="C1316" i="15"/>
  <c r="D1316" i="15"/>
  <c r="E1316" i="15"/>
  <c r="F1316" i="15"/>
  <c r="G1316" i="15"/>
  <c r="H1316" i="15"/>
  <c r="B1317" i="15"/>
  <c r="C1317" i="15"/>
  <c r="D1317" i="15"/>
  <c r="E1317" i="15"/>
  <c r="F1317" i="15"/>
  <c r="G1317" i="15"/>
  <c r="H1317" i="15"/>
  <c r="B1318" i="15"/>
  <c r="C1318" i="15"/>
  <c r="D1318" i="15"/>
  <c r="E1318" i="15"/>
  <c r="F1318" i="15"/>
  <c r="G1318" i="15"/>
  <c r="H1318" i="15"/>
  <c r="B1319" i="15"/>
  <c r="C1319" i="15"/>
  <c r="D1319" i="15"/>
  <c r="E1319" i="15"/>
  <c r="F1319" i="15"/>
  <c r="G1319" i="15"/>
  <c r="H1319" i="15"/>
  <c r="B1320" i="15"/>
  <c r="C1320" i="15"/>
  <c r="D1320" i="15"/>
  <c r="E1320" i="15"/>
  <c r="F1320" i="15"/>
  <c r="G1320" i="15"/>
  <c r="H1320" i="15"/>
  <c r="B1321" i="15"/>
  <c r="C1321" i="15"/>
  <c r="D1321" i="15"/>
  <c r="E1321" i="15"/>
  <c r="F1321" i="15"/>
  <c r="G1321" i="15"/>
  <c r="H1321" i="15"/>
  <c r="B1322" i="15"/>
  <c r="C1322" i="15"/>
  <c r="D1322" i="15"/>
  <c r="E1322" i="15"/>
  <c r="F1322" i="15"/>
  <c r="G1322" i="15"/>
  <c r="H1322" i="15"/>
  <c r="B1323" i="15"/>
  <c r="C1323" i="15"/>
  <c r="D1323" i="15"/>
  <c r="E1323" i="15"/>
  <c r="F1323" i="15"/>
  <c r="G1323" i="15"/>
  <c r="H1323" i="15"/>
  <c r="B1324" i="15"/>
  <c r="C1324" i="15"/>
  <c r="D1324" i="15"/>
  <c r="E1324" i="15"/>
  <c r="F1324" i="15"/>
  <c r="G1324" i="15"/>
  <c r="H1324" i="15"/>
  <c r="B1325" i="15"/>
  <c r="C1325" i="15"/>
  <c r="D1325" i="15"/>
  <c r="E1325" i="15"/>
  <c r="F1325" i="15"/>
  <c r="G1325" i="15"/>
  <c r="H1325" i="15"/>
  <c r="B1326" i="15"/>
  <c r="C1326" i="15"/>
  <c r="D1326" i="15"/>
  <c r="E1326" i="15"/>
  <c r="F1326" i="15"/>
  <c r="G1326" i="15"/>
  <c r="H1326" i="15"/>
  <c r="B1327" i="15"/>
  <c r="C1327" i="15"/>
  <c r="D1327" i="15"/>
  <c r="E1327" i="15"/>
  <c r="F1327" i="15"/>
  <c r="G1327" i="15"/>
  <c r="H1327" i="15"/>
  <c r="B1328" i="15"/>
  <c r="C1328" i="15"/>
  <c r="D1328" i="15"/>
  <c r="E1328" i="15"/>
  <c r="F1328" i="15"/>
  <c r="G1328" i="15"/>
  <c r="H1328" i="15"/>
  <c r="B1329" i="15"/>
  <c r="C1329" i="15"/>
  <c r="D1329" i="15"/>
  <c r="E1329" i="15"/>
  <c r="F1329" i="15"/>
  <c r="G1329" i="15"/>
  <c r="H1329" i="15"/>
  <c r="B1330" i="15"/>
  <c r="C1330" i="15"/>
  <c r="D1330" i="15"/>
  <c r="E1330" i="15"/>
  <c r="F1330" i="15"/>
  <c r="G1330" i="15"/>
  <c r="H1330" i="15"/>
  <c r="B1331" i="15"/>
  <c r="C1331" i="15"/>
  <c r="D1331" i="15"/>
  <c r="E1331" i="15"/>
  <c r="F1331" i="15"/>
  <c r="G1331" i="15"/>
  <c r="H1331" i="15"/>
  <c r="B1332" i="15"/>
  <c r="C1332" i="15"/>
  <c r="D1332" i="15"/>
  <c r="E1332" i="15"/>
  <c r="F1332" i="15"/>
  <c r="G1332" i="15"/>
  <c r="H1332" i="15"/>
  <c r="B1333" i="15"/>
  <c r="C1333" i="15"/>
  <c r="D1333" i="15"/>
  <c r="E1333" i="15"/>
  <c r="F1333" i="15"/>
  <c r="G1333" i="15"/>
  <c r="H1333" i="15"/>
  <c r="B1334" i="15"/>
  <c r="C1334" i="15"/>
  <c r="D1334" i="15"/>
  <c r="E1334" i="15"/>
  <c r="F1334" i="15"/>
  <c r="G1334" i="15"/>
  <c r="H1334" i="15"/>
  <c r="B1335" i="15"/>
  <c r="C1335" i="15"/>
  <c r="D1335" i="15"/>
  <c r="E1335" i="15"/>
  <c r="F1335" i="15"/>
  <c r="G1335" i="15"/>
  <c r="H1335" i="15"/>
  <c r="B1336" i="15"/>
  <c r="C1336" i="15"/>
  <c r="D1336" i="15"/>
  <c r="E1336" i="15"/>
  <c r="F1336" i="15"/>
  <c r="G1336" i="15"/>
  <c r="H1336" i="15"/>
  <c r="B1337" i="15"/>
  <c r="C1337" i="15"/>
  <c r="D1337" i="15"/>
  <c r="E1337" i="15"/>
  <c r="F1337" i="15"/>
  <c r="G1337" i="15"/>
  <c r="H1337" i="15"/>
  <c r="B1338" i="15"/>
  <c r="C1338" i="15"/>
  <c r="D1338" i="15"/>
  <c r="E1338" i="15"/>
  <c r="F1338" i="15"/>
  <c r="G1338" i="15"/>
  <c r="H1338" i="15"/>
  <c r="B1339" i="15"/>
  <c r="C1339" i="15"/>
  <c r="D1339" i="15"/>
  <c r="E1339" i="15"/>
  <c r="F1339" i="15"/>
  <c r="G1339" i="15"/>
  <c r="H1339" i="15"/>
  <c r="B1340" i="15"/>
  <c r="C1340" i="15"/>
  <c r="D1340" i="15"/>
  <c r="E1340" i="15"/>
  <c r="F1340" i="15"/>
  <c r="G1340" i="15"/>
  <c r="H1340" i="15"/>
  <c r="B1341" i="15"/>
  <c r="C1341" i="15"/>
  <c r="D1341" i="15"/>
  <c r="E1341" i="15"/>
  <c r="F1341" i="15"/>
  <c r="G1341" i="15"/>
  <c r="H1341" i="15"/>
  <c r="B1342" i="15"/>
  <c r="C1342" i="15"/>
  <c r="D1342" i="15"/>
  <c r="E1342" i="15"/>
  <c r="F1342" i="15"/>
  <c r="G1342" i="15"/>
  <c r="H1342" i="15"/>
  <c r="B1343" i="15"/>
  <c r="C1343" i="15"/>
  <c r="D1343" i="15"/>
  <c r="E1343" i="15"/>
  <c r="F1343" i="15"/>
  <c r="G1343" i="15"/>
  <c r="H1343" i="15"/>
  <c r="B1344" i="15"/>
  <c r="C1344" i="15"/>
  <c r="D1344" i="15"/>
  <c r="E1344" i="15"/>
  <c r="F1344" i="15"/>
  <c r="G1344" i="15"/>
  <c r="H1344" i="15"/>
  <c r="B1345" i="15"/>
  <c r="C1345" i="15"/>
  <c r="D1345" i="15"/>
  <c r="E1345" i="15"/>
  <c r="F1345" i="15"/>
  <c r="G1345" i="15"/>
  <c r="H1345" i="15"/>
  <c r="B1346" i="15"/>
  <c r="C1346" i="15"/>
  <c r="D1346" i="15"/>
  <c r="E1346" i="15"/>
  <c r="F1346" i="15"/>
  <c r="G1346" i="15"/>
  <c r="H1346" i="15"/>
  <c r="B1347" i="15"/>
  <c r="C1347" i="15"/>
  <c r="D1347" i="15"/>
  <c r="E1347" i="15"/>
  <c r="F1347" i="15"/>
  <c r="G1347" i="15"/>
  <c r="H1347" i="15"/>
  <c r="B1348" i="15"/>
  <c r="C1348" i="15"/>
  <c r="D1348" i="15"/>
  <c r="E1348" i="15"/>
  <c r="F1348" i="15"/>
  <c r="G1348" i="15"/>
  <c r="H1348" i="15"/>
  <c r="B1349" i="15"/>
  <c r="C1349" i="15"/>
  <c r="D1349" i="15"/>
  <c r="E1349" i="15"/>
  <c r="F1349" i="15"/>
  <c r="G1349" i="15"/>
  <c r="H1349" i="15"/>
  <c r="B1350" i="15"/>
  <c r="C1350" i="15"/>
  <c r="D1350" i="15"/>
  <c r="E1350" i="15"/>
  <c r="F1350" i="15"/>
  <c r="G1350" i="15"/>
  <c r="H1350" i="15"/>
  <c r="B1351" i="15"/>
  <c r="C1351" i="15"/>
  <c r="D1351" i="15"/>
  <c r="E1351" i="15"/>
  <c r="F1351" i="15"/>
  <c r="G1351" i="15"/>
  <c r="H1351" i="15"/>
  <c r="B1352" i="15"/>
  <c r="C1352" i="15"/>
  <c r="D1352" i="15"/>
  <c r="E1352" i="15"/>
  <c r="F1352" i="15"/>
  <c r="G1352" i="15"/>
  <c r="H1352" i="15"/>
  <c r="B1353" i="15"/>
  <c r="C1353" i="15"/>
  <c r="D1353" i="15"/>
  <c r="E1353" i="15"/>
  <c r="F1353" i="15"/>
  <c r="G1353" i="15"/>
  <c r="H1353" i="15"/>
  <c r="B1354" i="15"/>
  <c r="C1354" i="15"/>
  <c r="D1354" i="15"/>
  <c r="E1354" i="15"/>
  <c r="F1354" i="15"/>
  <c r="G1354" i="15"/>
  <c r="H1354" i="15"/>
  <c r="B1355" i="15"/>
  <c r="C1355" i="15"/>
  <c r="D1355" i="15"/>
  <c r="E1355" i="15"/>
  <c r="F1355" i="15"/>
  <c r="G1355" i="15"/>
  <c r="H1355" i="15"/>
  <c r="B1356" i="15"/>
  <c r="C1356" i="15"/>
  <c r="D1356" i="15"/>
  <c r="E1356" i="15"/>
  <c r="F1356" i="15"/>
  <c r="G1356" i="15"/>
  <c r="H1356" i="15"/>
  <c r="B1357" i="15"/>
  <c r="C1357" i="15"/>
  <c r="D1357" i="15"/>
  <c r="E1357" i="15"/>
  <c r="F1357" i="15"/>
  <c r="G1357" i="15"/>
  <c r="H1357" i="15"/>
  <c r="B1358" i="15"/>
  <c r="C1358" i="15"/>
  <c r="D1358" i="15"/>
  <c r="E1358" i="15"/>
  <c r="F1358" i="15"/>
  <c r="G1358" i="15"/>
  <c r="H1358" i="15"/>
  <c r="B1359" i="15"/>
  <c r="C1359" i="15"/>
  <c r="D1359" i="15"/>
  <c r="E1359" i="15"/>
  <c r="F1359" i="15"/>
  <c r="G1359" i="15"/>
  <c r="H1359" i="15"/>
  <c r="B1360" i="15"/>
  <c r="C1360" i="15"/>
  <c r="D1360" i="15"/>
  <c r="E1360" i="15"/>
  <c r="F1360" i="15"/>
  <c r="G1360" i="15"/>
  <c r="H1360" i="15"/>
  <c r="B1361" i="15"/>
  <c r="C1361" i="15"/>
  <c r="D1361" i="15"/>
  <c r="E1361" i="15"/>
  <c r="F1361" i="15"/>
  <c r="G1361" i="15"/>
  <c r="H1361" i="15"/>
  <c r="B1362" i="15"/>
  <c r="C1362" i="15"/>
  <c r="D1362" i="15"/>
  <c r="E1362" i="15"/>
  <c r="F1362" i="15"/>
  <c r="G1362" i="15"/>
  <c r="H1362" i="15"/>
  <c r="B1363" i="15"/>
  <c r="C1363" i="15"/>
  <c r="D1363" i="15"/>
  <c r="E1363" i="15"/>
  <c r="F1363" i="15"/>
  <c r="G1363" i="15"/>
  <c r="H1363" i="15"/>
  <c r="B1364" i="15"/>
  <c r="C1364" i="15"/>
  <c r="D1364" i="15"/>
  <c r="E1364" i="15"/>
  <c r="F1364" i="15"/>
  <c r="G1364" i="15"/>
  <c r="H1364" i="15"/>
  <c r="B1365" i="15"/>
  <c r="C1365" i="15"/>
  <c r="D1365" i="15"/>
  <c r="E1365" i="15"/>
  <c r="F1365" i="15"/>
  <c r="G1365" i="15"/>
  <c r="H1365" i="15"/>
  <c r="B1366" i="15"/>
  <c r="C1366" i="15"/>
  <c r="D1366" i="15"/>
  <c r="E1366" i="15"/>
  <c r="F1366" i="15"/>
  <c r="G1366" i="15"/>
  <c r="H1366" i="15"/>
  <c r="B1367" i="15"/>
  <c r="C1367" i="15"/>
  <c r="D1367" i="15"/>
  <c r="E1367" i="15"/>
  <c r="F1367" i="15"/>
  <c r="G1367" i="15"/>
  <c r="H1367" i="15"/>
  <c r="B1368" i="15"/>
  <c r="C1368" i="15"/>
  <c r="D1368" i="15"/>
  <c r="E1368" i="15"/>
  <c r="F1368" i="15"/>
  <c r="G1368" i="15"/>
  <c r="H1368" i="15"/>
  <c r="B1369" i="15"/>
  <c r="C1369" i="15"/>
  <c r="D1369" i="15"/>
  <c r="E1369" i="15"/>
  <c r="F1369" i="15"/>
  <c r="G1369" i="15"/>
  <c r="H1369" i="15"/>
  <c r="B1370" i="15"/>
  <c r="C1370" i="15"/>
  <c r="D1370" i="15"/>
  <c r="E1370" i="15"/>
  <c r="F1370" i="15"/>
  <c r="G1370" i="15"/>
  <c r="H1370" i="15"/>
  <c r="B1371" i="15"/>
  <c r="C1371" i="15"/>
  <c r="D1371" i="15"/>
  <c r="E1371" i="15"/>
  <c r="F1371" i="15"/>
  <c r="G1371" i="15"/>
  <c r="H1371" i="15"/>
  <c r="B1372" i="15"/>
  <c r="C1372" i="15"/>
  <c r="D1372" i="15"/>
  <c r="E1372" i="15"/>
  <c r="F1372" i="15"/>
  <c r="G1372" i="15"/>
  <c r="H1372" i="15"/>
  <c r="B1373" i="15"/>
  <c r="C1373" i="15"/>
  <c r="D1373" i="15"/>
  <c r="E1373" i="15"/>
  <c r="F1373" i="15"/>
  <c r="G1373" i="15"/>
  <c r="H1373" i="15"/>
  <c r="B1374" i="15"/>
  <c r="C1374" i="15"/>
  <c r="D1374" i="15"/>
  <c r="E1374" i="15"/>
  <c r="F1374" i="15"/>
  <c r="G1374" i="15"/>
  <c r="H1374" i="15"/>
  <c r="B1375" i="15"/>
  <c r="C1375" i="15"/>
  <c r="D1375" i="15"/>
  <c r="E1375" i="15"/>
  <c r="F1375" i="15"/>
  <c r="G1375" i="15"/>
  <c r="H1375" i="15"/>
  <c r="B1376" i="15"/>
  <c r="C1376" i="15"/>
  <c r="D1376" i="15"/>
  <c r="E1376" i="15"/>
  <c r="F1376" i="15"/>
  <c r="G1376" i="15"/>
  <c r="H1376" i="15"/>
  <c r="B1377" i="15"/>
  <c r="C1377" i="15"/>
  <c r="D1377" i="15"/>
  <c r="E1377" i="15"/>
  <c r="F1377" i="15"/>
  <c r="G1377" i="15"/>
  <c r="H1377" i="15"/>
  <c r="B1378" i="15"/>
  <c r="C1378" i="15"/>
  <c r="D1378" i="15"/>
  <c r="E1378" i="15"/>
  <c r="F1378" i="15"/>
  <c r="G1378" i="15"/>
  <c r="H1378" i="15"/>
  <c r="B1379" i="15"/>
  <c r="C1379" i="15"/>
  <c r="D1379" i="15"/>
  <c r="E1379" i="15"/>
  <c r="F1379" i="15"/>
  <c r="G1379" i="15"/>
  <c r="H1379" i="15"/>
  <c r="B1380" i="15"/>
  <c r="C1380" i="15"/>
  <c r="D1380" i="15"/>
  <c r="E1380" i="15"/>
  <c r="F1380" i="15"/>
  <c r="G1380" i="15"/>
  <c r="H1380" i="15"/>
  <c r="B1381" i="15"/>
  <c r="C1381" i="15"/>
  <c r="D1381" i="15"/>
  <c r="E1381" i="15"/>
  <c r="F1381" i="15"/>
  <c r="G1381" i="15"/>
  <c r="H1381" i="15"/>
  <c r="B1382" i="15"/>
  <c r="C1382" i="15"/>
  <c r="D1382" i="15"/>
  <c r="E1382" i="15"/>
  <c r="F1382" i="15"/>
  <c r="G1382" i="15"/>
  <c r="H1382" i="15"/>
  <c r="B1383" i="15"/>
  <c r="C1383" i="15"/>
  <c r="D1383" i="15"/>
  <c r="E1383" i="15"/>
  <c r="F1383" i="15"/>
  <c r="G1383" i="15"/>
  <c r="H1383" i="15"/>
  <c r="B1384" i="15"/>
  <c r="C1384" i="15"/>
  <c r="D1384" i="15"/>
  <c r="E1384" i="15"/>
  <c r="F1384" i="15"/>
  <c r="G1384" i="15"/>
  <c r="H1384" i="15"/>
  <c r="B1385" i="15"/>
  <c r="C1385" i="15"/>
  <c r="D1385" i="15"/>
  <c r="E1385" i="15"/>
  <c r="F1385" i="15"/>
  <c r="G1385" i="15"/>
  <c r="H1385" i="15"/>
  <c r="B1386" i="15"/>
  <c r="C1386" i="15"/>
  <c r="D1386" i="15"/>
  <c r="E1386" i="15"/>
  <c r="F1386" i="15"/>
  <c r="G1386" i="15"/>
  <c r="H1386" i="15"/>
  <c r="B1387" i="15"/>
  <c r="C1387" i="15"/>
  <c r="D1387" i="15"/>
  <c r="E1387" i="15"/>
  <c r="F1387" i="15"/>
  <c r="G1387" i="15"/>
  <c r="H1387" i="15"/>
  <c r="B1388" i="15"/>
  <c r="C1388" i="15"/>
  <c r="D1388" i="15"/>
  <c r="E1388" i="15"/>
  <c r="F1388" i="15"/>
  <c r="G1388" i="15"/>
  <c r="H1388" i="15"/>
  <c r="B1389" i="15"/>
  <c r="C1389" i="15"/>
  <c r="D1389" i="15"/>
  <c r="E1389" i="15"/>
  <c r="F1389" i="15"/>
  <c r="G1389" i="15"/>
  <c r="H1389" i="15"/>
  <c r="B1390" i="15"/>
  <c r="C1390" i="15"/>
  <c r="D1390" i="15"/>
  <c r="E1390" i="15"/>
  <c r="F1390" i="15"/>
  <c r="G1390" i="15"/>
  <c r="H1390" i="15"/>
  <c r="B1391" i="15"/>
  <c r="C1391" i="15"/>
  <c r="D1391" i="15"/>
  <c r="E1391" i="15"/>
  <c r="F1391" i="15"/>
  <c r="G1391" i="15"/>
  <c r="H1391" i="15"/>
  <c r="B1392" i="15"/>
  <c r="C1392" i="15"/>
  <c r="D1392" i="15"/>
  <c r="E1392" i="15"/>
  <c r="F1392" i="15"/>
  <c r="G1392" i="15"/>
  <c r="H1392" i="15"/>
  <c r="B1393" i="15"/>
  <c r="C1393" i="15"/>
  <c r="D1393" i="15"/>
  <c r="E1393" i="15"/>
  <c r="F1393" i="15"/>
  <c r="G1393" i="15"/>
  <c r="H1393" i="15"/>
  <c r="B1394" i="15"/>
  <c r="C1394" i="15"/>
  <c r="D1394" i="15"/>
  <c r="E1394" i="15"/>
  <c r="F1394" i="15"/>
  <c r="G1394" i="15"/>
  <c r="H1394" i="15"/>
  <c r="B1395" i="15"/>
  <c r="C1395" i="15"/>
  <c r="D1395" i="15"/>
  <c r="E1395" i="15"/>
  <c r="F1395" i="15"/>
  <c r="G1395" i="15"/>
  <c r="H1395" i="15"/>
  <c r="B1396" i="15"/>
  <c r="C1396" i="15"/>
  <c r="D1396" i="15"/>
  <c r="E1396" i="15"/>
  <c r="F1396" i="15"/>
  <c r="G1396" i="15"/>
  <c r="H1396" i="15"/>
  <c r="B1397" i="15"/>
  <c r="C1397" i="15"/>
  <c r="D1397" i="15"/>
  <c r="E1397" i="15"/>
  <c r="F1397" i="15"/>
  <c r="G1397" i="15"/>
  <c r="H1397" i="15"/>
  <c r="B1398" i="15"/>
  <c r="C1398" i="15"/>
  <c r="D1398" i="15"/>
  <c r="E1398" i="15"/>
  <c r="F1398" i="15"/>
  <c r="G1398" i="15"/>
  <c r="H1398" i="15"/>
  <c r="B1399" i="15"/>
  <c r="C1399" i="15"/>
  <c r="D1399" i="15"/>
  <c r="E1399" i="15"/>
  <c r="F1399" i="15"/>
  <c r="G1399" i="15"/>
  <c r="H1399" i="15"/>
  <c r="B1400" i="15"/>
  <c r="C1400" i="15"/>
  <c r="D1400" i="15"/>
  <c r="E1400" i="15"/>
  <c r="F1400" i="15"/>
  <c r="G1400" i="15"/>
  <c r="H1400" i="15"/>
  <c r="B1401" i="15"/>
  <c r="C1401" i="15"/>
  <c r="D1401" i="15"/>
  <c r="E1401" i="15"/>
  <c r="F1401" i="15"/>
  <c r="G1401" i="15"/>
  <c r="H1401" i="15"/>
  <c r="B1402" i="15"/>
  <c r="C1402" i="15"/>
  <c r="D1402" i="15"/>
  <c r="E1402" i="15"/>
  <c r="F1402" i="15"/>
  <c r="G1402" i="15"/>
  <c r="H1402" i="15"/>
  <c r="B1403" i="15"/>
  <c r="C1403" i="15"/>
  <c r="D1403" i="15"/>
  <c r="E1403" i="15"/>
  <c r="F1403" i="15"/>
  <c r="G1403" i="15"/>
  <c r="H1403" i="15"/>
  <c r="B1404" i="15"/>
  <c r="C1404" i="15"/>
  <c r="D1404" i="15"/>
  <c r="E1404" i="15"/>
  <c r="F1404" i="15"/>
  <c r="G1404" i="15"/>
  <c r="H1404" i="15"/>
  <c r="B1405" i="15"/>
  <c r="C1405" i="15"/>
  <c r="D1405" i="15"/>
  <c r="E1405" i="15"/>
  <c r="F1405" i="15"/>
  <c r="G1405" i="15"/>
  <c r="H1405" i="15"/>
  <c r="B1406" i="15"/>
  <c r="C1406" i="15"/>
  <c r="D1406" i="15"/>
  <c r="E1406" i="15"/>
  <c r="F1406" i="15"/>
  <c r="G1406" i="15"/>
  <c r="H1406" i="15"/>
  <c r="B1407" i="15"/>
  <c r="C1407" i="15"/>
  <c r="D1407" i="15"/>
  <c r="E1407" i="15"/>
  <c r="F1407" i="15"/>
  <c r="G1407" i="15"/>
  <c r="H1407" i="15"/>
  <c r="A1408" i="15"/>
  <c r="B1408" i="15"/>
  <c r="C1408" i="15"/>
  <c r="D1408" i="15"/>
  <c r="E1408" i="15"/>
  <c r="F1408" i="15"/>
  <c r="G1408" i="15"/>
  <c r="H1408" i="15"/>
  <c r="A1409" i="15"/>
  <c r="B1409" i="15"/>
  <c r="C1409" i="15"/>
  <c r="D1409" i="15"/>
  <c r="E1409" i="15"/>
  <c r="F1409" i="15"/>
  <c r="G1409" i="15"/>
  <c r="H1409" i="15"/>
  <c r="A1410" i="15"/>
  <c r="B1410" i="15"/>
  <c r="C1410" i="15"/>
  <c r="D1410" i="15"/>
  <c r="E1410" i="15"/>
  <c r="F1410" i="15"/>
  <c r="G1410" i="15"/>
  <c r="H1410" i="15"/>
  <c r="A1411" i="15"/>
  <c r="B1411" i="15"/>
  <c r="C1411" i="15"/>
  <c r="D1411" i="15"/>
  <c r="E1411" i="15"/>
  <c r="F1411" i="15"/>
  <c r="G1411" i="15"/>
  <c r="H1411" i="15"/>
  <c r="A1412" i="15"/>
  <c r="B1412" i="15"/>
  <c r="C1412" i="15"/>
  <c r="D1412" i="15"/>
  <c r="E1412" i="15"/>
  <c r="F1412" i="15"/>
  <c r="G1412" i="15"/>
  <c r="H1412" i="15"/>
  <c r="A1413" i="15"/>
  <c r="B1413" i="15"/>
  <c r="C1413" i="15"/>
  <c r="D1413" i="15"/>
  <c r="E1413" i="15"/>
  <c r="F1413" i="15"/>
  <c r="G1413" i="15"/>
  <c r="H1413" i="15"/>
  <c r="A1414" i="15"/>
  <c r="B1414" i="15"/>
  <c r="C1414" i="15"/>
  <c r="D1414" i="15"/>
  <c r="E1414" i="15"/>
  <c r="F1414" i="15"/>
  <c r="G1414" i="15"/>
  <c r="H1414" i="15"/>
  <c r="A1415" i="15"/>
  <c r="B1415" i="15"/>
  <c r="C1415" i="15"/>
  <c r="D1415" i="15"/>
  <c r="E1415" i="15"/>
  <c r="F1415" i="15"/>
  <c r="G1415" i="15"/>
  <c r="H1415" i="15"/>
  <c r="A1416" i="15"/>
  <c r="B1416" i="15"/>
  <c r="C1416" i="15"/>
  <c r="D1416" i="15"/>
  <c r="E1416" i="15"/>
  <c r="F1416" i="15"/>
  <c r="G1416" i="15"/>
  <c r="H1416" i="15"/>
  <c r="A1417" i="15"/>
  <c r="B1417" i="15"/>
  <c r="C1417" i="15"/>
  <c r="D1417" i="15"/>
  <c r="E1417" i="15"/>
  <c r="F1417" i="15"/>
  <c r="G1417" i="15"/>
  <c r="H1417" i="15"/>
  <c r="A1418" i="15"/>
  <c r="B1418" i="15"/>
  <c r="C1418" i="15"/>
  <c r="D1418" i="15"/>
  <c r="E1418" i="15"/>
  <c r="F1418" i="15"/>
  <c r="G1418" i="15"/>
  <c r="H1418" i="15"/>
  <c r="A1419" i="15"/>
  <c r="B1419" i="15"/>
  <c r="C1419" i="15"/>
  <c r="D1419" i="15"/>
  <c r="E1419" i="15"/>
  <c r="F1419" i="15"/>
  <c r="G1419" i="15"/>
  <c r="H1419" i="15"/>
  <c r="A1420" i="15"/>
  <c r="B1420" i="15"/>
  <c r="C1420" i="15"/>
  <c r="D1420" i="15"/>
  <c r="E1420" i="15"/>
  <c r="F1420" i="15"/>
  <c r="G1420" i="15"/>
  <c r="H1420" i="15"/>
  <c r="A1421" i="15"/>
  <c r="B1421" i="15"/>
  <c r="C1421" i="15"/>
  <c r="D1421" i="15"/>
  <c r="E1421" i="15"/>
  <c r="F1421" i="15"/>
  <c r="G1421" i="15"/>
  <c r="H1421" i="15"/>
  <c r="A1422" i="15"/>
  <c r="B1422" i="15"/>
  <c r="C1422" i="15"/>
  <c r="D1422" i="15"/>
  <c r="E1422" i="15"/>
  <c r="F1422" i="15"/>
  <c r="G1422" i="15"/>
  <c r="H1422" i="15"/>
  <c r="A1423" i="15"/>
  <c r="B1423" i="15"/>
  <c r="C1423" i="15"/>
  <c r="D1423" i="15"/>
  <c r="E1423" i="15"/>
  <c r="F1423" i="15"/>
  <c r="G1423" i="15"/>
  <c r="H1423" i="15"/>
  <c r="A1424" i="15"/>
  <c r="B1424" i="15"/>
  <c r="C1424" i="15"/>
  <c r="D1424" i="15"/>
  <c r="E1424" i="15"/>
  <c r="F1424" i="15"/>
  <c r="G1424" i="15"/>
  <c r="H1424" i="15"/>
  <c r="A1425" i="15"/>
  <c r="B1425" i="15"/>
  <c r="C1425" i="15"/>
  <c r="D1425" i="15"/>
  <c r="E1425" i="15"/>
  <c r="F1425" i="15"/>
  <c r="G1425" i="15"/>
  <c r="H1425" i="15"/>
  <c r="A1426" i="15"/>
  <c r="B1426" i="15"/>
  <c r="C1426" i="15"/>
  <c r="D1426" i="15"/>
  <c r="E1426" i="15"/>
  <c r="F1426" i="15"/>
  <c r="G1426" i="15"/>
  <c r="H1426" i="15"/>
  <c r="A1427" i="15"/>
  <c r="B1427" i="15"/>
  <c r="C1427" i="15"/>
  <c r="D1427" i="15"/>
  <c r="E1427" i="15"/>
  <c r="F1427" i="15"/>
  <c r="G1427" i="15"/>
  <c r="H1427" i="15"/>
  <c r="A1428" i="15"/>
  <c r="B1428" i="15"/>
  <c r="C1428" i="15"/>
  <c r="D1428" i="15"/>
  <c r="E1428" i="15"/>
  <c r="F1428" i="15"/>
  <c r="G1428" i="15"/>
  <c r="H1428" i="15"/>
  <c r="A1429" i="15"/>
  <c r="B1429" i="15"/>
  <c r="C1429" i="15"/>
  <c r="D1429" i="15"/>
  <c r="E1429" i="15"/>
  <c r="F1429" i="15"/>
  <c r="G1429" i="15"/>
  <c r="H1429" i="15"/>
  <c r="A1430" i="15"/>
  <c r="B1430" i="15"/>
  <c r="C1430" i="15"/>
  <c r="D1430" i="15"/>
  <c r="E1430" i="15"/>
  <c r="F1430" i="15"/>
  <c r="G1430" i="15"/>
  <c r="H1430" i="15"/>
  <c r="A1431" i="15"/>
  <c r="B1431" i="15"/>
  <c r="C1431" i="15"/>
  <c r="D1431" i="15"/>
  <c r="E1431" i="15"/>
  <c r="F1431" i="15"/>
  <c r="G1431" i="15"/>
  <c r="H1431" i="15"/>
  <c r="A1432" i="15"/>
  <c r="B1432" i="15"/>
  <c r="C1432" i="15"/>
  <c r="D1432" i="15"/>
  <c r="E1432" i="15"/>
  <c r="F1432" i="15"/>
  <c r="G1432" i="15"/>
  <c r="H1432" i="15"/>
  <c r="A1433" i="15"/>
  <c r="B1433" i="15"/>
  <c r="C1433" i="15"/>
  <c r="D1433" i="15"/>
  <c r="E1433" i="15"/>
  <c r="F1433" i="15"/>
  <c r="G1433" i="15"/>
  <c r="H1433" i="15"/>
  <c r="A1434" i="15"/>
  <c r="B1434" i="15"/>
  <c r="C1434" i="15"/>
  <c r="D1434" i="15"/>
  <c r="E1434" i="15"/>
  <c r="F1434" i="15"/>
  <c r="G1434" i="15"/>
  <c r="H1434" i="15"/>
  <c r="A1435" i="15"/>
  <c r="B1435" i="15"/>
  <c r="C1435" i="15"/>
  <c r="D1435" i="15"/>
  <c r="E1435" i="15"/>
  <c r="F1435" i="15"/>
  <c r="G1435" i="15"/>
  <c r="H1435" i="15"/>
  <c r="A1436" i="15"/>
  <c r="B1436" i="15"/>
  <c r="C1436" i="15"/>
  <c r="D1436" i="15"/>
  <c r="E1436" i="15"/>
  <c r="F1436" i="15"/>
  <c r="G1436" i="15"/>
  <c r="H1436" i="15"/>
  <c r="A1437" i="15"/>
  <c r="B1437" i="15"/>
  <c r="C1437" i="15"/>
  <c r="D1437" i="15"/>
  <c r="E1437" i="15"/>
  <c r="F1437" i="15"/>
  <c r="G1437" i="15"/>
  <c r="H1437" i="15"/>
  <c r="A1438" i="15"/>
  <c r="B1438" i="15"/>
  <c r="C1438" i="15"/>
  <c r="D1438" i="15"/>
  <c r="E1438" i="15"/>
  <c r="F1438" i="15"/>
  <c r="G1438" i="15"/>
  <c r="H1438" i="15"/>
  <c r="A1439" i="15"/>
  <c r="B1439" i="15"/>
  <c r="C1439" i="15"/>
  <c r="D1439" i="15"/>
  <c r="E1439" i="15"/>
  <c r="F1439" i="15"/>
  <c r="G1439" i="15"/>
  <c r="H1439" i="15"/>
  <c r="A1440" i="15"/>
  <c r="B1440" i="15"/>
  <c r="C1440" i="15"/>
  <c r="D1440" i="15"/>
  <c r="E1440" i="15"/>
  <c r="F1440" i="15"/>
  <c r="G1440" i="15"/>
  <c r="H1440" i="15"/>
  <c r="A1441" i="15"/>
  <c r="B1441" i="15"/>
  <c r="C1441" i="15"/>
  <c r="D1441" i="15"/>
  <c r="E1441" i="15"/>
  <c r="F1441" i="15"/>
  <c r="G1441" i="15"/>
  <c r="H1441" i="15"/>
  <c r="A1442" i="15"/>
  <c r="B1442" i="15"/>
  <c r="C1442" i="15"/>
  <c r="D1442" i="15"/>
  <c r="E1442" i="15"/>
  <c r="F1442" i="15"/>
  <c r="G1442" i="15"/>
  <c r="H1442" i="15"/>
  <c r="A1443" i="15"/>
  <c r="B1443" i="15"/>
  <c r="C1443" i="15"/>
  <c r="D1443" i="15"/>
  <c r="E1443" i="15"/>
  <c r="F1443" i="15"/>
  <c r="G1443" i="15"/>
  <c r="H1443" i="15"/>
  <c r="A1444" i="15"/>
  <c r="B1444" i="15"/>
  <c r="C1444" i="15"/>
  <c r="D1444" i="15"/>
  <c r="E1444" i="15"/>
  <c r="F1444" i="15"/>
  <c r="G1444" i="15"/>
  <c r="H1444" i="15"/>
  <c r="A1445" i="15"/>
  <c r="B1445" i="15"/>
  <c r="C1445" i="15"/>
  <c r="D1445" i="15"/>
  <c r="E1445" i="15"/>
  <c r="F1445" i="15"/>
  <c r="G1445" i="15"/>
  <c r="H1445" i="15"/>
  <c r="A1446" i="15"/>
  <c r="B1446" i="15"/>
  <c r="C1446" i="15"/>
  <c r="D1446" i="15"/>
  <c r="E1446" i="15"/>
  <c r="F1446" i="15"/>
  <c r="G1446" i="15"/>
  <c r="H1446" i="15"/>
  <c r="A1447" i="15"/>
  <c r="B1447" i="15"/>
  <c r="C1447" i="15"/>
  <c r="D1447" i="15"/>
  <c r="E1447" i="15"/>
  <c r="F1447" i="15"/>
  <c r="G1447" i="15"/>
  <c r="H1447" i="15"/>
  <c r="A1448" i="15"/>
  <c r="B1448" i="15"/>
  <c r="C1448" i="15"/>
  <c r="D1448" i="15"/>
  <c r="E1448" i="15"/>
  <c r="F1448" i="15"/>
  <c r="G1448" i="15"/>
  <c r="H1448" i="15"/>
  <c r="A1449" i="15"/>
  <c r="B1449" i="15"/>
  <c r="C1449" i="15"/>
  <c r="D1449" i="15"/>
  <c r="E1449" i="15"/>
  <c r="F1449" i="15"/>
  <c r="G1449" i="15"/>
  <c r="H1449" i="15"/>
  <c r="A1450" i="15"/>
  <c r="B1450" i="15"/>
  <c r="C1450" i="15"/>
  <c r="D1450" i="15"/>
  <c r="E1450" i="15"/>
  <c r="F1450" i="15"/>
  <c r="G1450" i="15"/>
  <c r="H1450" i="15"/>
  <c r="A1451" i="15"/>
  <c r="B1451" i="15"/>
  <c r="C1451" i="15"/>
  <c r="D1451" i="15"/>
  <c r="E1451" i="15"/>
  <c r="F1451" i="15"/>
  <c r="G1451" i="15"/>
  <c r="H1451" i="15"/>
  <c r="A1452" i="15"/>
  <c r="B1452" i="15"/>
  <c r="C1452" i="15"/>
  <c r="D1452" i="15"/>
  <c r="E1452" i="15"/>
  <c r="F1452" i="15"/>
  <c r="G1452" i="15"/>
  <c r="H1452" i="15"/>
  <c r="A1453" i="15"/>
  <c r="B1453" i="15"/>
  <c r="C1453" i="15"/>
  <c r="D1453" i="15"/>
  <c r="E1453" i="15"/>
  <c r="F1453" i="15"/>
  <c r="G1453" i="15"/>
  <c r="H1453" i="15"/>
  <c r="A1454" i="15"/>
  <c r="B1454" i="15"/>
  <c r="C1454" i="15"/>
  <c r="D1454" i="15"/>
  <c r="E1454" i="15"/>
  <c r="F1454" i="15"/>
  <c r="G1454" i="15"/>
  <c r="H1454" i="15"/>
  <c r="A1455" i="15"/>
  <c r="B1455" i="15"/>
  <c r="C1455" i="15"/>
  <c r="D1455" i="15"/>
  <c r="E1455" i="15"/>
  <c r="F1455" i="15"/>
  <c r="G1455" i="15"/>
  <c r="H1455" i="15"/>
  <c r="A1456" i="15"/>
  <c r="B1456" i="15"/>
  <c r="C1456" i="15"/>
  <c r="D1456" i="15"/>
  <c r="E1456" i="15"/>
  <c r="F1456" i="15"/>
  <c r="G1456" i="15"/>
  <c r="H1456" i="15"/>
  <c r="A1457" i="15"/>
  <c r="B1457" i="15"/>
  <c r="C1457" i="15"/>
  <c r="D1457" i="15"/>
  <c r="E1457" i="15"/>
  <c r="F1457" i="15"/>
  <c r="G1457" i="15"/>
  <c r="H1457" i="15"/>
  <c r="A1458" i="15"/>
  <c r="B1458" i="15"/>
  <c r="C1458" i="15"/>
  <c r="D1458" i="15"/>
  <c r="E1458" i="15"/>
  <c r="F1458" i="15"/>
  <c r="G1458" i="15"/>
  <c r="H1458" i="15"/>
  <c r="A1459" i="15"/>
  <c r="B1459" i="15"/>
  <c r="C1459" i="15"/>
  <c r="D1459" i="15"/>
  <c r="E1459" i="15"/>
  <c r="F1459" i="15"/>
  <c r="G1459" i="15"/>
  <c r="H1459" i="15"/>
  <c r="A1460" i="15"/>
  <c r="B1460" i="15"/>
  <c r="C1460" i="15"/>
  <c r="D1460" i="15"/>
  <c r="E1460" i="15"/>
  <c r="F1460" i="15"/>
  <c r="G1460" i="15"/>
  <c r="H1460" i="15"/>
  <c r="A1461" i="15"/>
  <c r="B1461" i="15"/>
  <c r="C1461" i="15"/>
  <c r="D1461" i="15"/>
  <c r="E1461" i="15"/>
  <c r="F1461" i="15"/>
  <c r="G1461" i="15"/>
  <c r="H1461" i="15"/>
  <c r="A1462" i="15"/>
  <c r="B1462" i="15"/>
  <c r="C1462" i="15"/>
  <c r="D1462" i="15"/>
  <c r="E1462" i="15"/>
  <c r="F1462" i="15"/>
  <c r="G1462" i="15"/>
  <c r="H1462" i="15"/>
  <c r="A1463" i="15"/>
  <c r="B1463" i="15"/>
  <c r="C1463" i="15"/>
  <c r="D1463" i="15"/>
  <c r="E1463" i="15"/>
  <c r="F1463" i="15"/>
  <c r="G1463" i="15"/>
  <c r="H1463" i="15"/>
  <c r="A1464" i="15"/>
  <c r="B1464" i="15"/>
  <c r="C1464" i="15"/>
  <c r="D1464" i="15"/>
  <c r="E1464" i="15"/>
  <c r="F1464" i="15"/>
  <c r="G1464" i="15"/>
  <c r="H1464" i="15"/>
  <c r="A1465" i="15"/>
  <c r="B1465" i="15"/>
  <c r="C1465" i="15"/>
  <c r="D1465" i="15"/>
  <c r="E1465" i="15"/>
  <c r="F1465" i="15"/>
  <c r="G1465" i="15"/>
  <c r="H1465" i="15"/>
  <c r="A1466" i="15"/>
  <c r="B1466" i="15"/>
  <c r="C1466" i="15"/>
  <c r="D1466" i="15"/>
  <c r="E1466" i="15"/>
  <c r="F1466" i="15"/>
  <c r="G1466" i="15"/>
  <c r="H1466" i="15"/>
  <c r="A1467" i="15"/>
  <c r="B1467" i="15"/>
  <c r="C1467" i="15"/>
  <c r="D1467" i="15"/>
  <c r="E1467" i="15"/>
  <c r="F1467" i="15"/>
  <c r="G1467" i="15"/>
  <c r="H1467" i="15"/>
  <c r="A1468" i="15"/>
  <c r="B1468" i="15"/>
  <c r="C1468" i="15"/>
  <c r="D1468" i="15"/>
  <c r="E1468" i="15"/>
  <c r="F1468" i="15"/>
  <c r="G1468" i="15"/>
  <c r="H1468" i="15"/>
  <c r="A1469" i="15"/>
  <c r="B1469" i="15"/>
  <c r="C1469" i="15"/>
  <c r="D1469" i="15"/>
  <c r="E1469" i="15"/>
  <c r="F1469" i="15"/>
  <c r="G1469" i="15"/>
  <c r="H1469" i="15"/>
  <c r="A1470" i="15"/>
  <c r="B1470" i="15"/>
  <c r="C1470" i="15"/>
  <c r="D1470" i="15"/>
  <c r="E1470" i="15"/>
  <c r="F1470" i="15"/>
  <c r="G1470" i="15"/>
  <c r="H1470" i="15"/>
  <c r="A1471" i="15"/>
  <c r="B1471" i="15"/>
  <c r="C1471" i="15"/>
  <c r="D1471" i="15"/>
  <c r="E1471" i="15"/>
  <c r="F1471" i="15"/>
  <c r="G1471" i="15"/>
  <c r="H1471" i="15"/>
  <c r="A1472" i="15"/>
  <c r="B1472" i="15"/>
  <c r="C1472" i="15"/>
  <c r="D1472" i="15"/>
  <c r="E1472" i="15"/>
  <c r="F1472" i="15"/>
  <c r="G1472" i="15"/>
  <c r="H1472" i="15"/>
  <c r="A1473" i="15"/>
  <c r="B1473" i="15"/>
  <c r="C1473" i="15"/>
  <c r="D1473" i="15"/>
  <c r="E1473" i="15"/>
  <c r="F1473" i="15"/>
  <c r="G1473" i="15"/>
  <c r="H1473" i="15"/>
  <c r="A1474" i="15"/>
  <c r="B1474" i="15"/>
  <c r="C1474" i="15"/>
  <c r="D1474" i="15"/>
  <c r="E1474" i="15"/>
  <c r="F1474" i="15"/>
  <c r="G1474" i="15"/>
  <c r="H1474" i="15"/>
  <c r="A1475" i="15"/>
  <c r="B1475" i="15"/>
  <c r="C1475" i="15"/>
  <c r="D1475" i="15"/>
  <c r="E1475" i="15"/>
  <c r="F1475" i="15"/>
  <c r="G1475" i="15"/>
  <c r="H1475" i="15"/>
  <c r="A1476" i="15"/>
  <c r="B1476" i="15"/>
  <c r="C1476" i="15"/>
  <c r="D1476" i="15"/>
  <c r="E1476" i="15"/>
  <c r="F1476" i="15"/>
  <c r="G1476" i="15"/>
  <c r="H1476" i="15"/>
  <c r="A1477" i="15"/>
  <c r="B1477" i="15"/>
  <c r="C1477" i="15"/>
  <c r="D1477" i="15"/>
  <c r="E1477" i="15"/>
  <c r="F1477" i="15"/>
  <c r="G1477" i="15"/>
  <c r="H1477" i="15"/>
  <c r="A1478" i="15"/>
  <c r="B1478" i="15"/>
  <c r="C1478" i="15"/>
  <c r="D1478" i="15"/>
  <c r="E1478" i="15"/>
  <c r="F1478" i="15"/>
  <c r="G1478" i="15"/>
  <c r="H1478" i="15"/>
  <c r="A1479" i="15"/>
  <c r="B1479" i="15"/>
  <c r="C1479" i="15"/>
  <c r="D1479" i="15"/>
  <c r="E1479" i="15"/>
  <c r="F1479" i="15"/>
  <c r="G1479" i="15"/>
  <c r="H1479" i="15"/>
  <c r="A1480" i="15"/>
  <c r="B1480" i="15"/>
  <c r="C1480" i="15"/>
  <c r="D1480" i="15"/>
  <c r="E1480" i="15"/>
  <c r="F1480" i="15"/>
  <c r="G1480" i="15"/>
  <c r="H1480" i="15"/>
  <c r="A1481" i="15"/>
  <c r="B1481" i="15"/>
  <c r="C1481" i="15"/>
  <c r="D1481" i="15"/>
  <c r="E1481" i="15"/>
  <c r="F1481" i="15"/>
  <c r="G1481" i="15"/>
  <c r="H1481" i="15"/>
  <c r="A1482" i="15"/>
  <c r="B1482" i="15"/>
  <c r="C1482" i="15"/>
  <c r="D1482" i="15"/>
  <c r="E1482" i="15"/>
  <c r="F1482" i="15"/>
  <c r="G1482" i="15"/>
  <c r="H1482" i="15"/>
  <c r="A1483" i="15"/>
  <c r="B1483" i="15"/>
  <c r="C1483" i="15"/>
  <c r="D1483" i="15"/>
  <c r="E1483" i="15"/>
  <c r="F1483" i="15"/>
  <c r="G1483" i="15"/>
  <c r="H1483" i="15"/>
  <c r="A1484" i="15"/>
  <c r="B1484" i="15"/>
  <c r="C1484" i="15"/>
  <c r="D1484" i="15"/>
  <c r="E1484" i="15"/>
  <c r="F1484" i="15"/>
  <c r="G1484" i="15"/>
  <c r="H1484" i="15"/>
  <c r="A1485" i="15"/>
  <c r="B1485" i="15"/>
  <c r="C1485" i="15"/>
  <c r="D1485" i="15"/>
  <c r="E1485" i="15"/>
  <c r="F1485" i="15"/>
  <c r="G1485" i="15"/>
  <c r="H1485" i="15"/>
  <c r="A1486" i="15"/>
  <c r="B1486" i="15"/>
  <c r="C1486" i="15"/>
  <c r="D1486" i="15"/>
  <c r="E1486" i="15"/>
  <c r="F1486" i="15"/>
  <c r="G1486" i="15"/>
  <c r="H1486" i="15"/>
  <c r="A1487" i="15"/>
  <c r="B1487" i="15"/>
  <c r="C1487" i="15"/>
  <c r="D1487" i="15"/>
  <c r="E1487" i="15"/>
  <c r="F1487" i="15"/>
  <c r="G1487" i="15"/>
  <c r="H1487" i="15"/>
  <c r="A1488" i="15"/>
  <c r="B1488" i="15"/>
  <c r="C1488" i="15"/>
  <c r="D1488" i="15"/>
  <c r="E1488" i="15"/>
  <c r="F1488" i="15"/>
  <c r="G1488" i="15"/>
  <c r="H1488" i="15"/>
  <c r="A1489" i="15"/>
  <c r="B1489" i="15"/>
  <c r="C1489" i="15"/>
  <c r="D1489" i="15"/>
  <c r="E1489" i="15"/>
  <c r="F1489" i="15"/>
  <c r="G1489" i="15"/>
  <c r="H1489" i="15"/>
  <c r="A1490" i="15"/>
  <c r="B1490" i="15"/>
  <c r="C1490" i="15"/>
  <c r="D1490" i="15"/>
  <c r="E1490" i="15"/>
  <c r="F1490" i="15"/>
  <c r="G1490" i="15"/>
  <c r="H1490" i="15"/>
  <c r="A1491" i="15"/>
  <c r="B1491" i="15"/>
  <c r="C1491" i="15"/>
  <c r="D1491" i="15"/>
  <c r="E1491" i="15"/>
  <c r="F1491" i="15"/>
  <c r="G1491" i="15"/>
  <c r="H1491" i="15"/>
  <c r="A1492" i="15"/>
  <c r="B1492" i="15"/>
  <c r="C1492" i="15"/>
  <c r="D1492" i="15"/>
  <c r="E1492" i="15"/>
  <c r="F1492" i="15"/>
  <c r="G1492" i="15"/>
  <c r="H1492" i="15"/>
  <c r="A1493" i="15"/>
  <c r="B1493" i="15"/>
  <c r="C1493" i="15"/>
  <c r="D1493" i="15"/>
  <c r="E1493" i="15"/>
  <c r="F1493" i="15"/>
  <c r="G1493" i="15"/>
  <c r="H1493" i="15"/>
  <c r="A1494" i="15"/>
  <c r="B1494" i="15"/>
  <c r="C1494" i="15"/>
  <c r="D1494" i="15"/>
  <c r="E1494" i="15"/>
  <c r="F1494" i="15"/>
  <c r="G1494" i="15"/>
  <c r="H1494" i="15"/>
  <c r="A1495" i="15"/>
  <c r="B1495" i="15"/>
  <c r="C1495" i="15"/>
  <c r="D1495" i="15"/>
  <c r="E1495" i="15"/>
  <c r="F1495" i="15"/>
  <c r="G1495" i="15"/>
  <c r="H1495" i="15"/>
  <c r="A1496" i="15"/>
  <c r="B1496" i="15"/>
  <c r="C1496" i="15"/>
  <c r="D1496" i="15"/>
  <c r="E1496" i="15"/>
  <c r="F1496" i="15"/>
  <c r="G1496" i="15"/>
  <c r="H1496" i="15"/>
  <c r="A1497" i="15"/>
  <c r="B1497" i="15"/>
  <c r="C1497" i="15"/>
  <c r="D1497" i="15"/>
  <c r="E1497" i="15"/>
  <c r="F1497" i="15"/>
  <c r="G1497" i="15"/>
  <c r="H1497" i="15"/>
  <c r="A1498" i="15"/>
  <c r="B1498" i="15"/>
  <c r="C1498" i="15"/>
  <c r="D1498" i="15"/>
  <c r="E1498" i="15"/>
  <c r="F1498" i="15"/>
  <c r="G1498" i="15"/>
  <c r="H1498" i="15"/>
  <c r="A1499" i="15"/>
  <c r="B1499" i="15"/>
  <c r="C1499" i="15"/>
  <c r="D1499" i="15"/>
  <c r="E1499" i="15"/>
  <c r="F1499" i="15"/>
  <c r="G1499" i="15"/>
  <c r="H1499" i="15"/>
  <c r="A1500" i="15"/>
  <c r="B1500" i="15"/>
  <c r="C1500" i="15"/>
  <c r="D1500" i="15"/>
  <c r="E1500" i="15"/>
  <c r="F1500" i="15"/>
  <c r="G1500" i="15"/>
  <c r="H1500" i="15"/>
  <c r="A1501" i="15"/>
  <c r="B1501" i="15"/>
  <c r="C1501" i="15"/>
  <c r="D1501" i="15"/>
  <c r="E1501" i="15"/>
  <c r="F1501" i="15"/>
  <c r="G1501" i="15"/>
  <c r="H1501" i="15"/>
  <c r="A1502" i="15"/>
  <c r="B1502" i="15"/>
  <c r="C1502" i="15"/>
  <c r="D1502" i="15"/>
  <c r="E1502" i="15"/>
  <c r="F1502" i="15"/>
  <c r="G1502" i="15"/>
  <c r="H1502" i="15"/>
  <c r="A1503" i="15"/>
  <c r="B1503" i="15"/>
  <c r="C1503" i="15"/>
  <c r="D1503" i="15"/>
  <c r="E1503" i="15"/>
  <c r="F1503" i="15"/>
  <c r="G1503" i="15"/>
  <c r="H1503" i="15"/>
  <c r="A1504" i="15"/>
  <c r="B1504" i="15"/>
  <c r="C1504" i="15"/>
  <c r="D1504" i="15"/>
  <c r="E1504" i="15"/>
  <c r="F1504" i="15"/>
  <c r="G1504" i="15"/>
  <c r="H1504" i="15"/>
  <c r="A1505" i="15"/>
  <c r="B1505" i="15"/>
  <c r="C1505" i="15"/>
  <c r="D1505" i="15"/>
  <c r="E1505" i="15"/>
  <c r="F1505" i="15"/>
  <c r="G1505" i="15"/>
  <c r="H1505" i="15"/>
  <c r="A1506" i="15"/>
  <c r="B1506" i="15"/>
  <c r="C1506" i="15"/>
  <c r="D1506" i="15"/>
  <c r="E1506" i="15"/>
  <c r="F1506" i="15"/>
  <c r="G1506" i="15"/>
  <c r="H1506" i="15"/>
  <c r="A1507" i="15"/>
  <c r="B1507" i="15"/>
  <c r="C1507" i="15"/>
  <c r="D1507" i="15"/>
  <c r="E1507" i="15"/>
  <c r="F1507" i="15"/>
  <c r="G1507" i="15"/>
  <c r="H1507" i="15"/>
  <c r="A1508" i="15"/>
  <c r="B1508" i="15"/>
  <c r="C1508" i="15"/>
  <c r="D1508" i="15"/>
  <c r="E1508" i="15"/>
  <c r="F1508" i="15"/>
  <c r="G1508" i="15"/>
  <c r="H1508" i="15"/>
  <c r="A1509" i="15"/>
  <c r="B1509" i="15"/>
  <c r="C1509" i="15"/>
  <c r="D1509" i="15"/>
  <c r="E1509" i="15"/>
  <c r="F1509" i="15"/>
  <c r="G1509" i="15"/>
  <c r="H1509" i="15"/>
  <c r="A1510" i="15"/>
  <c r="B1510" i="15"/>
  <c r="C1510" i="15"/>
  <c r="D1510" i="15"/>
  <c r="E1510" i="15"/>
  <c r="F1510" i="15"/>
  <c r="G1510" i="15"/>
  <c r="H1510" i="15"/>
  <c r="A1511" i="15"/>
  <c r="B1511" i="15"/>
  <c r="C1511" i="15"/>
  <c r="D1511" i="15"/>
  <c r="E1511" i="15"/>
  <c r="F1511" i="15"/>
  <c r="G1511" i="15"/>
  <c r="H1511" i="15"/>
  <c r="A1512" i="15"/>
  <c r="B1512" i="15"/>
  <c r="C1512" i="15"/>
  <c r="D1512" i="15"/>
  <c r="E1512" i="15"/>
  <c r="F1512" i="15"/>
  <c r="G1512" i="15"/>
  <c r="H1512" i="15"/>
  <c r="A1513" i="15"/>
  <c r="B1513" i="15"/>
  <c r="C1513" i="15"/>
  <c r="D1513" i="15"/>
  <c r="E1513" i="15"/>
  <c r="F1513" i="15"/>
  <c r="G1513" i="15"/>
  <c r="H1513" i="15"/>
  <c r="A1514" i="15"/>
  <c r="B1514" i="15"/>
  <c r="C1514" i="15"/>
  <c r="D1514" i="15"/>
  <c r="E1514" i="15"/>
  <c r="F1514" i="15"/>
  <c r="G1514" i="15"/>
  <c r="H1514" i="15"/>
  <c r="A1515" i="15"/>
  <c r="B1515" i="15"/>
  <c r="C1515" i="15"/>
  <c r="D1515" i="15"/>
  <c r="E1515" i="15"/>
  <c r="F1515" i="15"/>
  <c r="G1515" i="15"/>
  <c r="H1515" i="15"/>
  <c r="A1516" i="15"/>
  <c r="B1516" i="15"/>
  <c r="C1516" i="15"/>
  <c r="D1516" i="15"/>
  <c r="E1516" i="15"/>
  <c r="F1516" i="15"/>
  <c r="G1516" i="15"/>
  <c r="H1516" i="15"/>
  <c r="A1517" i="15"/>
  <c r="B1517" i="15"/>
  <c r="C1517" i="15"/>
  <c r="D1517" i="15"/>
  <c r="E1517" i="15"/>
  <c r="F1517" i="15"/>
  <c r="G1517" i="15"/>
  <c r="H1517" i="15"/>
  <c r="A1518" i="15"/>
  <c r="B1518" i="15"/>
  <c r="C1518" i="15"/>
  <c r="D1518" i="15"/>
  <c r="E1518" i="15"/>
  <c r="F1518" i="15"/>
  <c r="G1518" i="15"/>
  <c r="H1518" i="15"/>
  <c r="A1519" i="15"/>
  <c r="B1519" i="15"/>
  <c r="C1519" i="15"/>
  <c r="D1519" i="15"/>
  <c r="E1519" i="15"/>
  <c r="F1519" i="15"/>
  <c r="G1519" i="15"/>
  <c r="H1519" i="15"/>
  <c r="A1520" i="15"/>
  <c r="B1520" i="15"/>
  <c r="C1520" i="15"/>
  <c r="D1520" i="15"/>
  <c r="E1520" i="15"/>
  <c r="F1520" i="15"/>
  <c r="G1520" i="15"/>
  <c r="H1520" i="15"/>
  <c r="A1521" i="15"/>
  <c r="B1521" i="15"/>
  <c r="C1521" i="15"/>
  <c r="D1521" i="15"/>
  <c r="E1521" i="15"/>
  <c r="F1521" i="15"/>
  <c r="G1521" i="15"/>
  <c r="H1521" i="15"/>
  <c r="A1522" i="15"/>
  <c r="B1522" i="15"/>
  <c r="C1522" i="15"/>
  <c r="D1522" i="15"/>
  <c r="E1522" i="15"/>
  <c r="F1522" i="15"/>
  <c r="G1522" i="15"/>
  <c r="H1522" i="15"/>
  <c r="A1523" i="15"/>
  <c r="B1523" i="15"/>
  <c r="C1523" i="15"/>
  <c r="D1523" i="15"/>
  <c r="E1523" i="15"/>
  <c r="F1523" i="15"/>
  <c r="G1523" i="15"/>
  <c r="H1523" i="15"/>
  <c r="A1524" i="15"/>
  <c r="B1524" i="15"/>
  <c r="C1524" i="15"/>
  <c r="D1524" i="15"/>
  <c r="E1524" i="15"/>
  <c r="F1524" i="15"/>
  <c r="G1524" i="15"/>
  <c r="H1524" i="15"/>
  <c r="A1525" i="15"/>
  <c r="B1525" i="15"/>
  <c r="C1525" i="15"/>
  <c r="D1525" i="15"/>
  <c r="E1525" i="15"/>
  <c r="F1525" i="15"/>
  <c r="G1525" i="15"/>
  <c r="H1525" i="15"/>
  <c r="A1526" i="15"/>
  <c r="B1526" i="15"/>
  <c r="C1526" i="15"/>
  <c r="D1526" i="15"/>
  <c r="E1526" i="15"/>
  <c r="F1526" i="15"/>
  <c r="G1526" i="15"/>
  <c r="H1526" i="15"/>
  <c r="A1527" i="15"/>
  <c r="B1527" i="15"/>
  <c r="C1527" i="15"/>
  <c r="D1527" i="15"/>
  <c r="E1527" i="15"/>
  <c r="F1527" i="15"/>
  <c r="G1527" i="15"/>
  <c r="H1527" i="15"/>
  <c r="A1528" i="15"/>
  <c r="B1528" i="15"/>
  <c r="C1528" i="15"/>
  <c r="D1528" i="15"/>
  <c r="E1528" i="15"/>
  <c r="F1528" i="15"/>
  <c r="G1528" i="15"/>
  <c r="H1528" i="15"/>
  <c r="A1529" i="15"/>
  <c r="B1529" i="15"/>
  <c r="C1529" i="15"/>
  <c r="D1529" i="15"/>
  <c r="E1529" i="15"/>
  <c r="F1529" i="15"/>
  <c r="G1529" i="15"/>
  <c r="H1529" i="15"/>
  <c r="A1530" i="15"/>
  <c r="B1530" i="15"/>
  <c r="C1530" i="15"/>
  <c r="D1530" i="15"/>
  <c r="E1530" i="15"/>
  <c r="F1530" i="15"/>
  <c r="G1530" i="15"/>
  <c r="H1530" i="15"/>
  <c r="A1531" i="15"/>
  <c r="B1531" i="15"/>
  <c r="C1531" i="15"/>
  <c r="D1531" i="15"/>
  <c r="E1531" i="15"/>
  <c r="F1531" i="15"/>
  <c r="G1531" i="15"/>
  <c r="H1531" i="15"/>
  <c r="A1532" i="15"/>
  <c r="B1532" i="15"/>
  <c r="C1532" i="15"/>
  <c r="D1532" i="15"/>
  <c r="E1532" i="15"/>
  <c r="F1532" i="15"/>
  <c r="G1532" i="15"/>
  <c r="H1532" i="15"/>
  <c r="A1533" i="15"/>
  <c r="B1533" i="15"/>
  <c r="C1533" i="15"/>
  <c r="D1533" i="15"/>
  <c r="E1533" i="15"/>
  <c r="F1533" i="15"/>
  <c r="G1533" i="15"/>
  <c r="H1533" i="15"/>
  <c r="A1534" i="15"/>
  <c r="B1534" i="15"/>
  <c r="C1534" i="15"/>
  <c r="D1534" i="15"/>
  <c r="E1534" i="15"/>
  <c r="F1534" i="15"/>
  <c r="G1534" i="15"/>
  <c r="H1534" i="15"/>
  <c r="A1535" i="15"/>
  <c r="B1535" i="15"/>
  <c r="C1535" i="15"/>
  <c r="D1535" i="15"/>
  <c r="E1535" i="15"/>
  <c r="F1535" i="15"/>
  <c r="G1535" i="15"/>
  <c r="H1535" i="15"/>
  <c r="A1536" i="15"/>
  <c r="B1536" i="15"/>
  <c r="C1536" i="15"/>
  <c r="D1536" i="15"/>
  <c r="E1536" i="15"/>
  <c r="F1536" i="15"/>
  <c r="G1536" i="15"/>
  <c r="H1536" i="15"/>
  <c r="A1537" i="15"/>
  <c r="B1537" i="15"/>
  <c r="C1537" i="15"/>
  <c r="D1537" i="15"/>
  <c r="E1537" i="15"/>
  <c r="F1537" i="15"/>
  <c r="G1537" i="15"/>
  <c r="H1537" i="15"/>
  <c r="A1538" i="15"/>
  <c r="B1538" i="15"/>
  <c r="C1538" i="15"/>
  <c r="D1538" i="15"/>
  <c r="E1538" i="15"/>
  <c r="F1538" i="15"/>
  <c r="G1538" i="15"/>
  <c r="H1538" i="15"/>
  <c r="A1539" i="15"/>
  <c r="B1539" i="15"/>
  <c r="C1539" i="15"/>
  <c r="D1539" i="15"/>
  <c r="E1539" i="15"/>
  <c r="F1539" i="15"/>
  <c r="G1539" i="15"/>
  <c r="H1539" i="15"/>
  <c r="A1540" i="15"/>
  <c r="B1540" i="15"/>
  <c r="C1540" i="15"/>
  <c r="D1540" i="15"/>
  <c r="E1540" i="15"/>
  <c r="F1540" i="15"/>
  <c r="G1540" i="15"/>
  <c r="H1540" i="15"/>
  <c r="A1541" i="15"/>
  <c r="B1541" i="15"/>
  <c r="C1541" i="15"/>
  <c r="D1541" i="15"/>
  <c r="E1541" i="15"/>
  <c r="F1541" i="15"/>
  <c r="G1541" i="15"/>
  <c r="H1541" i="15"/>
  <c r="A1542" i="15"/>
  <c r="B1542" i="15"/>
  <c r="C1542" i="15"/>
  <c r="D1542" i="15"/>
  <c r="E1542" i="15"/>
  <c r="F1542" i="15"/>
  <c r="G1542" i="15"/>
  <c r="H1542" i="15"/>
  <c r="A1543" i="15"/>
  <c r="B1543" i="15"/>
  <c r="C1543" i="15"/>
  <c r="D1543" i="15"/>
  <c r="E1543" i="15"/>
  <c r="F1543" i="15"/>
  <c r="G1543" i="15"/>
  <c r="H1543" i="15"/>
  <c r="A1544" i="15"/>
  <c r="B1544" i="15"/>
  <c r="C1544" i="15"/>
  <c r="D1544" i="15"/>
  <c r="E1544" i="15"/>
  <c r="F1544" i="15"/>
  <c r="G1544" i="15"/>
  <c r="H1544" i="15"/>
  <c r="A1545" i="15"/>
  <c r="B1545" i="15"/>
  <c r="C1545" i="15"/>
  <c r="D1545" i="15"/>
  <c r="E1545" i="15"/>
  <c r="F1545" i="15"/>
  <c r="G1545" i="15"/>
  <c r="H1545" i="15"/>
  <c r="A1546" i="15"/>
  <c r="B1546" i="15"/>
  <c r="C1546" i="15"/>
  <c r="D1546" i="15"/>
  <c r="E1546" i="15"/>
  <c r="F1546" i="15"/>
  <c r="G1546" i="15"/>
  <c r="H1546" i="15"/>
  <c r="A1547" i="15"/>
  <c r="B1547" i="15"/>
  <c r="C1547" i="15"/>
  <c r="D1547" i="15"/>
  <c r="E1547" i="15"/>
  <c r="F1547" i="15"/>
  <c r="G1547" i="15"/>
  <c r="H1547" i="15"/>
  <c r="A1548" i="15"/>
  <c r="B1548" i="15"/>
  <c r="C1548" i="15"/>
  <c r="D1548" i="15"/>
  <c r="E1548" i="15"/>
  <c r="F1548" i="15"/>
  <c r="G1548" i="15"/>
  <c r="H1548" i="15"/>
  <c r="A1549" i="15"/>
  <c r="B1549" i="15"/>
  <c r="C1549" i="15"/>
  <c r="D1549" i="15"/>
  <c r="E1549" i="15"/>
  <c r="F1549" i="15"/>
  <c r="G1549" i="15"/>
  <c r="H1549" i="15"/>
  <c r="A1550" i="15"/>
  <c r="B1550" i="15"/>
  <c r="C1550" i="15"/>
  <c r="D1550" i="15"/>
  <c r="E1550" i="15"/>
  <c r="F1550" i="15"/>
  <c r="G1550" i="15"/>
  <c r="H1550" i="15"/>
  <c r="A1551" i="15"/>
  <c r="B1551" i="15"/>
  <c r="C1551" i="15"/>
  <c r="D1551" i="15"/>
  <c r="E1551" i="15"/>
  <c r="F1551" i="15"/>
  <c r="G1551" i="15"/>
  <c r="H1551" i="15"/>
  <c r="A1552" i="15"/>
  <c r="B1552" i="15"/>
  <c r="C1552" i="15"/>
  <c r="D1552" i="15"/>
  <c r="E1552" i="15"/>
  <c r="F1552" i="15"/>
  <c r="G1552" i="15"/>
  <c r="H1552" i="15"/>
  <c r="A1553" i="15"/>
  <c r="B1553" i="15"/>
  <c r="C1553" i="15"/>
  <c r="D1553" i="15"/>
  <c r="E1553" i="15"/>
  <c r="F1553" i="15"/>
  <c r="G1553" i="15"/>
  <c r="H1553" i="15"/>
  <c r="A1554" i="15"/>
  <c r="B1554" i="15"/>
  <c r="C1554" i="15"/>
  <c r="D1554" i="15"/>
  <c r="E1554" i="15"/>
  <c r="F1554" i="15"/>
  <c r="G1554" i="15"/>
  <c r="H1554" i="15"/>
  <c r="A1555" i="15"/>
  <c r="B1555" i="15"/>
  <c r="C1555" i="15"/>
  <c r="D1555" i="15"/>
  <c r="E1555" i="15"/>
  <c r="F1555" i="15"/>
  <c r="G1555" i="15"/>
  <c r="H1555" i="15"/>
  <c r="A1556" i="15"/>
  <c r="B1556" i="15"/>
  <c r="C1556" i="15"/>
  <c r="D1556" i="15"/>
  <c r="E1556" i="15"/>
  <c r="F1556" i="15"/>
  <c r="G1556" i="15"/>
  <c r="H1556" i="15"/>
  <c r="A1557" i="15"/>
  <c r="B1557" i="15"/>
  <c r="C1557" i="15"/>
  <c r="D1557" i="15"/>
  <c r="E1557" i="15"/>
  <c r="F1557" i="15"/>
  <c r="G1557" i="15"/>
  <c r="H1557" i="15"/>
  <c r="A1558" i="15"/>
  <c r="B1558" i="15"/>
  <c r="C1558" i="15"/>
  <c r="D1558" i="15"/>
  <c r="E1558" i="15"/>
  <c r="F1558" i="15"/>
  <c r="G1558" i="15"/>
  <c r="H1558" i="15"/>
  <c r="A1559" i="15"/>
  <c r="B1559" i="15"/>
  <c r="C1559" i="15"/>
  <c r="D1559" i="15"/>
  <c r="E1559" i="15"/>
  <c r="F1559" i="15"/>
  <c r="G1559" i="15"/>
  <c r="H1559" i="15"/>
  <c r="A1560" i="15"/>
  <c r="B1560" i="15"/>
  <c r="C1560" i="15"/>
  <c r="D1560" i="15"/>
  <c r="E1560" i="15"/>
  <c r="F1560" i="15"/>
  <c r="G1560" i="15"/>
  <c r="H1560" i="15"/>
  <c r="A1561" i="15"/>
  <c r="B1561" i="15"/>
  <c r="C1561" i="15"/>
  <c r="D1561" i="15"/>
  <c r="E1561" i="15"/>
  <c r="F1561" i="15"/>
  <c r="G1561" i="15"/>
  <c r="H1561" i="15"/>
  <c r="A1562" i="15"/>
  <c r="B1562" i="15"/>
  <c r="C1562" i="15"/>
  <c r="D1562" i="15"/>
  <c r="E1562" i="15"/>
  <c r="F1562" i="15"/>
  <c r="G1562" i="15"/>
  <c r="H1562" i="15"/>
  <c r="A1563" i="15"/>
  <c r="B1563" i="15"/>
  <c r="C1563" i="15"/>
  <c r="D1563" i="15"/>
  <c r="E1563" i="15"/>
  <c r="F1563" i="15"/>
  <c r="G1563" i="15"/>
  <c r="H1563" i="15"/>
  <c r="A1564" i="15"/>
  <c r="B1564" i="15"/>
  <c r="C1564" i="15"/>
  <c r="D1564" i="15"/>
  <c r="E1564" i="15"/>
  <c r="F1564" i="15"/>
  <c r="G1564" i="15"/>
  <c r="H1564" i="15"/>
  <c r="A1565" i="15"/>
  <c r="B1565" i="15"/>
  <c r="C1565" i="15"/>
  <c r="D1565" i="15"/>
  <c r="E1565" i="15"/>
  <c r="F1565" i="15"/>
  <c r="G1565" i="15"/>
  <c r="H1565" i="15"/>
  <c r="A1566" i="15"/>
  <c r="B1566" i="15"/>
  <c r="C1566" i="15"/>
  <c r="D1566" i="15"/>
  <c r="E1566" i="15"/>
  <c r="F1566" i="15"/>
  <c r="G1566" i="15"/>
  <c r="H1566" i="15"/>
  <c r="A1567" i="15"/>
  <c r="B1567" i="15"/>
  <c r="C1567" i="15"/>
  <c r="D1567" i="15"/>
  <c r="E1567" i="15"/>
  <c r="F1567" i="15"/>
  <c r="G1567" i="15"/>
  <c r="H1567" i="15"/>
  <c r="A1568" i="15"/>
  <c r="B1568" i="15"/>
  <c r="C1568" i="15"/>
  <c r="D1568" i="15"/>
  <c r="E1568" i="15"/>
  <c r="F1568" i="15"/>
  <c r="G1568" i="15"/>
  <c r="H1568" i="15"/>
  <c r="A1569" i="15"/>
  <c r="B1569" i="15"/>
  <c r="C1569" i="15"/>
  <c r="D1569" i="15"/>
  <c r="E1569" i="15"/>
  <c r="F1569" i="15"/>
  <c r="G1569" i="15"/>
  <c r="H1569" i="15"/>
  <c r="A1570" i="15"/>
  <c r="B1570" i="15"/>
  <c r="C1570" i="15"/>
  <c r="D1570" i="15"/>
  <c r="E1570" i="15"/>
  <c r="F1570" i="15"/>
  <c r="G1570" i="15"/>
  <c r="H1570" i="15"/>
  <c r="A1571" i="15"/>
  <c r="B1571" i="15"/>
  <c r="C1571" i="15"/>
  <c r="D1571" i="15"/>
  <c r="E1571" i="15"/>
  <c r="F1571" i="15"/>
  <c r="G1571" i="15"/>
  <c r="H1571" i="15"/>
  <c r="A1572" i="15"/>
  <c r="B1572" i="15"/>
  <c r="C1572" i="15"/>
  <c r="D1572" i="15"/>
  <c r="E1572" i="15"/>
  <c r="F1572" i="15"/>
  <c r="G1572" i="15"/>
  <c r="H1572" i="15"/>
  <c r="A1573" i="15"/>
  <c r="B1573" i="15"/>
  <c r="C1573" i="15"/>
  <c r="D1573" i="15"/>
  <c r="E1573" i="15"/>
  <c r="F1573" i="15"/>
  <c r="G1573" i="15"/>
  <c r="H1573" i="15"/>
  <c r="A1574" i="15"/>
  <c r="B1574" i="15"/>
  <c r="C1574" i="15"/>
  <c r="D1574" i="15"/>
  <c r="E1574" i="15"/>
  <c r="F1574" i="15"/>
  <c r="G1574" i="15"/>
  <c r="H1574" i="15"/>
  <c r="A1575" i="15"/>
  <c r="B1575" i="15"/>
  <c r="C1575" i="15"/>
  <c r="D1575" i="15"/>
  <c r="E1575" i="15"/>
  <c r="F1575" i="15"/>
  <c r="G1575" i="15"/>
  <c r="H1575" i="15"/>
  <c r="A1576" i="15"/>
  <c r="B1576" i="15"/>
  <c r="C1576" i="15"/>
  <c r="D1576" i="15"/>
  <c r="E1576" i="15"/>
  <c r="F1576" i="15"/>
  <c r="G1576" i="15"/>
  <c r="H1576" i="15"/>
  <c r="A1577" i="15"/>
  <c r="B1577" i="15"/>
  <c r="C1577" i="15"/>
  <c r="D1577" i="15"/>
  <c r="E1577" i="15"/>
  <c r="F1577" i="15"/>
  <c r="G1577" i="15"/>
  <c r="H1577" i="15"/>
  <c r="A1578" i="15"/>
  <c r="B1578" i="15"/>
  <c r="C1578" i="15"/>
  <c r="D1578" i="15"/>
  <c r="E1578" i="15"/>
  <c r="F1578" i="15"/>
  <c r="G1578" i="15"/>
  <c r="H1578" i="15"/>
  <c r="A1579" i="15"/>
  <c r="B1579" i="15"/>
  <c r="C1579" i="15"/>
  <c r="D1579" i="15"/>
  <c r="E1579" i="15"/>
  <c r="F1579" i="15"/>
  <c r="G1579" i="15"/>
  <c r="H1579" i="15"/>
  <c r="A1580" i="15"/>
  <c r="B1580" i="15"/>
  <c r="C1580" i="15"/>
  <c r="D1580" i="15"/>
  <c r="E1580" i="15"/>
  <c r="F1580" i="15"/>
  <c r="G1580" i="15"/>
  <c r="H1580" i="15"/>
  <c r="A1581" i="15"/>
  <c r="B1581" i="15"/>
  <c r="C1581" i="15"/>
  <c r="D1581" i="15"/>
  <c r="E1581" i="15"/>
  <c r="F1581" i="15"/>
  <c r="G1581" i="15"/>
  <c r="H1581" i="15"/>
  <c r="A1582" i="15"/>
  <c r="B1582" i="15"/>
  <c r="C1582" i="15"/>
  <c r="D1582" i="15"/>
  <c r="E1582" i="15"/>
  <c r="F1582" i="15"/>
  <c r="G1582" i="15"/>
  <c r="H1582" i="15"/>
  <c r="A1583" i="15"/>
  <c r="B1583" i="15"/>
  <c r="C1583" i="15"/>
  <c r="D1583" i="15"/>
  <c r="E1583" i="15"/>
  <c r="F1583" i="15"/>
  <c r="G1583" i="15"/>
  <c r="H1583" i="15"/>
  <c r="A1584" i="15"/>
  <c r="B1584" i="15"/>
  <c r="C1584" i="15"/>
  <c r="D1584" i="15"/>
  <c r="E1584" i="15"/>
  <c r="F1584" i="15"/>
  <c r="G1584" i="15"/>
  <c r="H1584" i="15"/>
  <c r="A1585" i="15"/>
  <c r="B1585" i="15"/>
  <c r="C1585" i="15"/>
  <c r="D1585" i="15"/>
  <c r="E1585" i="15"/>
  <c r="F1585" i="15"/>
  <c r="G1585" i="15"/>
  <c r="H1585" i="15"/>
  <c r="A1586" i="15"/>
  <c r="B1586" i="15"/>
  <c r="C1586" i="15"/>
  <c r="D1586" i="15"/>
  <c r="E1586" i="15"/>
  <c r="F1586" i="15"/>
  <c r="G1586" i="15"/>
  <c r="H1586" i="15"/>
  <c r="A1587" i="15"/>
  <c r="B1587" i="15"/>
  <c r="C1587" i="15"/>
  <c r="D1587" i="15"/>
  <c r="E1587" i="15"/>
  <c r="F1587" i="15"/>
  <c r="G1587" i="15"/>
  <c r="H1587" i="15"/>
  <c r="A1588" i="15"/>
  <c r="B1588" i="15"/>
  <c r="C1588" i="15"/>
  <c r="D1588" i="15"/>
  <c r="E1588" i="15"/>
  <c r="F1588" i="15"/>
  <c r="G1588" i="15"/>
  <c r="H1588" i="15"/>
  <c r="A1589" i="15"/>
  <c r="B1589" i="15"/>
  <c r="C1589" i="15"/>
  <c r="D1589" i="15"/>
  <c r="E1589" i="15"/>
  <c r="F1589" i="15"/>
  <c r="G1589" i="15"/>
  <c r="H1589" i="15"/>
  <c r="A1590" i="15"/>
  <c r="B1590" i="15"/>
  <c r="C1590" i="15"/>
  <c r="D1590" i="15"/>
  <c r="E1590" i="15"/>
  <c r="F1590" i="15"/>
  <c r="G1590" i="15"/>
  <c r="H1590" i="15"/>
  <c r="A1591" i="15"/>
  <c r="B1591" i="15"/>
  <c r="C1591" i="15"/>
  <c r="D1591" i="15"/>
  <c r="E1591" i="15"/>
  <c r="F1591" i="15"/>
  <c r="G1591" i="15"/>
  <c r="H1591" i="15"/>
  <c r="A1592" i="15"/>
  <c r="B1592" i="15"/>
  <c r="C1592" i="15"/>
  <c r="D1592" i="15"/>
  <c r="E1592" i="15"/>
  <c r="F1592" i="15"/>
  <c r="G1592" i="15"/>
  <c r="H1592" i="15"/>
  <c r="A1593" i="15"/>
  <c r="B1593" i="15"/>
  <c r="C1593" i="15"/>
  <c r="D1593" i="15"/>
  <c r="E1593" i="15"/>
  <c r="F1593" i="15"/>
  <c r="G1593" i="15"/>
  <c r="H1593" i="15"/>
  <c r="A1594" i="15"/>
  <c r="B1594" i="15"/>
  <c r="C1594" i="15"/>
  <c r="D1594" i="15"/>
  <c r="E1594" i="15"/>
  <c r="F1594" i="15"/>
  <c r="G1594" i="15"/>
  <c r="H1594" i="15"/>
  <c r="A1595" i="15"/>
  <c r="B1595" i="15"/>
  <c r="C1595" i="15"/>
  <c r="D1595" i="15"/>
  <c r="E1595" i="15"/>
  <c r="F1595" i="15"/>
  <c r="G1595" i="15"/>
  <c r="H1595" i="15"/>
  <c r="A1596" i="15"/>
  <c r="B1596" i="15"/>
  <c r="C1596" i="15"/>
  <c r="D1596" i="15"/>
  <c r="E1596" i="15"/>
  <c r="F1596" i="15"/>
  <c r="G1596" i="15"/>
  <c r="H1596" i="15"/>
  <c r="A1597" i="15"/>
  <c r="B1597" i="15"/>
  <c r="C1597" i="15"/>
  <c r="D1597" i="15"/>
  <c r="E1597" i="15"/>
  <c r="F1597" i="15"/>
  <c r="G1597" i="15"/>
  <c r="H1597" i="15"/>
  <c r="A1598" i="15"/>
  <c r="B1598" i="15"/>
  <c r="C1598" i="15"/>
  <c r="D1598" i="15"/>
  <c r="E1598" i="15"/>
  <c r="F1598" i="15"/>
  <c r="G1598" i="15"/>
  <c r="H1598" i="15"/>
  <c r="A1599" i="15"/>
  <c r="B1599" i="15"/>
  <c r="C1599" i="15"/>
  <c r="D1599" i="15"/>
  <c r="E1599" i="15"/>
  <c r="F1599" i="15"/>
  <c r="G1599" i="15"/>
  <c r="H1599" i="15"/>
  <c r="A1600" i="15"/>
  <c r="B1600" i="15"/>
  <c r="C1600" i="15"/>
  <c r="D1600" i="15"/>
  <c r="E1600" i="15"/>
  <c r="F1600" i="15"/>
  <c r="G1600" i="15"/>
  <c r="H1600" i="15"/>
  <c r="A1601" i="15"/>
  <c r="B1601" i="15"/>
  <c r="C1601" i="15"/>
  <c r="D1601" i="15"/>
  <c r="E1601" i="15"/>
  <c r="F1601" i="15"/>
  <c r="G1601" i="15"/>
  <c r="H1601" i="15"/>
  <c r="A1602" i="15"/>
  <c r="B1602" i="15"/>
  <c r="C1602" i="15"/>
  <c r="D1602" i="15"/>
  <c r="E1602" i="15"/>
  <c r="F1602" i="15"/>
  <c r="G1602" i="15"/>
  <c r="H1602" i="15"/>
  <c r="A1603" i="15"/>
  <c r="B1603" i="15"/>
  <c r="C1603" i="15"/>
  <c r="D1603" i="15"/>
  <c r="E1603" i="15"/>
  <c r="F1603" i="15"/>
  <c r="G1603" i="15"/>
  <c r="H1603" i="15"/>
  <c r="A1604" i="15"/>
  <c r="B1604" i="15"/>
  <c r="C1604" i="15"/>
  <c r="D1604" i="15"/>
  <c r="E1604" i="15"/>
  <c r="F1604" i="15"/>
  <c r="G1604" i="15"/>
  <c r="H1604" i="15"/>
  <c r="A1605" i="15"/>
  <c r="B1605" i="15"/>
  <c r="C1605" i="15"/>
  <c r="D1605" i="15"/>
  <c r="E1605" i="15"/>
  <c r="F1605" i="15"/>
  <c r="G1605" i="15"/>
  <c r="H1605" i="15"/>
  <c r="S678" i="13"/>
  <c r="T678" i="13" s="1"/>
  <c r="T712" i="13"/>
  <c r="T694" i="13"/>
  <c r="T695" i="13"/>
  <c r="T696" i="13"/>
  <c r="T697" i="13"/>
  <c r="T698" i="13"/>
  <c r="T699" i="13"/>
  <c r="T700" i="13"/>
  <c r="T701" i="13"/>
  <c r="T702" i="13"/>
  <c r="T703" i="13"/>
  <c r="T704" i="13"/>
  <c r="T705" i="13"/>
  <c r="T706" i="13"/>
  <c r="T693" i="13"/>
  <c r="S675" i="13"/>
  <c r="T675" i="13" s="1"/>
  <c r="T615" i="13"/>
  <c r="S462" i="13"/>
  <c r="T462" i="13" s="1"/>
  <c r="AA513" i="13"/>
  <c r="S652" i="13"/>
  <c r="T652" i="13" s="1"/>
  <c r="S651" i="13"/>
  <c r="T651" i="13" s="1"/>
  <c r="T586" i="13"/>
  <c r="S649" i="13"/>
  <c r="T649" i="13" s="1"/>
  <c r="S656" i="13"/>
  <c r="T656" i="13" s="1"/>
  <c r="S650" i="13"/>
  <c r="T650" i="13" s="1"/>
  <c r="S546" i="13"/>
  <c r="T546" i="13" s="1"/>
  <c r="S542" i="13"/>
  <c r="T542" i="13" s="1"/>
  <c r="T541" i="13"/>
  <c r="S642" i="13"/>
  <c r="T642" i="13" s="1"/>
  <c r="S624" i="13"/>
  <c r="T624" i="13" s="1"/>
  <c r="S638" i="13"/>
  <c r="T638" i="13" s="1"/>
  <c r="S621" i="13"/>
  <c r="T621" i="13" s="1"/>
  <c r="S636" i="13"/>
  <c r="T636" i="13" s="1"/>
  <c r="T190" i="13"/>
  <c r="S612" i="13"/>
  <c r="T612" i="13" s="1"/>
  <c r="S622" i="13"/>
  <c r="T622" i="13" s="1"/>
  <c r="T232" i="13"/>
  <c r="A612" i="13"/>
  <c r="A598" i="15" s="1"/>
  <c r="A613" i="13"/>
  <c r="A599" i="15" s="1"/>
  <c r="A614" i="13"/>
  <c r="A600" i="15" s="1"/>
  <c r="A615" i="13"/>
  <c r="A601" i="15" s="1"/>
  <c r="A616" i="13"/>
  <c r="A602" i="15" s="1"/>
  <c r="A617" i="13"/>
  <c r="A603" i="15" s="1"/>
  <c r="A618" i="13"/>
  <c r="A604" i="15" s="1"/>
  <c r="A619" i="13"/>
  <c r="A605" i="15" s="1"/>
  <c r="A620" i="13"/>
  <c r="A606" i="15" s="1"/>
  <c r="A621" i="13"/>
  <c r="A607" i="15" s="1"/>
  <c r="A622" i="13"/>
  <c r="A608" i="15" s="1"/>
  <c r="A623" i="13"/>
  <c r="A609" i="15" s="1"/>
  <c r="A624" i="13"/>
  <c r="A610" i="15" s="1"/>
  <c r="A625" i="13"/>
  <c r="A611" i="15" s="1"/>
  <c r="A626" i="13"/>
  <c r="A612" i="15" s="1"/>
  <c r="A627" i="13"/>
  <c r="A613" i="15" s="1"/>
  <c r="A628" i="13"/>
  <c r="A614" i="15" s="1"/>
  <c r="A629" i="13"/>
  <c r="A615" i="15" s="1"/>
  <c r="A630" i="13"/>
  <c r="A616" i="15" s="1"/>
  <c r="A631" i="13"/>
  <c r="A617" i="15" s="1"/>
  <c r="A632" i="13"/>
  <c r="A618" i="15" s="1"/>
  <c r="A633" i="13"/>
  <c r="A619" i="15" s="1"/>
  <c r="A634" i="13"/>
  <c r="A620" i="15" s="1"/>
  <c r="A635" i="13"/>
  <c r="A621" i="15" s="1"/>
  <c r="A636" i="13"/>
  <c r="A622" i="15" s="1"/>
  <c r="A637" i="13"/>
  <c r="A623" i="15" s="1"/>
  <c r="A638" i="13"/>
  <c r="A624" i="15" s="1"/>
  <c r="A639" i="13"/>
  <c r="A625" i="15" s="1"/>
  <c r="A640" i="13"/>
  <c r="A626" i="15" s="1"/>
  <c r="A641" i="13"/>
  <c r="A627" i="15" s="1"/>
  <c r="A642" i="13"/>
  <c r="A628" i="15" s="1"/>
  <c r="A643" i="13"/>
  <c r="A629" i="15" s="1"/>
  <c r="A644" i="13"/>
  <c r="A630" i="15" s="1"/>
  <c r="A645" i="13"/>
  <c r="A631" i="15" s="1"/>
  <c r="A646" i="13"/>
  <c r="A632" i="15" s="1"/>
  <c r="A647" i="13"/>
  <c r="A633" i="15" s="1"/>
  <c r="A648" i="13"/>
  <c r="A634" i="15" s="1"/>
  <c r="A649" i="13"/>
  <c r="A635" i="15" s="1"/>
  <c r="A650" i="13"/>
  <c r="A636" i="15" s="1"/>
  <c r="A651" i="13"/>
  <c r="A637" i="15" s="1"/>
  <c r="A652" i="13"/>
  <c r="A638" i="15" s="1"/>
  <c r="A653" i="13"/>
  <c r="A639" i="15" s="1"/>
  <c r="A654" i="13"/>
  <c r="A640" i="15" s="1"/>
  <c r="A655" i="13"/>
  <c r="A641" i="15" s="1"/>
  <c r="A656" i="13"/>
  <c r="A642" i="15" s="1"/>
  <c r="A657" i="13"/>
  <c r="A643" i="15" s="1"/>
  <c r="A658" i="13"/>
  <c r="A644" i="15" s="1"/>
  <c r="A659" i="13"/>
  <c r="A645" i="15" s="1"/>
  <c r="A660" i="13"/>
  <c r="A646" i="15" s="1"/>
  <c r="A661" i="13"/>
  <c r="A647" i="15" s="1"/>
  <c r="A662" i="13"/>
  <c r="A648" i="15" s="1"/>
  <c r="A663" i="13"/>
  <c r="A649" i="15" s="1"/>
  <c r="A664" i="13"/>
  <c r="A650" i="15" s="1"/>
  <c r="A665" i="13"/>
  <c r="A651" i="15" s="1"/>
  <c r="A666" i="13"/>
  <c r="A652" i="15" s="1"/>
  <c r="A667" i="13"/>
  <c r="A653" i="15" s="1"/>
  <c r="A668" i="13"/>
  <c r="A654" i="15" s="1"/>
  <c r="A669" i="13"/>
  <c r="A655" i="15" s="1"/>
  <c r="A670" i="13"/>
  <c r="A656" i="15" s="1"/>
  <c r="A671" i="13"/>
  <c r="A657" i="15" s="1"/>
  <c r="A672" i="13"/>
  <c r="A658" i="15" s="1"/>
  <c r="A673" i="13"/>
  <c r="A659" i="15" s="1"/>
  <c r="A674" i="13"/>
  <c r="A660" i="15" s="1"/>
  <c r="A675" i="13"/>
  <c r="A661" i="15" s="1"/>
  <c r="A676" i="13"/>
  <c r="A662" i="15" s="1"/>
  <c r="A677" i="13"/>
  <c r="A663" i="15" s="1"/>
  <c r="A678" i="13"/>
  <c r="A664" i="15" s="1"/>
  <c r="A679" i="13"/>
  <c r="A665" i="15" s="1"/>
  <c r="A680" i="13"/>
  <c r="A666" i="15" s="1"/>
  <c r="A681" i="13"/>
  <c r="A667" i="15" s="1"/>
  <c r="A682" i="13"/>
  <c r="A668" i="15" s="1"/>
  <c r="A683" i="13"/>
  <c r="A669" i="15" s="1"/>
  <c r="A684" i="13"/>
  <c r="A670" i="15" s="1"/>
  <c r="A685" i="13"/>
  <c r="A671" i="15" s="1"/>
  <c r="A686" i="13"/>
  <c r="A672" i="15" s="1"/>
  <c r="A687" i="13"/>
  <c r="A673" i="15" s="1"/>
  <c r="A688" i="13"/>
  <c r="A674" i="15" s="1"/>
  <c r="A689" i="13"/>
  <c r="A675" i="15" s="1"/>
  <c r="A690" i="13"/>
  <c r="A676" i="15" s="1"/>
  <c r="A691" i="13"/>
  <c r="A677" i="15" s="1"/>
  <c r="A692" i="13"/>
  <c r="A678" i="15" s="1"/>
  <c r="A693" i="13"/>
  <c r="A679" i="15" s="1"/>
  <c r="A694" i="13"/>
  <c r="A680" i="15" s="1"/>
  <c r="A695" i="13"/>
  <c r="A681" i="15" s="1"/>
  <c r="A696" i="13"/>
  <c r="A682" i="15" s="1"/>
  <c r="A697" i="13"/>
  <c r="A683" i="15" s="1"/>
  <c r="A698" i="13"/>
  <c r="A684" i="15" s="1"/>
  <c r="A699" i="13"/>
  <c r="A685" i="15" s="1"/>
  <c r="A700" i="13"/>
  <c r="A686" i="15" s="1"/>
  <c r="A701" i="13"/>
  <c r="A687" i="15" s="1"/>
  <c r="A702" i="13"/>
  <c r="A688" i="15" s="1"/>
  <c r="A703" i="13"/>
  <c r="A689" i="15" s="1"/>
  <c r="A704" i="13"/>
  <c r="A690" i="15" s="1"/>
  <c r="A705" i="13"/>
  <c r="A691" i="15" s="1"/>
  <c r="A706" i="13"/>
  <c r="A692" i="15" s="1"/>
  <c r="A707" i="13"/>
  <c r="A693" i="15" s="1"/>
  <c r="A708" i="13"/>
  <c r="A694" i="15" s="1"/>
  <c r="S597" i="13"/>
  <c r="T597" i="13" s="1"/>
  <c r="A336" i="13"/>
  <c r="A323" i="15" s="1"/>
  <c r="AA612" i="13"/>
  <c r="AF612" i="13"/>
  <c r="T613" i="13"/>
  <c r="AA613" i="13"/>
  <c r="AF613" i="13"/>
  <c r="T614" i="13"/>
  <c r="AA614" i="13"/>
  <c r="AF614" i="13"/>
  <c r="AF615" i="13"/>
  <c r="T616" i="13"/>
  <c r="AA616" i="13"/>
  <c r="AF616" i="13"/>
  <c r="T617" i="13"/>
  <c r="AA617" i="13"/>
  <c r="AF617" i="13"/>
  <c r="T618" i="13"/>
  <c r="AA618" i="13"/>
  <c r="AF618" i="13"/>
  <c r="T619" i="13"/>
  <c r="AA619" i="13"/>
  <c r="AF619" i="13"/>
  <c r="T620" i="13"/>
  <c r="AA620" i="13"/>
  <c r="AF620" i="13"/>
  <c r="AA621" i="13"/>
  <c r="AF621" i="13"/>
  <c r="AA622" i="13"/>
  <c r="AF622" i="13"/>
  <c r="T623" i="13"/>
  <c r="AA623" i="13"/>
  <c r="AF623" i="13"/>
  <c r="AA624" i="13"/>
  <c r="AF624" i="13"/>
  <c r="T625" i="13"/>
  <c r="AA625" i="13"/>
  <c r="AF625" i="13"/>
  <c r="T626" i="13"/>
  <c r="AA626" i="13"/>
  <c r="AF626" i="13"/>
  <c r="T627" i="13"/>
  <c r="AA627" i="13"/>
  <c r="AF627" i="13"/>
  <c r="T628" i="13"/>
  <c r="AA628" i="13"/>
  <c r="AF628" i="13"/>
  <c r="T629" i="13"/>
  <c r="AA629" i="13"/>
  <c r="AF629" i="13"/>
  <c r="T630" i="13"/>
  <c r="AA630" i="13"/>
  <c r="AF630" i="13"/>
  <c r="T631" i="13"/>
  <c r="AA631" i="13"/>
  <c r="AF631" i="13"/>
  <c r="T632" i="13"/>
  <c r="AA632" i="13"/>
  <c r="AF632" i="13"/>
  <c r="T633" i="13"/>
  <c r="AA633" i="13"/>
  <c r="AF633" i="13"/>
  <c r="T634" i="13"/>
  <c r="AA634" i="13"/>
  <c r="AF634" i="13"/>
  <c r="T635" i="13"/>
  <c r="AA635" i="13"/>
  <c r="AF635" i="13"/>
  <c r="AA636" i="13"/>
  <c r="AF636" i="13"/>
  <c r="T637" i="13"/>
  <c r="AA637" i="13"/>
  <c r="AF637" i="13"/>
  <c r="AA638" i="13"/>
  <c r="AF638" i="13"/>
  <c r="T639" i="13"/>
  <c r="AA639" i="13"/>
  <c r="AF639" i="13"/>
  <c r="T640" i="13"/>
  <c r="AA640" i="13"/>
  <c r="AF640" i="13"/>
  <c r="T641" i="13"/>
  <c r="AA641" i="13"/>
  <c r="AF641" i="13"/>
  <c r="AA642" i="13"/>
  <c r="AF642" i="13"/>
  <c r="T643" i="13"/>
  <c r="AA643" i="13"/>
  <c r="AF643" i="13"/>
  <c r="T644" i="13"/>
  <c r="AA644" i="13"/>
  <c r="AF644" i="13"/>
  <c r="T645" i="13"/>
  <c r="AA645" i="13"/>
  <c r="AF645" i="13"/>
  <c r="T646" i="13"/>
  <c r="AA646" i="13"/>
  <c r="AF646" i="13"/>
  <c r="T647" i="13"/>
  <c r="AA647" i="13"/>
  <c r="AF647" i="13"/>
  <c r="T648" i="13"/>
  <c r="AA648" i="13"/>
  <c r="AF648" i="13"/>
  <c r="AA649" i="13"/>
  <c r="AF649" i="13"/>
  <c r="AA650" i="13"/>
  <c r="AF650" i="13"/>
  <c r="AA651" i="13"/>
  <c r="AF651" i="13"/>
  <c r="AA652" i="13"/>
  <c r="AF652" i="13"/>
  <c r="T653" i="13"/>
  <c r="AA653" i="13"/>
  <c r="AF653" i="13"/>
  <c r="T654" i="13"/>
  <c r="AA654" i="13"/>
  <c r="AF654" i="13"/>
  <c r="AA655" i="13"/>
  <c r="AF655" i="13"/>
  <c r="AA656" i="13"/>
  <c r="AF656" i="13"/>
  <c r="T657" i="13"/>
  <c r="AA657" i="13"/>
  <c r="AF657" i="13"/>
  <c r="T658" i="13"/>
  <c r="AA658" i="13"/>
  <c r="AF658" i="13"/>
  <c r="T659" i="13"/>
  <c r="AA659" i="13"/>
  <c r="AF659" i="13"/>
  <c r="T660" i="13"/>
  <c r="AA660" i="13"/>
  <c r="AF660" i="13"/>
  <c r="T661" i="13"/>
  <c r="AA661" i="13"/>
  <c r="AF661" i="13"/>
  <c r="T662" i="13"/>
  <c r="AA662" i="13"/>
  <c r="AF662" i="13"/>
  <c r="T663" i="13"/>
  <c r="AA663" i="13"/>
  <c r="AF663" i="13"/>
  <c r="T664" i="13"/>
  <c r="AA664" i="13"/>
  <c r="AF664" i="13"/>
  <c r="T665" i="13"/>
  <c r="AA665" i="13"/>
  <c r="AF665" i="13"/>
  <c r="T666" i="13"/>
  <c r="AA666" i="13"/>
  <c r="AF666" i="13"/>
  <c r="T667" i="13"/>
  <c r="AA667" i="13"/>
  <c r="AF667" i="13"/>
  <c r="T668" i="13"/>
  <c r="AA668" i="13"/>
  <c r="AF668" i="13"/>
  <c r="T669" i="13"/>
  <c r="AA669" i="13"/>
  <c r="AF669" i="13"/>
  <c r="T670" i="13"/>
  <c r="AA670" i="13"/>
  <c r="AF670" i="13"/>
  <c r="T671" i="13"/>
  <c r="AA671" i="13"/>
  <c r="AF671" i="13"/>
  <c r="T672" i="13"/>
  <c r="AA672" i="13"/>
  <c r="AF672" i="13"/>
  <c r="T673" i="13"/>
  <c r="AA673" i="13"/>
  <c r="AF673" i="13"/>
  <c r="T674" i="13"/>
  <c r="AA674" i="13"/>
  <c r="AF674" i="13"/>
  <c r="AA675" i="13"/>
  <c r="AF675" i="13"/>
  <c r="T676" i="13"/>
  <c r="AA676" i="13"/>
  <c r="AF676" i="13"/>
  <c r="T677" i="13"/>
  <c r="AA677" i="13"/>
  <c r="AF677" i="13"/>
  <c r="AA678" i="13"/>
  <c r="AF678" i="13"/>
  <c r="T679" i="13"/>
  <c r="AA679" i="13"/>
  <c r="AF679" i="13"/>
  <c r="T680" i="13"/>
  <c r="AA680" i="13"/>
  <c r="AF680" i="13"/>
  <c r="AA681" i="13"/>
  <c r="AF681" i="13"/>
  <c r="T682" i="13"/>
  <c r="AA682" i="13"/>
  <c r="AF682" i="13"/>
  <c r="T683" i="13"/>
  <c r="AA683" i="13"/>
  <c r="AF683" i="13"/>
  <c r="AA684" i="13"/>
  <c r="AF684" i="13"/>
  <c r="T685" i="13"/>
  <c r="AA685" i="13"/>
  <c r="AF685" i="13"/>
  <c r="T686" i="13"/>
  <c r="AA686" i="13"/>
  <c r="AF686" i="13"/>
  <c r="T687" i="13"/>
  <c r="AA687" i="13"/>
  <c r="AF687" i="13"/>
  <c r="AA688" i="13"/>
  <c r="AF688" i="13"/>
  <c r="AA689" i="13"/>
  <c r="AF689" i="13"/>
  <c r="T690" i="13"/>
  <c r="AA690" i="13"/>
  <c r="AF690" i="13"/>
  <c r="AA691" i="13"/>
  <c r="AF691" i="13"/>
  <c r="T692" i="13"/>
  <c r="AA692" i="13"/>
  <c r="AF692" i="13"/>
  <c r="AA693" i="13"/>
  <c r="AF693" i="13"/>
  <c r="AA694" i="13"/>
  <c r="AF694" i="13"/>
  <c r="AA695" i="13"/>
  <c r="AF695" i="13"/>
  <c r="AA696" i="13"/>
  <c r="AF696" i="13"/>
  <c r="AA697" i="13"/>
  <c r="AF697" i="13"/>
  <c r="AA698" i="13"/>
  <c r="AF698" i="13"/>
  <c r="AA699" i="13"/>
  <c r="AF699" i="13"/>
  <c r="AA700" i="13"/>
  <c r="AF700" i="13"/>
  <c r="AA701" i="13"/>
  <c r="AF701" i="13"/>
  <c r="AA702" i="13"/>
  <c r="AF702" i="13"/>
  <c r="AA703" i="13"/>
  <c r="AF703" i="13"/>
  <c r="AA704" i="13"/>
  <c r="AF704" i="13"/>
  <c r="AA705" i="13"/>
  <c r="AF705" i="13"/>
  <c r="AA706" i="13"/>
  <c r="AF706" i="13"/>
  <c r="T707" i="13"/>
  <c r="AA707" i="13"/>
  <c r="AF707" i="13"/>
  <c r="T708" i="13"/>
  <c r="AA708" i="13"/>
  <c r="AF708" i="13"/>
  <c r="T709" i="13"/>
  <c r="AA709" i="13"/>
  <c r="AF709" i="13"/>
  <c r="T710" i="13"/>
  <c r="AA710" i="13"/>
  <c r="AF710" i="13"/>
  <c r="T711" i="13"/>
  <c r="AA711" i="13"/>
  <c r="AF711" i="13"/>
  <c r="AA712" i="13"/>
  <c r="AF712" i="13"/>
  <c r="T713" i="13"/>
  <c r="AA713" i="13"/>
  <c r="AF713" i="13"/>
  <c r="T714" i="13"/>
  <c r="AA714" i="13"/>
  <c r="AF714" i="13"/>
  <c r="T715" i="13"/>
  <c r="AA715" i="13"/>
  <c r="AF715" i="13"/>
  <c r="T716" i="13"/>
  <c r="AA716" i="13"/>
  <c r="AF716" i="13"/>
  <c r="T717" i="13"/>
  <c r="AA717" i="13"/>
  <c r="AF717" i="13"/>
  <c r="T718" i="13"/>
  <c r="AA718" i="13"/>
  <c r="AF718" i="13"/>
  <c r="T719" i="13"/>
  <c r="AA719" i="13"/>
  <c r="AF719" i="13"/>
  <c r="T720" i="13"/>
  <c r="AA720" i="13"/>
  <c r="AF720" i="13"/>
  <c r="AA721" i="13"/>
  <c r="AF721" i="13"/>
  <c r="AA722" i="13"/>
  <c r="AF722" i="13"/>
  <c r="AA723" i="13"/>
  <c r="AF723" i="13"/>
  <c r="AA724" i="13"/>
  <c r="AF724" i="13"/>
  <c r="T725" i="13"/>
  <c r="AA725" i="13"/>
  <c r="AF725" i="13"/>
  <c r="T726" i="13"/>
  <c r="AA726" i="13"/>
  <c r="AF726" i="13"/>
  <c r="T727" i="13"/>
  <c r="AA727" i="13"/>
  <c r="AF727" i="13"/>
  <c r="T728" i="13"/>
  <c r="AA728" i="13"/>
  <c r="AF728" i="13"/>
  <c r="T729" i="13"/>
  <c r="AA729" i="13"/>
  <c r="AF729" i="13"/>
  <c r="AA730" i="13"/>
  <c r="AF730" i="13"/>
  <c r="AA731" i="13"/>
  <c r="AF731" i="13"/>
  <c r="T732" i="13"/>
  <c r="AA732" i="13"/>
  <c r="AF732" i="13"/>
  <c r="AA733" i="13"/>
  <c r="AF733" i="13"/>
  <c r="T734" i="13"/>
  <c r="AA734" i="13"/>
  <c r="AF734" i="13"/>
  <c r="AA735" i="13"/>
  <c r="AF735" i="13"/>
  <c r="AA736" i="13"/>
  <c r="AF736" i="13"/>
  <c r="AA737" i="13"/>
  <c r="AF737" i="13"/>
  <c r="T738" i="13"/>
  <c r="AA738" i="13"/>
  <c r="AF738" i="13"/>
  <c r="T739" i="13"/>
  <c r="AA739" i="13"/>
  <c r="AF739" i="13"/>
  <c r="T740" i="13"/>
  <c r="AA740" i="13"/>
  <c r="AF740" i="13"/>
  <c r="AA741" i="13"/>
  <c r="AF741" i="13"/>
  <c r="T742" i="13"/>
  <c r="AA742" i="13"/>
  <c r="AF742" i="13"/>
  <c r="T743" i="13"/>
  <c r="AA743" i="13"/>
  <c r="AF743" i="13"/>
  <c r="T744" i="13"/>
  <c r="AA744" i="13"/>
  <c r="AF744" i="13"/>
  <c r="T745" i="13"/>
  <c r="AA745" i="13"/>
  <c r="AF745" i="13"/>
  <c r="T746" i="13"/>
  <c r="AA746" i="13"/>
  <c r="AF746" i="13"/>
  <c r="T747" i="13"/>
  <c r="AA747" i="13"/>
  <c r="AF747" i="13"/>
  <c r="T748" i="13"/>
  <c r="AA748" i="13"/>
  <c r="AF748" i="13"/>
  <c r="T749" i="13"/>
  <c r="AA749" i="13"/>
  <c r="AF749" i="13"/>
  <c r="T750" i="13"/>
  <c r="AA750" i="13"/>
  <c r="AF750" i="13"/>
  <c r="T751" i="13"/>
  <c r="AA751" i="13"/>
  <c r="AF751" i="13"/>
  <c r="AA752" i="13"/>
  <c r="AF752" i="13"/>
  <c r="T753" i="13"/>
  <c r="AA753" i="13"/>
  <c r="AF753" i="13"/>
  <c r="T754" i="13"/>
  <c r="AA754" i="13"/>
  <c r="AF754" i="13"/>
  <c r="T755" i="13"/>
  <c r="AA755" i="13"/>
  <c r="AF755" i="13"/>
  <c r="T756" i="13"/>
  <c r="AA756" i="13"/>
  <c r="AF756" i="13"/>
  <c r="T757" i="13"/>
  <c r="AA757" i="13"/>
  <c r="AF757" i="13"/>
  <c r="T758" i="13"/>
  <c r="AA758" i="13"/>
  <c r="AF758" i="13"/>
  <c r="T759" i="13"/>
  <c r="AA759" i="13"/>
  <c r="AF759" i="13"/>
  <c r="T760" i="13"/>
  <c r="AA760" i="13"/>
  <c r="AF760" i="13"/>
  <c r="T761" i="13"/>
  <c r="AA761" i="13"/>
  <c r="AF761" i="13"/>
  <c r="T762" i="13"/>
  <c r="AA762" i="13"/>
  <c r="AF762" i="13"/>
  <c r="T763" i="13"/>
  <c r="AA763" i="13"/>
  <c r="AF763" i="13"/>
  <c r="T764" i="13"/>
  <c r="AA764" i="13"/>
  <c r="AF764" i="13"/>
  <c r="T765" i="13"/>
  <c r="AA765" i="13"/>
  <c r="AF765" i="13"/>
  <c r="T766" i="13"/>
  <c r="AA766" i="13"/>
  <c r="AF766" i="13"/>
  <c r="T767" i="13"/>
  <c r="AA767" i="13"/>
  <c r="AF767" i="13"/>
  <c r="T768" i="13"/>
  <c r="AA768" i="13"/>
  <c r="AF768" i="13"/>
  <c r="AA769" i="13"/>
  <c r="AF769" i="13"/>
  <c r="AA770" i="13"/>
  <c r="AF770" i="13"/>
  <c r="AA771" i="13"/>
  <c r="AF771" i="13"/>
  <c r="T772" i="13"/>
  <c r="AA772" i="13"/>
  <c r="AF772" i="13"/>
  <c r="T773" i="13"/>
  <c r="AA773" i="13"/>
  <c r="AF773" i="13"/>
  <c r="T774" i="13"/>
  <c r="AF774" i="13"/>
  <c r="T775" i="13"/>
  <c r="AA775" i="13"/>
  <c r="AF775" i="13"/>
  <c r="AA776" i="13"/>
  <c r="AF776" i="13"/>
  <c r="AA777" i="13"/>
  <c r="AF777" i="13"/>
  <c r="T778" i="13"/>
  <c r="AA778" i="13"/>
  <c r="AF778" i="13"/>
  <c r="T779" i="13"/>
  <c r="AA779" i="13"/>
  <c r="AF779" i="13"/>
  <c r="T780" i="13"/>
  <c r="AA780" i="13"/>
  <c r="AF780" i="13"/>
  <c r="T781" i="13"/>
  <c r="AA781" i="13"/>
  <c r="AF781" i="13"/>
  <c r="T782" i="13"/>
  <c r="AA782" i="13"/>
  <c r="AF782" i="13"/>
  <c r="T783" i="13"/>
  <c r="AA783" i="13"/>
  <c r="AF783" i="13"/>
  <c r="T784" i="13"/>
  <c r="AA784" i="13"/>
  <c r="AF784" i="13"/>
  <c r="T785" i="13"/>
  <c r="AA785" i="13"/>
  <c r="AF785" i="13"/>
  <c r="AA786" i="13"/>
  <c r="AF786" i="13"/>
  <c r="T787" i="13"/>
  <c r="AA787" i="13"/>
  <c r="AF787" i="13"/>
  <c r="T788" i="13"/>
  <c r="AA788" i="13"/>
  <c r="AF788" i="13"/>
  <c r="T789" i="13"/>
  <c r="AA789" i="13"/>
  <c r="AF789" i="13"/>
  <c r="T790" i="13"/>
  <c r="AA790" i="13"/>
  <c r="AF790" i="13"/>
  <c r="T791" i="13"/>
  <c r="AA791" i="13"/>
  <c r="AF791" i="13"/>
  <c r="T792" i="13"/>
  <c r="AA792" i="13"/>
  <c r="AF792" i="13"/>
  <c r="T793" i="13"/>
  <c r="AA793" i="13"/>
  <c r="AF793" i="13"/>
  <c r="T794" i="13"/>
  <c r="AA794" i="13"/>
  <c r="AF794" i="13"/>
  <c r="AA795" i="13"/>
  <c r="AF795" i="13"/>
  <c r="AA796" i="13"/>
  <c r="AF796" i="13"/>
  <c r="T797" i="13"/>
  <c r="AA797" i="13"/>
  <c r="AF797" i="13"/>
  <c r="T798" i="13"/>
  <c r="AA798" i="13"/>
  <c r="AF798" i="13"/>
  <c r="T799" i="13"/>
  <c r="AA799" i="13"/>
  <c r="AF799" i="13"/>
  <c r="T800" i="13"/>
  <c r="AA800" i="13"/>
  <c r="AF800" i="13"/>
  <c r="T801" i="13"/>
  <c r="AA801" i="13"/>
  <c r="AF801" i="13"/>
  <c r="T802" i="13"/>
  <c r="AA802" i="13"/>
  <c r="AF802" i="13"/>
  <c r="T803" i="13"/>
  <c r="AA803" i="13"/>
  <c r="AF803" i="13"/>
  <c r="T804" i="13"/>
  <c r="AA804" i="13"/>
  <c r="AF804" i="13"/>
  <c r="T805" i="13"/>
  <c r="AA805" i="13"/>
  <c r="AF805" i="13"/>
  <c r="T806" i="13"/>
  <c r="AA806" i="13"/>
  <c r="AF806" i="13"/>
  <c r="T807" i="13"/>
  <c r="AA807" i="13"/>
  <c r="AF807" i="13"/>
  <c r="AA808" i="13"/>
  <c r="AF808" i="13"/>
  <c r="T809" i="13"/>
  <c r="AA809" i="13"/>
  <c r="AF809" i="13"/>
  <c r="T810" i="13"/>
  <c r="AA810" i="13"/>
  <c r="AF810" i="13"/>
  <c r="AA811" i="13"/>
  <c r="AF811" i="13"/>
  <c r="AA812" i="13"/>
  <c r="AF812" i="13"/>
  <c r="T813" i="13"/>
  <c r="AA813" i="13"/>
  <c r="AF813" i="13"/>
  <c r="T814" i="13"/>
  <c r="AA814" i="13"/>
  <c r="AF814" i="13"/>
  <c r="AA815" i="13"/>
  <c r="AF815" i="13"/>
  <c r="AA816" i="13"/>
  <c r="AF816" i="13"/>
  <c r="AA817" i="13"/>
  <c r="AF817" i="13"/>
  <c r="AA818" i="13"/>
  <c r="AF818" i="13"/>
  <c r="AA819" i="13"/>
  <c r="AF819" i="13"/>
  <c r="T820" i="13"/>
  <c r="AA820" i="13"/>
  <c r="AF820" i="13"/>
  <c r="T821" i="13"/>
  <c r="AA821" i="13"/>
  <c r="AF821" i="13"/>
  <c r="AA822" i="13"/>
  <c r="AF822" i="13"/>
  <c r="T823" i="13"/>
  <c r="AA823" i="13"/>
  <c r="AF823" i="13"/>
  <c r="AA824" i="13"/>
  <c r="AF824" i="13"/>
  <c r="AA825" i="13"/>
  <c r="AF825" i="13"/>
  <c r="T826" i="13"/>
  <c r="AA826" i="13"/>
  <c r="AF826" i="13"/>
  <c r="T827" i="13"/>
  <c r="AA827" i="13"/>
  <c r="AF827" i="13"/>
  <c r="T828" i="13"/>
  <c r="AA828" i="13"/>
  <c r="AF828" i="13"/>
  <c r="T829" i="13"/>
  <c r="AA829" i="13"/>
  <c r="AF829" i="13"/>
  <c r="T830" i="13"/>
  <c r="AA830" i="13"/>
  <c r="AF830" i="13"/>
  <c r="AA831" i="13"/>
  <c r="AF831" i="13"/>
  <c r="T832" i="13"/>
  <c r="AA832" i="13"/>
  <c r="AF832" i="13"/>
  <c r="AA833" i="13"/>
  <c r="AF833" i="13"/>
  <c r="AA834" i="13"/>
  <c r="AF834" i="13"/>
  <c r="T835" i="13"/>
  <c r="AA835" i="13"/>
  <c r="AF835" i="13"/>
  <c r="AA836" i="13"/>
  <c r="AF836" i="13"/>
  <c r="T837" i="13"/>
  <c r="AA837" i="13"/>
  <c r="AF837" i="13"/>
  <c r="AA838" i="13"/>
  <c r="AF838" i="13"/>
  <c r="T839" i="13"/>
  <c r="AA839" i="13"/>
  <c r="AF839" i="13"/>
  <c r="AA840" i="13"/>
  <c r="AF840" i="13"/>
  <c r="T841" i="13"/>
  <c r="AA841" i="13"/>
  <c r="AF841" i="13"/>
  <c r="AA842" i="13"/>
  <c r="AF842" i="13"/>
  <c r="AA843" i="13"/>
  <c r="AF843" i="13"/>
  <c r="AA844" i="13"/>
  <c r="AF844" i="13"/>
  <c r="AA845" i="13"/>
  <c r="AF845" i="13"/>
  <c r="AA846" i="13"/>
  <c r="AF846" i="13"/>
  <c r="AA847" i="13"/>
  <c r="AF847" i="13"/>
  <c r="T848" i="13"/>
  <c r="AA848" i="13"/>
  <c r="AF848" i="13"/>
  <c r="AA849" i="13"/>
  <c r="AF849" i="13"/>
  <c r="T850" i="13"/>
  <c r="AA850" i="13"/>
  <c r="AF850" i="13"/>
  <c r="T851" i="13"/>
  <c r="AA851" i="13"/>
  <c r="AF851" i="13"/>
  <c r="AA852" i="13"/>
  <c r="AF852" i="13"/>
  <c r="T853" i="13"/>
  <c r="AA853" i="13"/>
  <c r="AF853" i="13"/>
  <c r="T854" i="13"/>
  <c r="AA854" i="13"/>
  <c r="AF854" i="13"/>
  <c r="T855" i="13"/>
  <c r="AA855" i="13"/>
  <c r="AF855" i="13"/>
  <c r="T856" i="13"/>
  <c r="AA856" i="13"/>
  <c r="AF856" i="13"/>
  <c r="T857" i="13"/>
  <c r="AA857" i="13"/>
  <c r="AF857" i="13"/>
  <c r="AA858" i="13"/>
  <c r="AF858" i="13"/>
  <c r="T859" i="13"/>
  <c r="AA859" i="13"/>
  <c r="AF859" i="13"/>
  <c r="T860" i="13"/>
  <c r="AA860" i="13"/>
  <c r="AF860" i="13"/>
  <c r="AA861" i="13"/>
  <c r="AF861" i="13"/>
  <c r="T862" i="13"/>
  <c r="AA862" i="13"/>
  <c r="AF862" i="13"/>
  <c r="T864" i="13"/>
  <c r="AA864" i="13"/>
  <c r="AF864" i="13"/>
  <c r="T865" i="13"/>
  <c r="AA865" i="13"/>
  <c r="AF865" i="13"/>
  <c r="T866" i="13"/>
  <c r="AA866" i="13"/>
  <c r="AF866" i="13"/>
  <c r="T867" i="13"/>
  <c r="AA867" i="13"/>
  <c r="AF867" i="13"/>
  <c r="AA868" i="13"/>
  <c r="AF868" i="13"/>
  <c r="T869" i="13"/>
  <c r="AA869" i="13"/>
  <c r="AF869" i="13"/>
  <c r="T870" i="13"/>
  <c r="AA870" i="13"/>
  <c r="AF870" i="13"/>
  <c r="T871" i="13"/>
  <c r="AA871" i="13"/>
  <c r="AF871" i="13"/>
  <c r="T872" i="13"/>
  <c r="AA872" i="13"/>
  <c r="AF872" i="13"/>
  <c r="T873" i="13"/>
  <c r="AA873" i="13"/>
  <c r="AF873" i="13"/>
  <c r="T874" i="13"/>
  <c r="AA874" i="13"/>
  <c r="AF874" i="13"/>
  <c r="T875" i="13"/>
  <c r="AA875" i="13"/>
  <c r="AF875" i="13"/>
  <c r="T876" i="13"/>
  <c r="AA876" i="13"/>
  <c r="AF876" i="13"/>
  <c r="T877" i="13"/>
  <c r="AA877" i="13"/>
  <c r="AF877" i="13"/>
  <c r="AA878" i="13"/>
  <c r="AF878" i="13"/>
  <c r="AA879" i="13"/>
  <c r="AF879" i="13"/>
  <c r="AA880" i="13"/>
  <c r="AF880" i="13"/>
  <c r="AA881" i="13"/>
  <c r="AF881" i="13"/>
  <c r="T882" i="13"/>
  <c r="AA882" i="13"/>
  <c r="AF882" i="13"/>
  <c r="T883" i="13"/>
  <c r="AA883" i="13"/>
  <c r="AF883" i="13"/>
  <c r="T884" i="13"/>
  <c r="AA884" i="13"/>
  <c r="AF884" i="13"/>
  <c r="T885" i="13"/>
  <c r="AA885" i="13"/>
  <c r="AF885" i="13"/>
  <c r="T886" i="13"/>
  <c r="AA886" i="13"/>
  <c r="AF886" i="13"/>
  <c r="T887" i="13"/>
  <c r="AA887" i="13"/>
  <c r="AF887" i="13"/>
  <c r="T888" i="13"/>
  <c r="AA888" i="13"/>
  <c r="AF888" i="13"/>
  <c r="T889" i="13"/>
  <c r="AA889" i="13"/>
  <c r="AF889" i="13"/>
  <c r="T890" i="13"/>
  <c r="AA890" i="13"/>
  <c r="AF890" i="13"/>
  <c r="T891" i="13"/>
  <c r="AA891" i="13"/>
  <c r="AF891" i="13"/>
  <c r="T892" i="13"/>
  <c r="AA892" i="13"/>
  <c r="AF892" i="13"/>
  <c r="T893" i="13"/>
  <c r="AA893" i="13"/>
  <c r="AF893" i="13"/>
  <c r="T894" i="13"/>
  <c r="AA894" i="13"/>
  <c r="AF894" i="13"/>
  <c r="AA895" i="13"/>
  <c r="AF895" i="13"/>
  <c r="T896" i="13"/>
  <c r="AA896" i="13"/>
  <c r="AF896" i="13"/>
  <c r="T897" i="13"/>
  <c r="AA897" i="13"/>
  <c r="AF897" i="13"/>
  <c r="T898" i="13"/>
  <c r="AA898" i="13"/>
  <c r="AF898" i="13"/>
  <c r="T899" i="13"/>
  <c r="AA899" i="13"/>
  <c r="AF899" i="13"/>
  <c r="T900" i="13"/>
  <c r="AA900" i="13"/>
  <c r="AF900" i="13"/>
  <c r="T901" i="13"/>
  <c r="AA901" i="13"/>
  <c r="AF901" i="13"/>
  <c r="T902" i="13"/>
  <c r="AA902" i="13"/>
  <c r="AF902" i="13"/>
  <c r="T903" i="13"/>
  <c r="AA903" i="13"/>
  <c r="AF903" i="13"/>
  <c r="T904" i="13"/>
  <c r="AA904" i="13"/>
  <c r="AF904" i="13"/>
  <c r="T905" i="13"/>
  <c r="AA905" i="13"/>
  <c r="AF905" i="13"/>
  <c r="T906" i="13"/>
  <c r="AA906" i="13"/>
  <c r="AF906" i="13"/>
  <c r="T907" i="13"/>
  <c r="AA907" i="13"/>
  <c r="AF907" i="13"/>
  <c r="T908" i="13"/>
  <c r="AA908" i="13"/>
  <c r="AF908" i="13"/>
  <c r="T909" i="13"/>
  <c r="AA909" i="13"/>
  <c r="AF909" i="13"/>
  <c r="T910" i="13"/>
  <c r="AA910" i="13"/>
  <c r="AF910" i="13"/>
  <c r="T911" i="13"/>
  <c r="AA911" i="13"/>
  <c r="AF911" i="13"/>
  <c r="AA158" i="13"/>
  <c r="AA508" i="13"/>
  <c r="A589" i="13"/>
  <c r="A576" i="15" s="1"/>
  <c r="A590" i="13"/>
  <c r="A577" i="15" s="1"/>
  <c r="S581" i="13"/>
  <c r="T581" i="13" s="1"/>
  <c r="A588" i="13"/>
  <c r="A575" i="15" s="1"/>
  <c r="T588" i="13"/>
  <c r="AA588" i="13"/>
  <c r="AF588" i="13"/>
  <c r="T589" i="13"/>
  <c r="AA589" i="13"/>
  <c r="AF589" i="13"/>
  <c r="T590" i="13"/>
  <c r="AA590" i="13"/>
  <c r="AF590" i="13"/>
  <c r="A591" i="13"/>
  <c r="A578" i="15" s="1"/>
  <c r="T591" i="13"/>
  <c r="AA591" i="13"/>
  <c r="AF591" i="13"/>
  <c r="A592" i="13"/>
  <c r="A579" i="15" s="1"/>
  <c r="T592" i="13"/>
  <c r="AA592" i="13"/>
  <c r="AF592" i="13"/>
  <c r="A593" i="13"/>
  <c r="A580" i="15" s="1"/>
  <c r="T593" i="13"/>
  <c r="AA593" i="13"/>
  <c r="AF593" i="13"/>
  <c r="A594" i="13"/>
  <c r="A581" i="15" s="1"/>
  <c r="T594" i="13"/>
  <c r="AA594" i="13"/>
  <c r="AF594" i="13"/>
  <c r="A595" i="13"/>
  <c r="A582" i="15" s="1"/>
  <c r="T595" i="13"/>
  <c r="AA595" i="13"/>
  <c r="AF595" i="13"/>
  <c r="A596" i="13"/>
  <c r="A583" i="15" s="1"/>
  <c r="T596" i="13"/>
  <c r="AA596" i="13"/>
  <c r="AF596" i="13"/>
  <c r="A597" i="13"/>
  <c r="A584" i="15" s="1"/>
  <c r="AA597" i="13"/>
  <c r="AF597" i="13"/>
  <c r="A598" i="13"/>
  <c r="A585" i="15" s="1"/>
  <c r="T598" i="13"/>
  <c r="AA598" i="13"/>
  <c r="AF598" i="13"/>
  <c r="A599" i="13"/>
  <c r="A586" i="15" s="1"/>
  <c r="T599" i="13"/>
  <c r="AA599" i="13"/>
  <c r="AF599" i="13"/>
  <c r="A600" i="13"/>
  <c r="A587" i="15" s="1"/>
  <c r="T600" i="13"/>
  <c r="AA600" i="13"/>
  <c r="AF600" i="13"/>
  <c r="A601" i="13"/>
  <c r="A588" i="15" s="1"/>
  <c r="T601" i="13"/>
  <c r="AA601" i="13"/>
  <c r="AF601" i="13"/>
  <c r="A602" i="13"/>
  <c r="A589" i="15" s="1"/>
  <c r="T602" i="13"/>
  <c r="AA602" i="13"/>
  <c r="AF602" i="13"/>
  <c r="A603" i="13"/>
  <c r="A590" i="15" s="1"/>
  <c r="T603" i="13"/>
  <c r="AA603" i="13"/>
  <c r="AF603" i="13"/>
  <c r="A604" i="13"/>
  <c r="A591" i="15" s="1"/>
  <c r="T604" i="13"/>
  <c r="AA604" i="13"/>
  <c r="AF604" i="13"/>
  <c r="A605" i="13"/>
  <c r="A592" i="15" s="1"/>
  <c r="T605" i="13"/>
  <c r="AA605" i="13"/>
  <c r="AF605" i="13"/>
  <c r="A606" i="13"/>
  <c r="A593" i="15" s="1"/>
  <c r="T606" i="13"/>
  <c r="AA606" i="13"/>
  <c r="AF606" i="13"/>
  <c r="A607" i="13"/>
  <c r="A594" i="15" s="1"/>
  <c r="T607" i="13"/>
  <c r="AA607" i="13"/>
  <c r="AF607" i="13"/>
  <c r="A608" i="13"/>
  <c r="A595" i="15" s="1"/>
  <c r="T608" i="13"/>
  <c r="AA608" i="13"/>
  <c r="AF608" i="13"/>
  <c r="A609" i="13"/>
  <c r="A596" i="15" s="1"/>
  <c r="T609" i="13"/>
  <c r="AA609" i="13"/>
  <c r="AF609" i="13"/>
  <c r="T611" i="13"/>
  <c r="AA611" i="13"/>
  <c r="AF611" i="13"/>
  <c r="S509" i="13"/>
  <c r="T509" i="13" s="1"/>
  <c r="S538" i="13"/>
  <c r="T538" i="13" s="1"/>
  <c r="S355" i="13"/>
  <c r="T355" i="13" s="1"/>
  <c r="A3" i="31"/>
  <c r="B3" i="31"/>
  <c r="C3" i="31"/>
  <c r="D3" i="31"/>
  <c r="E3" i="31"/>
  <c r="F3" i="31"/>
  <c r="G3" i="31"/>
  <c r="H3" i="31"/>
  <c r="I3" i="31"/>
  <c r="J3" i="31"/>
  <c r="K3" i="31"/>
  <c r="L3" i="31"/>
  <c r="M3" i="31"/>
  <c r="A4" i="31"/>
  <c r="B4" i="31"/>
  <c r="C4" i="31"/>
  <c r="D4" i="31"/>
  <c r="E4" i="31"/>
  <c r="F4" i="31"/>
  <c r="G4" i="31"/>
  <c r="H4" i="31"/>
  <c r="I4" i="31"/>
  <c r="J4" i="31"/>
  <c r="K4" i="31"/>
  <c r="L4" i="31"/>
  <c r="M4" i="31"/>
  <c r="A5" i="31"/>
  <c r="B5" i="31"/>
  <c r="C5" i="31"/>
  <c r="D5" i="31"/>
  <c r="E5" i="31"/>
  <c r="F5" i="31"/>
  <c r="G5" i="31"/>
  <c r="H5" i="31"/>
  <c r="I5" i="31"/>
  <c r="J5" i="31"/>
  <c r="K5" i="31"/>
  <c r="L5" i="31"/>
  <c r="M5" i="31"/>
  <c r="A6" i="31"/>
  <c r="B6" i="31"/>
  <c r="C6" i="31"/>
  <c r="D6" i="31"/>
  <c r="E6" i="31"/>
  <c r="F6" i="31"/>
  <c r="G6" i="31"/>
  <c r="H6" i="31"/>
  <c r="I6" i="31"/>
  <c r="J6" i="31"/>
  <c r="K6" i="31"/>
  <c r="L6" i="31"/>
  <c r="M6" i="31"/>
  <c r="A7" i="31"/>
  <c r="B7" i="31"/>
  <c r="C7" i="31"/>
  <c r="D7" i="31"/>
  <c r="E7" i="31"/>
  <c r="F7" i="31"/>
  <c r="G7" i="31"/>
  <c r="H7" i="31"/>
  <c r="I7" i="31"/>
  <c r="J7" i="31"/>
  <c r="K7" i="31"/>
  <c r="L7" i="31"/>
  <c r="M7" i="31"/>
  <c r="A8" i="31"/>
  <c r="B8" i="31"/>
  <c r="C8" i="31"/>
  <c r="D8" i="31"/>
  <c r="E8" i="31"/>
  <c r="F8" i="31"/>
  <c r="G8" i="31"/>
  <c r="H8" i="31"/>
  <c r="I8" i="31"/>
  <c r="J8" i="31"/>
  <c r="K8" i="31"/>
  <c r="L8" i="31"/>
  <c r="M8" i="31"/>
  <c r="A9" i="31"/>
  <c r="B9" i="31"/>
  <c r="C9" i="31"/>
  <c r="D9" i="31"/>
  <c r="E9" i="31"/>
  <c r="F9" i="31"/>
  <c r="G9" i="31"/>
  <c r="H9" i="31"/>
  <c r="I9" i="31"/>
  <c r="J9" i="31"/>
  <c r="K9" i="31"/>
  <c r="L9" i="31"/>
  <c r="M9" i="31"/>
  <c r="A10" i="31"/>
  <c r="B10" i="31"/>
  <c r="C10" i="31"/>
  <c r="D10" i="31"/>
  <c r="E10" i="31"/>
  <c r="F10" i="31"/>
  <c r="G10" i="31"/>
  <c r="H10" i="31"/>
  <c r="I10" i="31"/>
  <c r="J10" i="31"/>
  <c r="K10" i="31"/>
  <c r="L10" i="31"/>
  <c r="M10" i="31"/>
  <c r="A11" i="31"/>
  <c r="B11" i="31"/>
  <c r="C11" i="31"/>
  <c r="D11" i="31"/>
  <c r="E11" i="31"/>
  <c r="F11" i="31"/>
  <c r="G11" i="31"/>
  <c r="H11" i="31"/>
  <c r="I11" i="31"/>
  <c r="J11" i="31"/>
  <c r="K11" i="31"/>
  <c r="L11" i="31"/>
  <c r="M11" i="31"/>
  <c r="A12" i="31"/>
  <c r="B12" i="31"/>
  <c r="C12" i="31"/>
  <c r="D12" i="31"/>
  <c r="E12" i="31"/>
  <c r="F12" i="31"/>
  <c r="G12" i="31"/>
  <c r="H12" i="31"/>
  <c r="I12" i="31"/>
  <c r="J12" i="31"/>
  <c r="K12" i="31"/>
  <c r="L12" i="31"/>
  <c r="M12" i="31"/>
  <c r="A13" i="31"/>
  <c r="B13" i="31"/>
  <c r="C13" i="31"/>
  <c r="D13" i="31"/>
  <c r="E13" i="31"/>
  <c r="F13" i="31"/>
  <c r="G13" i="31"/>
  <c r="H13" i="31"/>
  <c r="I13" i="31"/>
  <c r="J13" i="31"/>
  <c r="K13" i="31"/>
  <c r="L13" i="31"/>
  <c r="M13" i="31"/>
  <c r="A14" i="31"/>
  <c r="B14" i="31"/>
  <c r="C14" i="31"/>
  <c r="D14" i="31"/>
  <c r="E14" i="31"/>
  <c r="F14" i="31"/>
  <c r="G14" i="31"/>
  <c r="H14" i="31"/>
  <c r="I14" i="31"/>
  <c r="J14" i="31"/>
  <c r="K14" i="31"/>
  <c r="L14" i="31"/>
  <c r="M14" i="31"/>
  <c r="A15" i="31"/>
  <c r="B15" i="31"/>
  <c r="C15" i="31"/>
  <c r="D15" i="31"/>
  <c r="E15" i="31"/>
  <c r="F15" i="31"/>
  <c r="G15" i="31"/>
  <c r="H15" i="31"/>
  <c r="I15" i="31"/>
  <c r="J15" i="31"/>
  <c r="K15" i="31"/>
  <c r="L15" i="31"/>
  <c r="M15" i="31"/>
  <c r="A16" i="31"/>
  <c r="B16" i="31"/>
  <c r="C16" i="31"/>
  <c r="D16" i="31"/>
  <c r="E16" i="31"/>
  <c r="F16" i="31"/>
  <c r="G16" i="31"/>
  <c r="H16" i="31"/>
  <c r="I16" i="31"/>
  <c r="J16" i="31"/>
  <c r="K16" i="31"/>
  <c r="L16" i="31"/>
  <c r="M16" i="31"/>
  <c r="A17" i="31"/>
  <c r="B17" i="31"/>
  <c r="C17" i="31"/>
  <c r="D17" i="31"/>
  <c r="E17" i="31"/>
  <c r="F17" i="31"/>
  <c r="G17" i="31"/>
  <c r="H17" i="31"/>
  <c r="I17" i="31"/>
  <c r="J17" i="31"/>
  <c r="K17" i="31"/>
  <c r="L17" i="31"/>
  <c r="M17" i="31"/>
  <c r="A18" i="31"/>
  <c r="B18" i="31"/>
  <c r="C18" i="31"/>
  <c r="D18" i="31"/>
  <c r="E18" i="31"/>
  <c r="F18" i="31"/>
  <c r="G18" i="31"/>
  <c r="H18" i="31"/>
  <c r="I18" i="31"/>
  <c r="J18" i="31"/>
  <c r="K18" i="31"/>
  <c r="L18" i="31"/>
  <c r="M18" i="31"/>
  <c r="A19" i="31"/>
  <c r="B19" i="31"/>
  <c r="C19" i="31"/>
  <c r="D19" i="31"/>
  <c r="E19" i="31"/>
  <c r="F19" i="31"/>
  <c r="G19" i="31"/>
  <c r="H19" i="31"/>
  <c r="I19" i="31"/>
  <c r="J19" i="31"/>
  <c r="K19" i="31"/>
  <c r="L19" i="31"/>
  <c r="M19" i="31"/>
  <c r="A20" i="31"/>
  <c r="B20" i="31"/>
  <c r="C20" i="31"/>
  <c r="D20" i="31"/>
  <c r="E20" i="31"/>
  <c r="F20" i="31"/>
  <c r="G20" i="31"/>
  <c r="H20" i="31"/>
  <c r="I20" i="31"/>
  <c r="J20" i="31"/>
  <c r="K20" i="31"/>
  <c r="L20" i="31"/>
  <c r="M20" i="31"/>
  <c r="A21" i="31"/>
  <c r="B21" i="31"/>
  <c r="C21" i="31"/>
  <c r="D21" i="31"/>
  <c r="E21" i="31"/>
  <c r="F21" i="31"/>
  <c r="G21" i="31"/>
  <c r="H21" i="31"/>
  <c r="I21" i="31"/>
  <c r="J21" i="31"/>
  <c r="K21" i="31"/>
  <c r="L21" i="31"/>
  <c r="M21" i="31"/>
  <c r="A22" i="31"/>
  <c r="B22" i="31"/>
  <c r="C22" i="31"/>
  <c r="D22" i="31"/>
  <c r="E22" i="31"/>
  <c r="F22" i="31"/>
  <c r="G22" i="31"/>
  <c r="H22" i="31"/>
  <c r="I22" i="31"/>
  <c r="J22" i="31"/>
  <c r="K22" i="31"/>
  <c r="L22" i="31"/>
  <c r="M22" i="31"/>
  <c r="A23" i="31"/>
  <c r="B23" i="31"/>
  <c r="C23" i="31"/>
  <c r="D23" i="31"/>
  <c r="E23" i="31"/>
  <c r="F23" i="31"/>
  <c r="G23" i="31"/>
  <c r="H23" i="31"/>
  <c r="I23" i="31"/>
  <c r="J23" i="31"/>
  <c r="K23" i="31"/>
  <c r="L23" i="31"/>
  <c r="M23" i="31"/>
  <c r="A24" i="31"/>
  <c r="B24" i="31"/>
  <c r="C24" i="31"/>
  <c r="D24" i="31"/>
  <c r="E24" i="31"/>
  <c r="F24" i="31"/>
  <c r="G24" i="31"/>
  <c r="H24" i="31"/>
  <c r="I24" i="31"/>
  <c r="J24" i="31"/>
  <c r="K24" i="31"/>
  <c r="L24" i="31"/>
  <c r="M24" i="31"/>
  <c r="A25" i="31"/>
  <c r="B25" i="31"/>
  <c r="C25" i="31"/>
  <c r="D25" i="31"/>
  <c r="E25" i="31"/>
  <c r="F25" i="31"/>
  <c r="G25" i="31"/>
  <c r="H25" i="31"/>
  <c r="I25" i="31"/>
  <c r="J25" i="31"/>
  <c r="K25" i="31"/>
  <c r="L25" i="31"/>
  <c r="M25" i="31"/>
  <c r="A26" i="31"/>
  <c r="B26" i="31"/>
  <c r="C26" i="31"/>
  <c r="D26" i="31"/>
  <c r="E26" i="31"/>
  <c r="F26" i="31"/>
  <c r="G26" i="31"/>
  <c r="H26" i="31"/>
  <c r="I26" i="31"/>
  <c r="J26" i="31"/>
  <c r="K26" i="31"/>
  <c r="L26" i="31"/>
  <c r="M26" i="31"/>
  <c r="A27" i="31"/>
  <c r="B27" i="31"/>
  <c r="C27" i="31"/>
  <c r="D27" i="31"/>
  <c r="E27" i="31"/>
  <c r="F27" i="31"/>
  <c r="G27" i="31"/>
  <c r="H27" i="31"/>
  <c r="I27" i="31"/>
  <c r="J27" i="31"/>
  <c r="K27" i="31"/>
  <c r="L27" i="31"/>
  <c r="M27" i="31"/>
  <c r="A28" i="31"/>
  <c r="B28" i="31"/>
  <c r="C28" i="31"/>
  <c r="D28" i="31"/>
  <c r="E28" i="31"/>
  <c r="F28" i="31"/>
  <c r="G28" i="31"/>
  <c r="H28" i="31"/>
  <c r="I28" i="31"/>
  <c r="J28" i="31"/>
  <c r="K28" i="31"/>
  <c r="L28" i="31"/>
  <c r="M28" i="31"/>
  <c r="A29" i="31"/>
  <c r="B29" i="31"/>
  <c r="C29" i="31"/>
  <c r="D29" i="31"/>
  <c r="E29" i="31"/>
  <c r="F29" i="31"/>
  <c r="G29" i="31"/>
  <c r="H29" i="31"/>
  <c r="I29" i="31"/>
  <c r="J29" i="31"/>
  <c r="K29" i="31"/>
  <c r="L29" i="31"/>
  <c r="M29" i="31"/>
  <c r="A30" i="31"/>
  <c r="B30" i="31"/>
  <c r="C30" i="31"/>
  <c r="D30" i="31"/>
  <c r="E30" i="31"/>
  <c r="F30" i="31"/>
  <c r="G30" i="31"/>
  <c r="H30" i="31"/>
  <c r="I30" i="31"/>
  <c r="J30" i="31"/>
  <c r="K30" i="31"/>
  <c r="L30" i="31"/>
  <c r="M30" i="31"/>
  <c r="A31" i="31"/>
  <c r="B31" i="31"/>
  <c r="C31" i="31"/>
  <c r="D31" i="31"/>
  <c r="E31" i="31"/>
  <c r="F31" i="31"/>
  <c r="G31" i="31"/>
  <c r="H31" i="31"/>
  <c r="I31" i="31"/>
  <c r="J31" i="31"/>
  <c r="K31" i="31"/>
  <c r="L31" i="31"/>
  <c r="M31" i="31"/>
  <c r="A32" i="31"/>
  <c r="B32" i="31"/>
  <c r="C32" i="31"/>
  <c r="D32" i="31"/>
  <c r="E32" i="31"/>
  <c r="F32" i="31"/>
  <c r="G32" i="31"/>
  <c r="H32" i="31"/>
  <c r="I32" i="31"/>
  <c r="J32" i="31"/>
  <c r="K32" i="31"/>
  <c r="L32" i="31"/>
  <c r="M32" i="31"/>
  <c r="A33" i="31"/>
  <c r="B33" i="31"/>
  <c r="C33" i="31"/>
  <c r="D33" i="31"/>
  <c r="E33" i="31"/>
  <c r="F33" i="31"/>
  <c r="G33" i="31"/>
  <c r="H33" i="31"/>
  <c r="I33" i="31"/>
  <c r="J33" i="31"/>
  <c r="K33" i="31"/>
  <c r="L33" i="31"/>
  <c r="M33" i="31"/>
  <c r="A34" i="31"/>
  <c r="B34" i="31"/>
  <c r="C34" i="31"/>
  <c r="D34" i="31"/>
  <c r="E34" i="31"/>
  <c r="F34" i="31"/>
  <c r="G34" i="31"/>
  <c r="H34" i="31"/>
  <c r="I34" i="31"/>
  <c r="J34" i="31"/>
  <c r="K34" i="31"/>
  <c r="L34" i="31"/>
  <c r="M34" i="31"/>
  <c r="A35" i="31"/>
  <c r="B35" i="31"/>
  <c r="C35" i="31"/>
  <c r="D35" i="31"/>
  <c r="E35" i="31"/>
  <c r="F35" i="31"/>
  <c r="G35" i="31"/>
  <c r="H35" i="31"/>
  <c r="I35" i="31"/>
  <c r="J35" i="31"/>
  <c r="K35" i="31"/>
  <c r="L35" i="31"/>
  <c r="M35" i="31"/>
  <c r="A36" i="31"/>
  <c r="B36" i="31"/>
  <c r="C36" i="31"/>
  <c r="D36" i="31"/>
  <c r="E36" i="31"/>
  <c r="F36" i="31"/>
  <c r="G36" i="31"/>
  <c r="H36" i="31"/>
  <c r="I36" i="31"/>
  <c r="J36" i="31"/>
  <c r="K36" i="31"/>
  <c r="L36" i="31"/>
  <c r="M36" i="31"/>
  <c r="A37" i="31"/>
  <c r="B37" i="31"/>
  <c r="C37" i="31"/>
  <c r="D37" i="31"/>
  <c r="E37" i="31"/>
  <c r="F37" i="31"/>
  <c r="G37" i="31"/>
  <c r="H37" i="31"/>
  <c r="I37" i="31"/>
  <c r="J37" i="31"/>
  <c r="K37" i="31"/>
  <c r="L37" i="31"/>
  <c r="M37" i="31"/>
  <c r="A38" i="31"/>
  <c r="B38" i="31"/>
  <c r="C38" i="31"/>
  <c r="D38" i="31"/>
  <c r="E38" i="31"/>
  <c r="F38" i="31"/>
  <c r="G38" i="31"/>
  <c r="H38" i="31"/>
  <c r="I38" i="31"/>
  <c r="J38" i="31"/>
  <c r="K38" i="31"/>
  <c r="L38" i="31"/>
  <c r="M38" i="31"/>
  <c r="A39" i="31"/>
  <c r="B39" i="31"/>
  <c r="C39" i="31"/>
  <c r="D39" i="31"/>
  <c r="E39" i="31"/>
  <c r="F39" i="31"/>
  <c r="G39" i="31"/>
  <c r="H39" i="31"/>
  <c r="I39" i="31"/>
  <c r="J39" i="31"/>
  <c r="K39" i="31"/>
  <c r="L39" i="31"/>
  <c r="M39" i="31"/>
  <c r="A40" i="31"/>
  <c r="B40" i="31"/>
  <c r="C40" i="31"/>
  <c r="D40" i="31"/>
  <c r="E40" i="31"/>
  <c r="F40" i="31"/>
  <c r="G40" i="31"/>
  <c r="H40" i="31"/>
  <c r="I40" i="31"/>
  <c r="J40" i="31"/>
  <c r="K40" i="31"/>
  <c r="L40" i="31"/>
  <c r="M40" i="31"/>
  <c r="A41" i="31"/>
  <c r="B41" i="31"/>
  <c r="C41" i="31"/>
  <c r="D41" i="31"/>
  <c r="E41" i="31"/>
  <c r="F41" i="31"/>
  <c r="G41" i="31"/>
  <c r="H41" i="31"/>
  <c r="I41" i="31"/>
  <c r="J41" i="31"/>
  <c r="K41" i="31"/>
  <c r="L41" i="31"/>
  <c r="M41" i="31"/>
  <c r="A42" i="31"/>
  <c r="B42" i="31"/>
  <c r="C42" i="31"/>
  <c r="D42" i="31"/>
  <c r="E42" i="31"/>
  <c r="F42" i="31"/>
  <c r="G42" i="31"/>
  <c r="H42" i="31"/>
  <c r="I42" i="31"/>
  <c r="J42" i="31"/>
  <c r="K42" i="31"/>
  <c r="L42" i="31"/>
  <c r="M42" i="31"/>
  <c r="A43" i="31"/>
  <c r="B43" i="31"/>
  <c r="C43" i="31"/>
  <c r="D43" i="31"/>
  <c r="E43" i="31"/>
  <c r="F43" i="31"/>
  <c r="G43" i="31"/>
  <c r="H43" i="31"/>
  <c r="I43" i="31"/>
  <c r="J43" i="31"/>
  <c r="K43" i="31"/>
  <c r="L43" i="31"/>
  <c r="M43" i="31"/>
  <c r="A44" i="31"/>
  <c r="B44" i="31"/>
  <c r="C44" i="31"/>
  <c r="D44" i="31"/>
  <c r="E44" i="31"/>
  <c r="F44" i="31"/>
  <c r="G44" i="31"/>
  <c r="H44" i="31"/>
  <c r="I44" i="31"/>
  <c r="J44" i="31"/>
  <c r="K44" i="31"/>
  <c r="L44" i="31"/>
  <c r="M44" i="31"/>
  <c r="A45" i="31"/>
  <c r="B45" i="31"/>
  <c r="C45" i="31"/>
  <c r="D45" i="31"/>
  <c r="E45" i="31"/>
  <c r="F45" i="31"/>
  <c r="G45" i="31"/>
  <c r="H45" i="31"/>
  <c r="I45" i="31"/>
  <c r="J45" i="31"/>
  <c r="K45" i="31"/>
  <c r="L45" i="31"/>
  <c r="M45" i="31"/>
  <c r="A46" i="31"/>
  <c r="B46" i="31"/>
  <c r="C46" i="31"/>
  <c r="D46" i="31"/>
  <c r="E46" i="31"/>
  <c r="F46" i="31"/>
  <c r="G46" i="31"/>
  <c r="H46" i="31"/>
  <c r="I46" i="31"/>
  <c r="J46" i="31"/>
  <c r="K46" i="31"/>
  <c r="L46" i="31"/>
  <c r="M46" i="31"/>
  <c r="A47" i="31"/>
  <c r="B47" i="31"/>
  <c r="C47" i="31"/>
  <c r="D47" i="31"/>
  <c r="E47" i="31"/>
  <c r="F47" i="31"/>
  <c r="G47" i="31"/>
  <c r="H47" i="31"/>
  <c r="I47" i="31"/>
  <c r="J47" i="31"/>
  <c r="K47" i="31"/>
  <c r="L47" i="31"/>
  <c r="M47" i="31"/>
  <c r="A48" i="31"/>
  <c r="B48" i="31"/>
  <c r="C48" i="31"/>
  <c r="D48" i="31"/>
  <c r="E48" i="31"/>
  <c r="F48" i="31"/>
  <c r="G48" i="31"/>
  <c r="H48" i="31"/>
  <c r="I48" i="31"/>
  <c r="J48" i="31"/>
  <c r="K48" i="31"/>
  <c r="L48" i="31"/>
  <c r="M48" i="31"/>
  <c r="A49" i="31"/>
  <c r="B49" i="31"/>
  <c r="C49" i="31"/>
  <c r="D49" i="31"/>
  <c r="E49" i="31"/>
  <c r="F49" i="31"/>
  <c r="G49" i="31"/>
  <c r="H49" i="31"/>
  <c r="I49" i="31"/>
  <c r="J49" i="31"/>
  <c r="K49" i="31"/>
  <c r="L49" i="31"/>
  <c r="M49" i="31"/>
  <c r="A50" i="31"/>
  <c r="B50" i="31"/>
  <c r="C50" i="31"/>
  <c r="D50" i="31"/>
  <c r="E50" i="31"/>
  <c r="F50" i="31"/>
  <c r="G50" i="31"/>
  <c r="H50" i="31"/>
  <c r="I50" i="31"/>
  <c r="J50" i="31"/>
  <c r="K50" i="31"/>
  <c r="L50" i="31"/>
  <c r="M50" i="31"/>
  <c r="A51" i="31"/>
  <c r="B51" i="31"/>
  <c r="C51" i="31"/>
  <c r="D51" i="31"/>
  <c r="E51" i="31"/>
  <c r="F51" i="31"/>
  <c r="G51" i="31"/>
  <c r="H51" i="31"/>
  <c r="I51" i="31"/>
  <c r="J51" i="31"/>
  <c r="K51" i="31"/>
  <c r="L51" i="31"/>
  <c r="M51" i="31"/>
  <c r="A52" i="31"/>
  <c r="B52" i="31"/>
  <c r="C52" i="31"/>
  <c r="D52" i="31"/>
  <c r="E52" i="31"/>
  <c r="F52" i="31"/>
  <c r="G52" i="31"/>
  <c r="H52" i="31"/>
  <c r="I52" i="31"/>
  <c r="J52" i="31"/>
  <c r="K52" i="31"/>
  <c r="L52" i="31"/>
  <c r="M52" i="31"/>
  <c r="A53" i="31"/>
  <c r="B53" i="31"/>
  <c r="C53" i="31"/>
  <c r="D53" i="31"/>
  <c r="E53" i="31"/>
  <c r="F53" i="31"/>
  <c r="G53" i="31"/>
  <c r="H53" i="31"/>
  <c r="I53" i="31"/>
  <c r="J53" i="31"/>
  <c r="K53" i="31"/>
  <c r="L53" i="31"/>
  <c r="M53" i="31"/>
  <c r="A54" i="31"/>
  <c r="B54" i="31"/>
  <c r="C54" i="31"/>
  <c r="D54" i="31"/>
  <c r="E54" i="31"/>
  <c r="F54" i="31"/>
  <c r="G54" i="31"/>
  <c r="H54" i="31"/>
  <c r="I54" i="31"/>
  <c r="J54" i="31"/>
  <c r="K54" i="31"/>
  <c r="L54" i="31"/>
  <c r="M54" i="31"/>
  <c r="A55" i="31"/>
  <c r="B55" i="31"/>
  <c r="C55" i="31"/>
  <c r="D55" i="31"/>
  <c r="E55" i="31"/>
  <c r="F55" i="31"/>
  <c r="G55" i="31"/>
  <c r="H55" i="31"/>
  <c r="I55" i="31"/>
  <c r="J55" i="31"/>
  <c r="K55" i="31"/>
  <c r="L55" i="31"/>
  <c r="M55" i="31"/>
  <c r="A56" i="31"/>
  <c r="B56" i="31"/>
  <c r="C56" i="31"/>
  <c r="D56" i="31"/>
  <c r="E56" i="31"/>
  <c r="F56" i="31"/>
  <c r="G56" i="31"/>
  <c r="H56" i="31"/>
  <c r="I56" i="31"/>
  <c r="J56" i="31"/>
  <c r="K56" i="31"/>
  <c r="L56" i="31"/>
  <c r="M56" i="31"/>
  <c r="A57" i="31"/>
  <c r="B57" i="31"/>
  <c r="C57" i="31"/>
  <c r="D57" i="31"/>
  <c r="E57" i="31"/>
  <c r="F57" i="31"/>
  <c r="G57" i="31"/>
  <c r="H57" i="31"/>
  <c r="I57" i="31"/>
  <c r="J57" i="31"/>
  <c r="K57" i="31"/>
  <c r="L57" i="31"/>
  <c r="M57" i="31"/>
  <c r="A58" i="31"/>
  <c r="B58" i="31"/>
  <c r="C58" i="31"/>
  <c r="D58" i="31"/>
  <c r="E58" i="31"/>
  <c r="F58" i="31"/>
  <c r="G58" i="31"/>
  <c r="H58" i="31"/>
  <c r="I58" i="31"/>
  <c r="J58" i="31"/>
  <c r="K58" i="31"/>
  <c r="L58" i="31"/>
  <c r="M58" i="31"/>
  <c r="A59" i="31"/>
  <c r="B59" i="31"/>
  <c r="C59" i="31"/>
  <c r="D59" i="31"/>
  <c r="E59" i="31"/>
  <c r="F59" i="31"/>
  <c r="G59" i="31"/>
  <c r="H59" i="31"/>
  <c r="I59" i="31"/>
  <c r="J59" i="31"/>
  <c r="K59" i="31"/>
  <c r="L59" i="31"/>
  <c r="M59" i="31"/>
  <c r="A60" i="31"/>
  <c r="B60" i="31"/>
  <c r="C60" i="31"/>
  <c r="D60" i="31"/>
  <c r="E60" i="31"/>
  <c r="F60" i="31"/>
  <c r="G60" i="31"/>
  <c r="H60" i="31"/>
  <c r="I60" i="31"/>
  <c r="J60" i="31"/>
  <c r="K60" i="31"/>
  <c r="L60" i="31"/>
  <c r="M60" i="31"/>
  <c r="A61" i="31"/>
  <c r="B61" i="31"/>
  <c r="C61" i="31"/>
  <c r="D61" i="31"/>
  <c r="E61" i="31"/>
  <c r="F61" i="31"/>
  <c r="G61" i="31"/>
  <c r="H61" i="31"/>
  <c r="I61" i="31"/>
  <c r="J61" i="31"/>
  <c r="K61" i="31"/>
  <c r="L61" i="31"/>
  <c r="M61" i="31"/>
  <c r="A62" i="31"/>
  <c r="B62" i="31"/>
  <c r="C62" i="31"/>
  <c r="D62" i="31"/>
  <c r="E62" i="31"/>
  <c r="F62" i="31"/>
  <c r="G62" i="31"/>
  <c r="H62" i="31"/>
  <c r="I62" i="31"/>
  <c r="J62" i="31"/>
  <c r="K62" i="31"/>
  <c r="L62" i="31"/>
  <c r="M62" i="31"/>
  <c r="A63" i="31"/>
  <c r="B63" i="31"/>
  <c r="C63" i="31"/>
  <c r="D63" i="31"/>
  <c r="E63" i="31"/>
  <c r="F63" i="31"/>
  <c r="G63" i="31"/>
  <c r="H63" i="31"/>
  <c r="I63" i="31"/>
  <c r="J63" i="31"/>
  <c r="K63" i="31"/>
  <c r="L63" i="31"/>
  <c r="M63" i="31"/>
  <c r="A64" i="31"/>
  <c r="B64" i="31"/>
  <c r="C64" i="31"/>
  <c r="D64" i="31"/>
  <c r="E64" i="31"/>
  <c r="F64" i="31"/>
  <c r="G64" i="31"/>
  <c r="H64" i="31"/>
  <c r="I64" i="31"/>
  <c r="J64" i="31"/>
  <c r="K64" i="31"/>
  <c r="L64" i="31"/>
  <c r="M64" i="31"/>
  <c r="A65" i="31"/>
  <c r="B65" i="31"/>
  <c r="C65" i="31"/>
  <c r="D65" i="31"/>
  <c r="E65" i="31"/>
  <c r="F65" i="31"/>
  <c r="G65" i="31"/>
  <c r="H65" i="31"/>
  <c r="I65" i="31"/>
  <c r="J65" i="31"/>
  <c r="K65" i="31"/>
  <c r="L65" i="31"/>
  <c r="M65" i="31"/>
  <c r="A66" i="31"/>
  <c r="B66" i="31"/>
  <c r="C66" i="31"/>
  <c r="D66" i="31"/>
  <c r="E66" i="31"/>
  <c r="F66" i="31"/>
  <c r="G66" i="31"/>
  <c r="H66" i="31"/>
  <c r="I66" i="31"/>
  <c r="J66" i="31"/>
  <c r="K66" i="31"/>
  <c r="L66" i="31"/>
  <c r="M66" i="31"/>
  <c r="A67" i="31"/>
  <c r="B67" i="31"/>
  <c r="C67" i="31"/>
  <c r="D67" i="31"/>
  <c r="E67" i="31"/>
  <c r="F67" i="31"/>
  <c r="G67" i="31"/>
  <c r="H67" i="31"/>
  <c r="I67" i="31"/>
  <c r="J67" i="31"/>
  <c r="K67" i="31"/>
  <c r="L67" i="31"/>
  <c r="M67" i="31"/>
  <c r="A68" i="31"/>
  <c r="B68" i="31"/>
  <c r="C68" i="31"/>
  <c r="D68" i="31"/>
  <c r="E68" i="31"/>
  <c r="F68" i="31"/>
  <c r="G68" i="31"/>
  <c r="H68" i="31"/>
  <c r="I68" i="31"/>
  <c r="J68" i="31"/>
  <c r="K68" i="31"/>
  <c r="L68" i="31"/>
  <c r="M68" i="31"/>
  <c r="A69" i="31"/>
  <c r="B69" i="31"/>
  <c r="C69" i="31"/>
  <c r="D69" i="31"/>
  <c r="E69" i="31"/>
  <c r="F69" i="31"/>
  <c r="G69" i="31"/>
  <c r="H69" i="31"/>
  <c r="I69" i="31"/>
  <c r="J69" i="31"/>
  <c r="K69" i="31"/>
  <c r="L69" i="31"/>
  <c r="M69" i="31"/>
  <c r="A70" i="31"/>
  <c r="B70" i="31"/>
  <c r="C70" i="31"/>
  <c r="D70" i="31"/>
  <c r="E70" i="31"/>
  <c r="F70" i="31"/>
  <c r="G70" i="31"/>
  <c r="H70" i="31"/>
  <c r="I70" i="31"/>
  <c r="J70" i="31"/>
  <c r="K70" i="31"/>
  <c r="L70" i="31"/>
  <c r="M70" i="31"/>
  <c r="A71" i="31"/>
  <c r="B71" i="31"/>
  <c r="C71" i="31"/>
  <c r="D71" i="31"/>
  <c r="E71" i="31"/>
  <c r="F71" i="31"/>
  <c r="G71" i="31"/>
  <c r="H71" i="31"/>
  <c r="I71" i="31"/>
  <c r="J71" i="31"/>
  <c r="K71" i="31"/>
  <c r="L71" i="31"/>
  <c r="M71" i="31"/>
  <c r="A72" i="31"/>
  <c r="B72" i="31"/>
  <c r="C72" i="31"/>
  <c r="D72" i="31"/>
  <c r="E72" i="31"/>
  <c r="F72" i="31"/>
  <c r="G72" i="31"/>
  <c r="H72" i="31"/>
  <c r="I72" i="31"/>
  <c r="J72" i="31"/>
  <c r="K72" i="31"/>
  <c r="L72" i="31"/>
  <c r="M72" i="31"/>
  <c r="A73" i="31"/>
  <c r="B73" i="31"/>
  <c r="C73" i="31"/>
  <c r="D73" i="31"/>
  <c r="E73" i="31"/>
  <c r="F73" i="31"/>
  <c r="G73" i="31"/>
  <c r="H73" i="31"/>
  <c r="I73" i="31"/>
  <c r="J73" i="31"/>
  <c r="K73" i="31"/>
  <c r="L73" i="31"/>
  <c r="M73" i="31"/>
  <c r="A74" i="31"/>
  <c r="B74" i="31"/>
  <c r="C74" i="31"/>
  <c r="D74" i="31"/>
  <c r="E74" i="31"/>
  <c r="F74" i="31"/>
  <c r="G74" i="31"/>
  <c r="H74" i="31"/>
  <c r="I74" i="31"/>
  <c r="J74" i="31"/>
  <c r="K74" i="31"/>
  <c r="L74" i="31"/>
  <c r="M74" i="31"/>
  <c r="A75" i="31"/>
  <c r="B75" i="31"/>
  <c r="C75" i="31"/>
  <c r="D75" i="31"/>
  <c r="E75" i="31"/>
  <c r="F75" i="31"/>
  <c r="G75" i="31"/>
  <c r="H75" i="31"/>
  <c r="I75" i="31"/>
  <c r="J75" i="31"/>
  <c r="K75" i="31"/>
  <c r="L75" i="31"/>
  <c r="M75" i="31"/>
  <c r="A76" i="31"/>
  <c r="B76" i="31"/>
  <c r="C76" i="31"/>
  <c r="D76" i="31"/>
  <c r="E76" i="31"/>
  <c r="F76" i="31"/>
  <c r="G76" i="31"/>
  <c r="H76" i="31"/>
  <c r="I76" i="31"/>
  <c r="J76" i="31"/>
  <c r="K76" i="31"/>
  <c r="L76" i="31"/>
  <c r="M76" i="31"/>
  <c r="A77" i="31"/>
  <c r="B77" i="31"/>
  <c r="C77" i="31"/>
  <c r="D77" i="31"/>
  <c r="E77" i="31"/>
  <c r="F77" i="31"/>
  <c r="G77" i="31"/>
  <c r="H77" i="31"/>
  <c r="I77" i="31"/>
  <c r="J77" i="31"/>
  <c r="K77" i="31"/>
  <c r="L77" i="31"/>
  <c r="M77" i="31"/>
  <c r="A78" i="31"/>
  <c r="B78" i="31"/>
  <c r="C78" i="31"/>
  <c r="D78" i="31"/>
  <c r="E78" i="31"/>
  <c r="F78" i="31"/>
  <c r="G78" i="31"/>
  <c r="H78" i="31"/>
  <c r="I78" i="31"/>
  <c r="J78" i="31"/>
  <c r="K78" i="31"/>
  <c r="L78" i="31"/>
  <c r="M78" i="31"/>
  <c r="A79" i="31"/>
  <c r="B79" i="31"/>
  <c r="C79" i="31"/>
  <c r="D79" i="31"/>
  <c r="E79" i="31"/>
  <c r="F79" i="31"/>
  <c r="G79" i="31"/>
  <c r="H79" i="31"/>
  <c r="I79" i="31"/>
  <c r="J79" i="31"/>
  <c r="K79" i="31"/>
  <c r="L79" i="31"/>
  <c r="M79" i="31"/>
  <c r="A80" i="31"/>
  <c r="B80" i="31"/>
  <c r="C80" i="31"/>
  <c r="D80" i="31"/>
  <c r="E80" i="31"/>
  <c r="F80" i="31"/>
  <c r="G80" i="31"/>
  <c r="H80" i="31"/>
  <c r="I80" i="31"/>
  <c r="J80" i="31"/>
  <c r="K80" i="31"/>
  <c r="L80" i="31"/>
  <c r="M80" i="31"/>
  <c r="A81" i="31"/>
  <c r="B81" i="31"/>
  <c r="C81" i="31"/>
  <c r="D81" i="31"/>
  <c r="E81" i="31"/>
  <c r="F81" i="31"/>
  <c r="G81" i="31"/>
  <c r="H81" i="31"/>
  <c r="I81" i="31"/>
  <c r="J81" i="31"/>
  <c r="K81" i="31"/>
  <c r="L81" i="31"/>
  <c r="M81" i="31"/>
  <c r="A82" i="31"/>
  <c r="B82" i="31"/>
  <c r="C82" i="31"/>
  <c r="D82" i="31"/>
  <c r="E82" i="31"/>
  <c r="F82" i="31"/>
  <c r="G82" i="31"/>
  <c r="H82" i="31"/>
  <c r="I82" i="31"/>
  <c r="J82" i="31"/>
  <c r="K82" i="31"/>
  <c r="L82" i="31"/>
  <c r="M82" i="31"/>
  <c r="A83" i="31"/>
  <c r="B83" i="31"/>
  <c r="C83" i="31"/>
  <c r="D83" i="31"/>
  <c r="E83" i="31"/>
  <c r="F83" i="31"/>
  <c r="G83" i="31"/>
  <c r="H83" i="31"/>
  <c r="I83" i="31"/>
  <c r="J83" i="31"/>
  <c r="K83" i="31"/>
  <c r="L83" i="31"/>
  <c r="M83" i="31"/>
  <c r="A84" i="31"/>
  <c r="B84" i="31"/>
  <c r="C84" i="31"/>
  <c r="D84" i="31"/>
  <c r="E84" i="31"/>
  <c r="F84" i="31"/>
  <c r="G84" i="31"/>
  <c r="H84" i="31"/>
  <c r="I84" i="31"/>
  <c r="J84" i="31"/>
  <c r="K84" i="31"/>
  <c r="L84" i="31"/>
  <c r="M84" i="31"/>
  <c r="A85" i="31"/>
  <c r="B85" i="31"/>
  <c r="C85" i="31"/>
  <c r="D85" i="31"/>
  <c r="E85" i="31"/>
  <c r="F85" i="31"/>
  <c r="G85" i="31"/>
  <c r="H85" i="31"/>
  <c r="I85" i="31"/>
  <c r="J85" i="31"/>
  <c r="K85" i="31"/>
  <c r="L85" i="31"/>
  <c r="M85" i="31"/>
  <c r="A86" i="31"/>
  <c r="B86" i="31"/>
  <c r="C86" i="31"/>
  <c r="D86" i="31"/>
  <c r="E86" i="31"/>
  <c r="F86" i="31"/>
  <c r="G86" i="31"/>
  <c r="H86" i="31"/>
  <c r="I86" i="31"/>
  <c r="J86" i="31"/>
  <c r="K86" i="31"/>
  <c r="L86" i="31"/>
  <c r="M86" i="31"/>
  <c r="A87" i="31"/>
  <c r="B87" i="31"/>
  <c r="C87" i="31"/>
  <c r="D87" i="31"/>
  <c r="E87" i="31"/>
  <c r="F87" i="31"/>
  <c r="G87" i="31"/>
  <c r="H87" i="31"/>
  <c r="I87" i="31"/>
  <c r="J87" i="31"/>
  <c r="K87" i="31"/>
  <c r="L87" i="31"/>
  <c r="M87" i="31"/>
  <c r="A88" i="31"/>
  <c r="B88" i="31"/>
  <c r="C88" i="31"/>
  <c r="D88" i="31"/>
  <c r="E88" i="31"/>
  <c r="F88" i="31"/>
  <c r="G88" i="31"/>
  <c r="H88" i="31"/>
  <c r="I88" i="31"/>
  <c r="J88" i="31"/>
  <c r="K88" i="31"/>
  <c r="L88" i="31"/>
  <c r="M88" i="31"/>
  <c r="A89" i="31"/>
  <c r="B89" i="31"/>
  <c r="C89" i="31"/>
  <c r="D89" i="31"/>
  <c r="E89" i="31"/>
  <c r="F89" i="31"/>
  <c r="G89" i="31"/>
  <c r="H89" i="31"/>
  <c r="I89" i="31"/>
  <c r="J89" i="31"/>
  <c r="K89" i="31"/>
  <c r="L89" i="31"/>
  <c r="M89" i="31"/>
  <c r="A90" i="31"/>
  <c r="B90" i="31"/>
  <c r="C90" i="31"/>
  <c r="D90" i="31"/>
  <c r="E90" i="31"/>
  <c r="F90" i="31"/>
  <c r="G90" i="31"/>
  <c r="H90" i="31"/>
  <c r="I90" i="31"/>
  <c r="J90" i="31"/>
  <c r="K90" i="31"/>
  <c r="L90" i="31"/>
  <c r="M90" i="31"/>
  <c r="A91" i="31"/>
  <c r="B91" i="31"/>
  <c r="C91" i="31"/>
  <c r="D91" i="31"/>
  <c r="E91" i="31"/>
  <c r="F91" i="31"/>
  <c r="G91" i="31"/>
  <c r="H91" i="31"/>
  <c r="I91" i="31"/>
  <c r="J91" i="31"/>
  <c r="K91" i="31"/>
  <c r="L91" i="31"/>
  <c r="M91" i="31"/>
  <c r="A92" i="31"/>
  <c r="B92" i="31"/>
  <c r="C92" i="31"/>
  <c r="D92" i="31"/>
  <c r="E92" i="31"/>
  <c r="F92" i="31"/>
  <c r="G92" i="31"/>
  <c r="H92" i="31"/>
  <c r="I92" i="31"/>
  <c r="J92" i="31"/>
  <c r="K92" i="31"/>
  <c r="L92" i="31"/>
  <c r="M92" i="31"/>
  <c r="A93" i="31"/>
  <c r="B93" i="31"/>
  <c r="C93" i="31"/>
  <c r="D93" i="31"/>
  <c r="E93" i="31"/>
  <c r="F93" i="31"/>
  <c r="G93" i="31"/>
  <c r="H93" i="31"/>
  <c r="I93" i="31"/>
  <c r="J93" i="31"/>
  <c r="K93" i="31"/>
  <c r="L93" i="31"/>
  <c r="M93" i="31"/>
  <c r="A94" i="31"/>
  <c r="B94" i="31"/>
  <c r="C94" i="31"/>
  <c r="D94" i="31"/>
  <c r="E94" i="31"/>
  <c r="F94" i="31"/>
  <c r="G94" i="31"/>
  <c r="H94" i="31"/>
  <c r="I94" i="31"/>
  <c r="J94" i="31"/>
  <c r="K94" i="31"/>
  <c r="L94" i="31"/>
  <c r="M94" i="31"/>
  <c r="A95" i="31"/>
  <c r="B95" i="31"/>
  <c r="C95" i="31"/>
  <c r="D95" i="31"/>
  <c r="E95" i="31"/>
  <c r="F95" i="31"/>
  <c r="G95" i="31"/>
  <c r="H95" i="31"/>
  <c r="I95" i="31"/>
  <c r="J95" i="31"/>
  <c r="K95" i="31"/>
  <c r="L95" i="31"/>
  <c r="M95" i="31"/>
  <c r="A96" i="31"/>
  <c r="B96" i="31"/>
  <c r="C96" i="31"/>
  <c r="D96" i="31"/>
  <c r="E96" i="31"/>
  <c r="F96" i="31"/>
  <c r="G96" i="31"/>
  <c r="H96" i="31"/>
  <c r="I96" i="31"/>
  <c r="J96" i="31"/>
  <c r="K96" i="31"/>
  <c r="L96" i="31"/>
  <c r="M96" i="31"/>
  <c r="A97" i="31"/>
  <c r="B97" i="31"/>
  <c r="C97" i="31"/>
  <c r="D97" i="31"/>
  <c r="E97" i="31"/>
  <c r="F97" i="31"/>
  <c r="G97" i="31"/>
  <c r="H97" i="31"/>
  <c r="I97" i="31"/>
  <c r="J97" i="31"/>
  <c r="K97" i="31"/>
  <c r="L97" i="31"/>
  <c r="M97" i="31"/>
  <c r="A98" i="31"/>
  <c r="B98" i="31"/>
  <c r="C98" i="31"/>
  <c r="D98" i="31"/>
  <c r="E98" i="31"/>
  <c r="F98" i="31"/>
  <c r="G98" i="31"/>
  <c r="H98" i="31"/>
  <c r="I98" i="31"/>
  <c r="J98" i="31"/>
  <c r="K98" i="31"/>
  <c r="L98" i="31"/>
  <c r="M98" i="31"/>
  <c r="A99" i="31"/>
  <c r="B99" i="31"/>
  <c r="C99" i="31"/>
  <c r="D99" i="31"/>
  <c r="E99" i="31"/>
  <c r="F99" i="31"/>
  <c r="G99" i="31"/>
  <c r="H99" i="31"/>
  <c r="I99" i="31"/>
  <c r="J99" i="31"/>
  <c r="K99" i="31"/>
  <c r="L99" i="31"/>
  <c r="M99" i="31"/>
  <c r="A100" i="31"/>
  <c r="B100" i="31"/>
  <c r="C100" i="31"/>
  <c r="D100" i="31"/>
  <c r="E100" i="31"/>
  <c r="F100" i="31"/>
  <c r="G100" i="31"/>
  <c r="H100" i="31"/>
  <c r="I100" i="31"/>
  <c r="J100" i="31"/>
  <c r="K100" i="31"/>
  <c r="L100" i="31"/>
  <c r="M100" i="31"/>
  <c r="A101" i="31"/>
  <c r="B101" i="31"/>
  <c r="C101" i="31"/>
  <c r="D101" i="31"/>
  <c r="E101" i="31"/>
  <c r="F101" i="31"/>
  <c r="G101" i="31"/>
  <c r="H101" i="31"/>
  <c r="I101" i="31"/>
  <c r="J101" i="31"/>
  <c r="K101" i="31"/>
  <c r="L101" i="31"/>
  <c r="M101" i="31"/>
  <c r="A102" i="31"/>
  <c r="B102" i="31"/>
  <c r="C102" i="31"/>
  <c r="D102" i="31"/>
  <c r="E102" i="31"/>
  <c r="F102" i="31"/>
  <c r="G102" i="31"/>
  <c r="H102" i="31"/>
  <c r="I102" i="31"/>
  <c r="J102" i="31"/>
  <c r="K102" i="31"/>
  <c r="L102" i="31"/>
  <c r="M102" i="31"/>
  <c r="A103" i="31"/>
  <c r="B103" i="31"/>
  <c r="C103" i="31"/>
  <c r="D103" i="31"/>
  <c r="E103" i="31"/>
  <c r="F103" i="31"/>
  <c r="G103" i="31"/>
  <c r="H103" i="31"/>
  <c r="I103" i="31"/>
  <c r="J103" i="31"/>
  <c r="K103" i="31"/>
  <c r="L103" i="31"/>
  <c r="M103" i="31"/>
  <c r="A104" i="31"/>
  <c r="B104" i="31"/>
  <c r="C104" i="31"/>
  <c r="D104" i="31"/>
  <c r="E104" i="31"/>
  <c r="F104" i="31"/>
  <c r="G104" i="31"/>
  <c r="H104" i="31"/>
  <c r="I104" i="31"/>
  <c r="J104" i="31"/>
  <c r="K104" i="31"/>
  <c r="L104" i="31"/>
  <c r="M104" i="31"/>
  <c r="A105" i="31"/>
  <c r="B105" i="31"/>
  <c r="C105" i="31"/>
  <c r="D105" i="31"/>
  <c r="E105" i="31"/>
  <c r="F105" i="31"/>
  <c r="G105" i="31"/>
  <c r="H105" i="31"/>
  <c r="I105" i="31"/>
  <c r="J105" i="31"/>
  <c r="K105" i="31"/>
  <c r="L105" i="31"/>
  <c r="M105" i="31"/>
  <c r="A106" i="31"/>
  <c r="B106" i="31"/>
  <c r="C106" i="31"/>
  <c r="D106" i="31"/>
  <c r="E106" i="31"/>
  <c r="F106" i="31"/>
  <c r="G106" i="31"/>
  <c r="H106" i="31"/>
  <c r="I106" i="31"/>
  <c r="J106" i="31"/>
  <c r="K106" i="31"/>
  <c r="L106" i="31"/>
  <c r="M106" i="31"/>
  <c r="A107" i="31"/>
  <c r="B107" i="31"/>
  <c r="C107" i="31"/>
  <c r="D107" i="31"/>
  <c r="E107" i="31"/>
  <c r="F107" i="31"/>
  <c r="G107" i="31"/>
  <c r="H107" i="31"/>
  <c r="I107" i="31"/>
  <c r="J107" i="31"/>
  <c r="K107" i="31"/>
  <c r="L107" i="31"/>
  <c r="M107" i="31"/>
  <c r="A108" i="31"/>
  <c r="B108" i="31"/>
  <c r="C108" i="31"/>
  <c r="D108" i="31"/>
  <c r="E108" i="31"/>
  <c r="F108" i="31"/>
  <c r="G108" i="31"/>
  <c r="H108" i="31"/>
  <c r="I108" i="31"/>
  <c r="J108" i="31"/>
  <c r="K108" i="31"/>
  <c r="L108" i="31"/>
  <c r="M108" i="31"/>
  <c r="A109" i="31"/>
  <c r="B109" i="31"/>
  <c r="C109" i="31"/>
  <c r="D109" i="31"/>
  <c r="E109" i="31"/>
  <c r="F109" i="31"/>
  <c r="G109" i="31"/>
  <c r="H109" i="31"/>
  <c r="I109" i="31"/>
  <c r="J109" i="31"/>
  <c r="K109" i="31"/>
  <c r="L109" i="31"/>
  <c r="M109" i="31"/>
  <c r="A110" i="31"/>
  <c r="B110" i="31"/>
  <c r="C110" i="31"/>
  <c r="D110" i="31"/>
  <c r="E110" i="31"/>
  <c r="F110" i="31"/>
  <c r="G110" i="31"/>
  <c r="H110" i="31"/>
  <c r="I110" i="31"/>
  <c r="J110" i="31"/>
  <c r="K110" i="31"/>
  <c r="L110" i="31"/>
  <c r="M110" i="31"/>
  <c r="A111" i="31"/>
  <c r="B111" i="31"/>
  <c r="C111" i="31"/>
  <c r="D111" i="31"/>
  <c r="E111" i="31"/>
  <c r="F111" i="31"/>
  <c r="G111" i="31"/>
  <c r="H111" i="31"/>
  <c r="I111" i="31"/>
  <c r="J111" i="31"/>
  <c r="K111" i="31"/>
  <c r="L111" i="31"/>
  <c r="M111" i="31"/>
  <c r="A112" i="31"/>
  <c r="B112" i="31"/>
  <c r="C112" i="31"/>
  <c r="D112" i="31"/>
  <c r="E112" i="31"/>
  <c r="F112" i="31"/>
  <c r="G112" i="31"/>
  <c r="H112" i="31"/>
  <c r="I112" i="31"/>
  <c r="J112" i="31"/>
  <c r="K112" i="31"/>
  <c r="L112" i="31"/>
  <c r="M112" i="31"/>
  <c r="A113" i="31"/>
  <c r="B113" i="31"/>
  <c r="C113" i="31"/>
  <c r="D113" i="31"/>
  <c r="E113" i="31"/>
  <c r="F113" i="31"/>
  <c r="G113" i="31"/>
  <c r="H113" i="31"/>
  <c r="I113" i="31"/>
  <c r="J113" i="31"/>
  <c r="K113" i="31"/>
  <c r="L113" i="31"/>
  <c r="M113" i="31"/>
  <c r="A114" i="31"/>
  <c r="B114" i="31"/>
  <c r="C114" i="31"/>
  <c r="D114" i="31"/>
  <c r="E114" i="31"/>
  <c r="F114" i="31"/>
  <c r="G114" i="31"/>
  <c r="H114" i="31"/>
  <c r="I114" i="31"/>
  <c r="J114" i="31"/>
  <c r="K114" i="31"/>
  <c r="L114" i="31"/>
  <c r="M114" i="31"/>
  <c r="A115" i="31"/>
  <c r="B115" i="31"/>
  <c r="C115" i="31"/>
  <c r="D115" i="31"/>
  <c r="E115" i="31"/>
  <c r="F115" i="31"/>
  <c r="G115" i="31"/>
  <c r="H115" i="31"/>
  <c r="I115" i="31"/>
  <c r="J115" i="31"/>
  <c r="K115" i="31"/>
  <c r="L115" i="31"/>
  <c r="M115" i="31"/>
  <c r="A116" i="31"/>
  <c r="B116" i="31"/>
  <c r="C116" i="31"/>
  <c r="D116" i="31"/>
  <c r="E116" i="31"/>
  <c r="F116" i="31"/>
  <c r="G116" i="31"/>
  <c r="H116" i="31"/>
  <c r="I116" i="31"/>
  <c r="J116" i="31"/>
  <c r="K116" i="31"/>
  <c r="L116" i="31"/>
  <c r="M116" i="31"/>
  <c r="A117" i="31"/>
  <c r="B117" i="31"/>
  <c r="C117" i="31"/>
  <c r="D117" i="31"/>
  <c r="E117" i="31"/>
  <c r="F117" i="31"/>
  <c r="G117" i="31"/>
  <c r="H117" i="31"/>
  <c r="I117" i="31"/>
  <c r="J117" i="31"/>
  <c r="K117" i="31"/>
  <c r="L117" i="31"/>
  <c r="M117" i="31"/>
  <c r="A118" i="31"/>
  <c r="B118" i="31"/>
  <c r="C118" i="31"/>
  <c r="D118" i="31"/>
  <c r="E118" i="31"/>
  <c r="F118" i="31"/>
  <c r="G118" i="31"/>
  <c r="H118" i="31"/>
  <c r="I118" i="31"/>
  <c r="J118" i="31"/>
  <c r="K118" i="31"/>
  <c r="L118" i="31"/>
  <c r="M118" i="31"/>
  <c r="A119" i="31"/>
  <c r="B119" i="31"/>
  <c r="C119" i="31"/>
  <c r="D119" i="31"/>
  <c r="E119" i="31"/>
  <c r="F119" i="31"/>
  <c r="G119" i="31"/>
  <c r="H119" i="31"/>
  <c r="I119" i="31"/>
  <c r="J119" i="31"/>
  <c r="K119" i="31"/>
  <c r="L119" i="31"/>
  <c r="M119" i="31"/>
  <c r="A120" i="31"/>
  <c r="B120" i="31"/>
  <c r="C120" i="31"/>
  <c r="D120" i="31"/>
  <c r="E120" i="31"/>
  <c r="F120" i="31"/>
  <c r="G120" i="31"/>
  <c r="H120" i="31"/>
  <c r="I120" i="31"/>
  <c r="J120" i="31"/>
  <c r="K120" i="31"/>
  <c r="L120" i="31"/>
  <c r="M120" i="31"/>
  <c r="A121" i="31"/>
  <c r="B121" i="31"/>
  <c r="C121" i="31"/>
  <c r="D121" i="31"/>
  <c r="E121" i="31"/>
  <c r="F121" i="31"/>
  <c r="G121" i="31"/>
  <c r="H121" i="31"/>
  <c r="I121" i="31"/>
  <c r="J121" i="31"/>
  <c r="K121" i="31"/>
  <c r="L121" i="31"/>
  <c r="M121" i="31"/>
  <c r="A122" i="31"/>
  <c r="B122" i="31"/>
  <c r="C122" i="31"/>
  <c r="D122" i="31"/>
  <c r="E122" i="31"/>
  <c r="F122" i="31"/>
  <c r="G122" i="31"/>
  <c r="H122" i="31"/>
  <c r="I122" i="31"/>
  <c r="J122" i="31"/>
  <c r="K122" i="31"/>
  <c r="L122" i="31"/>
  <c r="M122" i="31"/>
  <c r="A123" i="31"/>
  <c r="B123" i="31"/>
  <c r="C123" i="31"/>
  <c r="D123" i="31"/>
  <c r="E123" i="31"/>
  <c r="F123" i="31"/>
  <c r="G123" i="31"/>
  <c r="H123" i="31"/>
  <c r="I123" i="31"/>
  <c r="J123" i="31"/>
  <c r="K123" i="31"/>
  <c r="L123" i="31"/>
  <c r="M123" i="31"/>
  <c r="A124" i="31"/>
  <c r="B124" i="31"/>
  <c r="C124" i="31"/>
  <c r="D124" i="31"/>
  <c r="E124" i="31"/>
  <c r="F124" i="31"/>
  <c r="G124" i="31"/>
  <c r="H124" i="31"/>
  <c r="I124" i="31"/>
  <c r="J124" i="31"/>
  <c r="K124" i="31"/>
  <c r="L124" i="31"/>
  <c r="M124" i="31"/>
  <c r="A125" i="31"/>
  <c r="B125" i="31"/>
  <c r="C125" i="31"/>
  <c r="D125" i="31"/>
  <c r="E125" i="31"/>
  <c r="F125" i="31"/>
  <c r="G125" i="31"/>
  <c r="H125" i="31"/>
  <c r="I125" i="31"/>
  <c r="J125" i="31"/>
  <c r="K125" i="31"/>
  <c r="L125" i="31"/>
  <c r="M125" i="31"/>
  <c r="A126" i="31"/>
  <c r="B126" i="31"/>
  <c r="C126" i="31"/>
  <c r="D126" i="31"/>
  <c r="E126" i="31"/>
  <c r="F126" i="31"/>
  <c r="G126" i="31"/>
  <c r="H126" i="31"/>
  <c r="I126" i="31"/>
  <c r="J126" i="31"/>
  <c r="K126" i="31"/>
  <c r="L126" i="31"/>
  <c r="M126" i="31"/>
  <c r="A127" i="31"/>
  <c r="B127" i="31"/>
  <c r="C127" i="31"/>
  <c r="D127" i="31"/>
  <c r="E127" i="31"/>
  <c r="F127" i="31"/>
  <c r="G127" i="31"/>
  <c r="H127" i="31"/>
  <c r="I127" i="31"/>
  <c r="J127" i="31"/>
  <c r="K127" i="31"/>
  <c r="L127" i="31"/>
  <c r="M127" i="31"/>
  <c r="A128" i="31"/>
  <c r="B128" i="31"/>
  <c r="C128" i="31"/>
  <c r="D128" i="31"/>
  <c r="E128" i="31"/>
  <c r="F128" i="31"/>
  <c r="G128" i="31"/>
  <c r="H128" i="31"/>
  <c r="I128" i="31"/>
  <c r="J128" i="31"/>
  <c r="K128" i="31"/>
  <c r="L128" i="31"/>
  <c r="M128" i="31"/>
  <c r="A129" i="31"/>
  <c r="B129" i="31"/>
  <c r="C129" i="31"/>
  <c r="D129" i="31"/>
  <c r="E129" i="31"/>
  <c r="F129" i="31"/>
  <c r="G129" i="31"/>
  <c r="H129" i="31"/>
  <c r="I129" i="31"/>
  <c r="J129" i="31"/>
  <c r="K129" i="31"/>
  <c r="L129" i="31"/>
  <c r="M129" i="31"/>
  <c r="A130" i="31"/>
  <c r="B130" i="31"/>
  <c r="C130" i="31"/>
  <c r="D130" i="31"/>
  <c r="E130" i="31"/>
  <c r="F130" i="31"/>
  <c r="G130" i="31"/>
  <c r="H130" i="31"/>
  <c r="I130" i="31"/>
  <c r="J130" i="31"/>
  <c r="K130" i="31"/>
  <c r="L130" i="31"/>
  <c r="M130" i="31"/>
  <c r="A131" i="31"/>
  <c r="B131" i="31"/>
  <c r="C131" i="31"/>
  <c r="D131" i="31"/>
  <c r="E131" i="31"/>
  <c r="F131" i="31"/>
  <c r="G131" i="31"/>
  <c r="H131" i="31"/>
  <c r="I131" i="31"/>
  <c r="J131" i="31"/>
  <c r="K131" i="31"/>
  <c r="L131" i="31"/>
  <c r="M131" i="31"/>
  <c r="A132" i="31"/>
  <c r="B132" i="31"/>
  <c r="C132" i="31"/>
  <c r="D132" i="31"/>
  <c r="E132" i="31"/>
  <c r="F132" i="31"/>
  <c r="G132" i="31"/>
  <c r="H132" i="31"/>
  <c r="I132" i="31"/>
  <c r="J132" i="31"/>
  <c r="K132" i="31"/>
  <c r="L132" i="31"/>
  <c r="M132" i="31"/>
  <c r="A133" i="31"/>
  <c r="B133" i="31"/>
  <c r="C133" i="31"/>
  <c r="D133" i="31"/>
  <c r="E133" i="31"/>
  <c r="F133" i="31"/>
  <c r="G133" i="31"/>
  <c r="H133" i="31"/>
  <c r="I133" i="31"/>
  <c r="J133" i="31"/>
  <c r="K133" i="31"/>
  <c r="L133" i="31"/>
  <c r="M133" i="31"/>
  <c r="A134" i="31"/>
  <c r="B134" i="31"/>
  <c r="C134" i="31"/>
  <c r="D134" i="31"/>
  <c r="E134" i="31"/>
  <c r="F134" i="31"/>
  <c r="G134" i="31"/>
  <c r="H134" i="31"/>
  <c r="I134" i="31"/>
  <c r="J134" i="31"/>
  <c r="K134" i="31"/>
  <c r="L134" i="31"/>
  <c r="M134" i="31"/>
  <c r="A135" i="31"/>
  <c r="B135" i="31"/>
  <c r="C135" i="31"/>
  <c r="D135" i="31"/>
  <c r="E135" i="31"/>
  <c r="F135" i="31"/>
  <c r="G135" i="31"/>
  <c r="H135" i="31"/>
  <c r="I135" i="31"/>
  <c r="J135" i="31"/>
  <c r="K135" i="31"/>
  <c r="L135" i="31"/>
  <c r="M135" i="31"/>
  <c r="A136" i="31"/>
  <c r="B136" i="31"/>
  <c r="C136" i="31"/>
  <c r="D136" i="31"/>
  <c r="E136" i="31"/>
  <c r="F136" i="31"/>
  <c r="G136" i="31"/>
  <c r="H136" i="31"/>
  <c r="I136" i="31"/>
  <c r="J136" i="31"/>
  <c r="K136" i="31"/>
  <c r="L136" i="31"/>
  <c r="M136" i="31"/>
  <c r="A137" i="31"/>
  <c r="B137" i="31"/>
  <c r="C137" i="31"/>
  <c r="D137" i="31"/>
  <c r="E137" i="31"/>
  <c r="F137" i="31"/>
  <c r="G137" i="31"/>
  <c r="H137" i="31"/>
  <c r="I137" i="31"/>
  <c r="J137" i="31"/>
  <c r="K137" i="31"/>
  <c r="L137" i="31"/>
  <c r="M137" i="31"/>
  <c r="A138" i="31"/>
  <c r="B138" i="31"/>
  <c r="C138" i="31"/>
  <c r="D138" i="31"/>
  <c r="E138" i="31"/>
  <c r="F138" i="31"/>
  <c r="G138" i="31"/>
  <c r="H138" i="31"/>
  <c r="I138" i="31"/>
  <c r="J138" i="31"/>
  <c r="K138" i="31"/>
  <c r="L138" i="31"/>
  <c r="M138" i="31"/>
  <c r="A139" i="31"/>
  <c r="B139" i="31"/>
  <c r="C139" i="31"/>
  <c r="D139" i="31"/>
  <c r="E139" i="31"/>
  <c r="F139" i="31"/>
  <c r="G139" i="31"/>
  <c r="H139" i="31"/>
  <c r="I139" i="31"/>
  <c r="J139" i="31"/>
  <c r="K139" i="31"/>
  <c r="L139" i="31"/>
  <c r="M139" i="31"/>
  <c r="A140" i="31"/>
  <c r="B140" i="31"/>
  <c r="C140" i="31"/>
  <c r="D140" i="31"/>
  <c r="E140" i="31"/>
  <c r="F140" i="31"/>
  <c r="G140" i="31"/>
  <c r="H140" i="31"/>
  <c r="I140" i="31"/>
  <c r="J140" i="31"/>
  <c r="K140" i="31"/>
  <c r="L140" i="31"/>
  <c r="M140" i="31"/>
  <c r="A141" i="31"/>
  <c r="B141" i="31"/>
  <c r="C141" i="31"/>
  <c r="D141" i="31"/>
  <c r="E141" i="31"/>
  <c r="F141" i="31"/>
  <c r="G141" i="31"/>
  <c r="H141" i="31"/>
  <c r="I141" i="31"/>
  <c r="J141" i="31"/>
  <c r="K141" i="31"/>
  <c r="L141" i="31"/>
  <c r="M141" i="31"/>
  <c r="A142" i="31"/>
  <c r="B142" i="31"/>
  <c r="C142" i="31"/>
  <c r="D142" i="31"/>
  <c r="E142" i="31"/>
  <c r="F142" i="31"/>
  <c r="G142" i="31"/>
  <c r="H142" i="31"/>
  <c r="I142" i="31"/>
  <c r="J142" i="31"/>
  <c r="K142" i="31"/>
  <c r="L142" i="31"/>
  <c r="M142" i="31"/>
  <c r="A143" i="31"/>
  <c r="B143" i="31"/>
  <c r="C143" i="31"/>
  <c r="D143" i="31"/>
  <c r="E143" i="31"/>
  <c r="F143" i="31"/>
  <c r="G143" i="31"/>
  <c r="H143" i="31"/>
  <c r="I143" i="31"/>
  <c r="J143" i="31"/>
  <c r="K143" i="31"/>
  <c r="L143" i="31"/>
  <c r="M143" i="31"/>
  <c r="A144" i="31"/>
  <c r="B144" i="31"/>
  <c r="C144" i="31"/>
  <c r="D144" i="31"/>
  <c r="E144" i="31"/>
  <c r="F144" i="31"/>
  <c r="G144" i="31"/>
  <c r="H144" i="31"/>
  <c r="I144" i="31"/>
  <c r="J144" i="31"/>
  <c r="K144" i="31"/>
  <c r="L144" i="31"/>
  <c r="M144" i="31"/>
  <c r="A145" i="31"/>
  <c r="B145" i="31"/>
  <c r="C145" i="31"/>
  <c r="D145" i="31"/>
  <c r="E145" i="31"/>
  <c r="F145" i="31"/>
  <c r="G145" i="31"/>
  <c r="H145" i="31"/>
  <c r="I145" i="31"/>
  <c r="J145" i="31"/>
  <c r="K145" i="31"/>
  <c r="L145" i="31"/>
  <c r="M145" i="31"/>
  <c r="A146" i="31"/>
  <c r="B146" i="31"/>
  <c r="C146" i="31"/>
  <c r="D146" i="31"/>
  <c r="E146" i="31"/>
  <c r="F146" i="31"/>
  <c r="G146" i="31"/>
  <c r="H146" i="31"/>
  <c r="I146" i="31"/>
  <c r="J146" i="31"/>
  <c r="K146" i="31"/>
  <c r="L146" i="31"/>
  <c r="M146" i="31"/>
  <c r="A147" i="31"/>
  <c r="B147" i="31"/>
  <c r="C147" i="31"/>
  <c r="D147" i="31"/>
  <c r="E147" i="31"/>
  <c r="F147" i="31"/>
  <c r="G147" i="31"/>
  <c r="H147" i="31"/>
  <c r="I147" i="31"/>
  <c r="J147" i="31"/>
  <c r="K147" i="31"/>
  <c r="L147" i="31"/>
  <c r="M147" i="31"/>
  <c r="A148" i="31"/>
  <c r="B148" i="31"/>
  <c r="C148" i="31"/>
  <c r="D148" i="31"/>
  <c r="E148" i="31"/>
  <c r="F148" i="31"/>
  <c r="G148" i="31"/>
  <c r="H148" i="31"/>
  <c r="I148" i="31"/>
  <c r="J148" i="31"/>
  <c r="K148" i="31"/>
  <c r="L148" i="31"/>
  <c r="M148" i="31"/>
  <c r="A149" i="31"/>
  <c r="B149" i="31"/>
  <c r="C149" i="31"/>
  <c r="D149" i="31"/>
  <c r="E149" i="31"/>
  <c r="F149" i="31"/>
  <c r="G149" i="31"/>
  <c r="H149" i="31"/>
  <c r="I149" i="31"/>
  <c r="J149" i="31"/>
  <c r="K149" i="31"/>
  <c r="L149" i="31"/>
  <c r="M149" i="31"/>
  <c r="A150" i="31"/>
  <c r="B150" i="31"/>
  <c r="C150" i="31"/>
  <c r="D150" i="31"/>
  <c r="E150" i="31"/>
  <c r="F150" i="31"/>
  <c r="G150" i="31"/>
  <c r="H150" i="31"/>
  <c r="I150" i="31"/>
  <c r="J150" i="31"/>
  <c r="K150" i="31"/>
  <c r="L150" i="31"/>
  <c r="M150" i="31"/>
  <c r="A151" i="31"/>
  <c r="B151" i="31"/>
  <c r="C151" i="31"/>
  <c r="D151" i="31"/>
  <c r="E151" i="31"/>
  <c r="F151" i="31"/>
  <c r="G151" i="31"/>
  <c r="H151" i="31"/>
  <c r="I151" i="31"/>
  <c r="J151" i="31"/>
  <c r="K151" i="31"/>
  <c r="L151" i="31"/>
  <c r="M151" i="31"/>
  <c r="A152" i="31"/>
  <c r="B152" i="31"/>
  <c r="C152" i="31"/>
  <c r="D152" i="31"/>
  <c r="E152" i="31"/>
  <c r="F152" i="31"/>
  <c r="G152" i="31"/>
  <c r="H152" i="31"/>
  <c r="I152" i="31"/>
  <c r="J152" i="31"/>
  <c r="K152" i="31"/>
  <c r="L152" i="31"/>
  <c r="M152" i="31"/>
  <c r="A153" i="31"/>
  <c r="B153" i="31"/>
  <c r="C153" i="31"/>
  <c r="D153" i="31"/>
  <c r="E153" i="31"/>
  <c r="F153" i="31"/>
  <c r="G153" i="31"/>
  <c r="H153" i="31"/>
  <c r="I153" i="31"/>
  <c r="J153" i="31"/>
  <c r="K153" i="31"/>
  <c r="L153" i="31"/>
  <c r="M153" i="31"/>
  <c r="A154" i="31"/>
  <c r="B154" i="31"/>
  <c r="C154" i="31"/>
  <c r="D154" i="31"/>
  <c r="E154" i="31"/>
  <c r="F154" i="31"/>
  <c r="G154" i="31"/>
  <c r="H154" i="31"/>
  <c r="I154" i="31"/>
  <c r="J154" i="31"/>
  <c r="K154" i="31"/>
  <c r="L154" i="31"/>
  <c r="M154" i="31"/>
  <c r="A155" i="31"/>
  <c r="B155" i="31"/>
  <c r="C155" i="31"/>
  <c r="D155" i="31"/>
  <c r="E155" i="31"/>
  <c r="F155" i="31"/>
  <c r="G155" i="31"/>
  <c r="H155" i="31"/>
  <c r="I155" i="31"/>
  <c r="J155" i="31"/>
  <c r="K155" i="31"/>
  <c r="L155" i="31"/>
  <c r="M155" i="31"/>
  <c r="A156" i="31"/>
  <c r="B156" i="31"/>
  <c r="C156" i="31"/>
  <c r="D156" i="31"/>
  <c r="E156" i="31"/>
  <c r="F156" i="31"/>
  <c r="G156" i="31"/>
  <c r="H156" i="31"/>
  <c r="I156" i="31"/>
  <c r="J156" i="31"/>
  <c r="K156" i="31"/>
  <c r="L156" i="31"/>
  <c r="M156" i="31"/>
  <c r="A157" i="31"/>
  <c r="B157" i="31"/>
  <c r="C157" i="31"/>
  <c r="D157" i="31"/>
  <c r="E157" i="31"/>
  <c r="F157" i="31"/>
  <c r="G157" i="31"/>
  <c r="H157" i="31"/>
  <c r="I157" i="31"/>
  <c r="J157" i="31"/>
  <c r="K157" i="31"/>
  <c r="L157" i="31"/>
  <c r="M157" i="31"/>
  <c r="A158" i="31"/>
  <c r="B158" i="31"/>
  <c r="C158" i="31"/>
  <c r="D158" i="31"/>
  <c r="E158" i="31"/>
  <c r="F158" i="31"/>
  <c r="G158" i="31"/>
  <c r="H158" i="31"/>
  <c r="I158" i="31"/>
  <c r="J158" i="31"/>
  <c r="K158" i="31"/>
  <c r="L158" i="31"/>
  <c r="M158" i="31"/>
  <c r="A159" i="31"/>
  <c r="B159" i="31"/>
  <c r="C159" i="31"/>
  <c r="D159" i="31"/>
  <c r="E159" i="31"/>
  <c r="F159" i="31"/>
  <c r="G159" i="31"/>
  <c r="H159" i="31"/>
  <c r="I159" i="31"/>
  <c r="J159" i="31"/>
  <c r="K159" i="31"/>
  <c r="L159" i="31"/>
  <c r="M159" i="31"/>
  <c r="A160" i="31"/>
  <c r="B160" i="31"/>
  <c r="C160" i="31"/>
  <c r="D160" i="31"/>
  <c r="E160" i="31"/>
  <c r="F160" i="31"/>
  <c r="G160" i="31"/>
  <c r="H160" i="31"/>
  <c r="I160" i="31"/>
  <c r="J160" i="31"/>
  <c r="K160" i="31"/>
  <c r="L160" i="31"/>
  <c r="M160" i="31"/>
  <c r="A161" i="31"/>
  <c r="B161" i="31"/>
  <c r="C161" i="31"/>
  <c r="D161" i="31"/>
  <c r="E161" i="31"/>
  <c r="F161" i="31"/>
  <c r="G161" i="31"/>
  <c r="H161" i="31"/>
  <c r="I161" i="31"/>
  <c r="J161" i="31"/>
  <c r="K161" i="31"/>
  <c r="L161" i="31"/>
  <c r="M161" i="31"/>
  <c r="A162" i="31"/>
  <c r="B162" i="31"/>
  <c r="C162" i="31"/>
  <c r="D162" i="31"/>
  <c r="E162" i="31"/>
  <c r="F162" i="31"/>
  <c r="G162" i="31"/>
  <c r="H162" i="31"/>
  <c r="I162" i="31"/>
  <c r="J162" i="31"/>
  <c r="K162" i="31"/>
  <c r="L162" i="31"/>
  <c r="M162" i="31"/>
  <c r="A163" i="31"/>
  <c r="B163" i="31"/>
  <c r="C163" i="31"/>
  <c r="D163" i="31"/>
  <c r="E163" i="31"/>
  <c r="F163" i="31"/>
  <c r="G163" i="31"/>
  <c r="H163" i="31"/>
  <c r="I163" i="31"/>
  <c r="J163" i="31"/>
  <c r="K163" i="31"/>
  <c r="L163" i="31"/>
  <c r="M163" i="31"/>
  <c r="A164" i="31"/>
  <c r="B164" i="31"/>
  <c r="C164" i="31"/>
  <c r="D164" i="31"/>
  <c r="E164" i="31"/>
  <c r="F164" i="31"/>
  <c r="G164" i="31"/>
  <c r="H164" i="31"/>
  <c r="I164" i="31"/>
  <c r="J164" i="31"/>
  <c r="K164" i="31"/>
  <c r="L164" i="31"/>
  <c r="M164" i="31"/>
  <c r="A165" i="31"/>
  <c r="B165" i="31"/>
  <c r="C165" i="31"/>
  <c r="D165" i="31"/>
  <c r="E165" i="31"/>
  <c r="F165" i="31"/>
  <c r="G165" i="31"/>
  <c r="H165" i="31"/>
  <c r="I165" i="31"/>
  <c r="J165" i="31"/>
  <c r="K165" i="31"/>
  <c r="L165" i="31"/>
  <c r="M165" i="31"/>
  <c r="A166" i="31"/>
  <c r="B166" i="31"/>
  <c r="C166" i="31"/>
  <c r="D166" i="31"/>
  <c r="E166" i="31"/>
  <c r="F166" i="31"/>
  <c r="G166" i="31"/>
  <c r="H166" i="31"/>
  <c r="I166" i="31"/>
  <c r="J166" i="31"/>
  <c r="K166" i="31"/>
  <c r="L166" i="31"/>
  <c r="M166" i="31"/>
  <c r="A167" i="31"/>
  <c r="B167" i="31"/>
  <c r="C167" i="31"/>
  <c r="D167" i="31"/>
  <c r="E167" i="31"/>
  <c r="F167" i="31"/>
  <c r="G167" i="31"/>
  <c r="H167" i="31"/>
  <c r="I167" i="31"/>
  <c r="J167" i="31"/>
  <c r="K167" i="31"/>
  <c r="L167" i="31"/>
  <c r="M167" i="31"/>
  <c r="A168" i="31"/>
  <c r="B168" i="31"/>
  <c r="C168" i="31"/>
  <c r="D168" i="31"/>
  <c r="E168" i="31"/>
  <c r="F168" i="31"/>
  <c r="G168" i="31"/>
  <c r="H168" i="31"/>
  <c r="I168" i="31"/>
  <c r="J168" i="31"/>
  <c r="K168" i="31"/>
  <c r="L168" i="31"/>
  <c r="M168" i="31"/>
  <c r="A169" i="31"/>
  <c r="B169" i="31"/>
  <c r="C169" i="31"/>
  <c r="D169" i="31"/>
  <c r="E169" i="31"/>
  <c r="F169" i="31"/>
  <c r="G169" i="31"/>
  <c r="H169" i="31"/>
  <c r="I169" i="31"/>
  <c r="J169" i="31"/>
  <c r="K169" i="31"/>
  <c r="L169" i="31"/>
  <c r="M169" i="31"/>
  <c r="A170" i="31"/>
  <c r="B170" i="31"/>
  <c r="C170" i="31"/>
  <c r="D170" i="31"/>
  <c r="E170" i="31"/>
  <c r="F170" i="31"/>
  <c r="G170" i="31"/>
  <c r="H170" i="31"/>
  <c r="I170" i="31"/>
  <c r="J170" i="31"/>
  <c r="K170" i="31"/>
  <c r="L170" i="31"/>
  <c r="M170" i="31"/>
  <c r="A171" i="31"/>
  <c r="B171" i="31"/>
  <c r="C171" i="31"/>
  <c r="D171" i="31"/>
  <c r="E171" i="31"/>
  <c r="F171" i="31"/>
  <c r="G171" i="31"/>
  <c r="H171" i="31"/>
  <c r="I171" i="31"/>
  <c r="J171" i="31"/>
  <c r="K171" i="31"/>
  <c r="L171" i="31"/>
  <c r="M171" i="31"/>
  <c r="A172" i="31"/>
  <c r="B172" i="31"/>
  <c r="C172" i="31"/>
  <c r="D172" i="31"/>
  <c r="E172" i="31"/>
  <c r="F172" i="31"/>
  <c r="G172" i="31"/>
  <c r="H172" i="31"/>
  <c r="I172" i="31"/>
  <c r="J172" i="31"/>
  <c r="K172" i="31"/>
  <c r="L172" i="31"/>
  <c r="M172" i="31"/>
  <c r="A173" i="31"/>
  <c r="B173" i="31"/>
  <c r="C173" i="31"/>
  <c r="D173" i="31"/>
  <c r="E173" i="31"/>
  <c r="F173" i="31"/>
  <c r="G173" i="31"/>
  <c r="H173" i="31"/>
  <c r="I173" i="31"/>
  <c r="J173" i="31"/>
  <c r="K173" i="31"/>
  <c r="L173" i="31"/>
  <c r="M173" i="31"/>
  <c r="A174" i="31"/>
  <c r="B174" i="31"/>
  <c r="C174" i="31"/>
  <c r="D174" i="31"/>
  <c r="E174" i="31"/>
  <c r="F174" i="31"/>
  <c r="G174" i="31"/>
  <c r="H174" i="31"/>
  <c r="I174" i="31"/>
  <c r="J174" i="31"/>
  <c r="K174" i="31"/>
  <c r="L174" i="31"/>
  <c r="M174" i="31"/>
  <c r="A175" i="31"/>
  <c r="B175" i="31"/>
  <c r="C175" i="31"/>
  <c r="D175" i="31"/>
  <c r="E175" i="31"/>
  <c r="F175" i="31"/>
  <c r="G175" i="31"/>
  <c r="H175" i="31"/>
  <c r="I175" i="31"/>
  <c r="J175" i="31"/>
  <c r="K175" i="31"/>
  <c r="L175" i="31"/>
  <c r="M175" i="31"/>
  <c r="A176" i="31"/>
  <c r="B176" i="31"/>
  <c r="C176" i="31"/>
  <c r="D176" i="31"/>
  <c r="E176" i="31"/>
  <c r="F176" i="31"/>
  <c r="G176" i="31"/>
  <c r="H176" i="31"/>
  <c r="I176" i="31"/>
  <c r="J176" i="31"/>
  <c r="K176" i="31"/>
  <c r="L176" i="31"/>
  <c r="M176" i="31"/>
  <c r="A177" i="31"/>
  <c r="B177" i="31"/>
  <c r="C177" i="31"/>
  <c r="D177" i="31"/>
  <c r="E177" i="31"/>
  <c r="F177" i="31"/>
  <c r="G177" i="31"/>
  <c r="H177" i="31"/>
  <c r="I177" i="31"/>
  <c r="J177" i="31"/>
  <c r="K177" i="31"/>
  <c r="L177" i="31"/>
  <c r="M177" i="31"/>
  <c r="A178" i="31"/>
  <c r="B178" i="31"/>
  <c r="C178" i="31"/>
  <c r="D178" i="31"/>
  <c r="E178" i="31"/>
  <c r="F178" i="31"/>
  <c r="G178" i="31"/>
  <c r="H178" i="31"/>
  <c r="I178" i="31"/>
  <c r="J178" i="31"/>
  <c r="K178" i="31"/>
  <c r="L178" i="31"/>
  <c r="M178" i="31"/>
  <c r="A179" i="31"/>
  <c r="B179" i="31"/>
  <c r="C179" i="31"/>
  <c r="D179" i="31"/>
  <c r="E179" i="31"/>
  <c r="F179" i="31"/>
  <c r="G179" i="31"/>
  <c r="H179" i="31"/>
  <c r="I179" i="31"/>
  <c r="J179" i="31"/>
  <c r="K179" i="31"/>
  <c r="L179" i="31"/>
  <c r="M179" i="31"/>
  <c r="A180" i="31"/>
  <c r="B180" i="31"/>
  <c r="C180" i="31"/>
  <c r="D180" i="31"/>
  <c r="E180" i="31"/>
  <c r="F180" i="31"/>
  <c r="G180" i="31"/>
  <c r="H180" i="31"/>
  <c r="I180" i="31"/>
  <c r="J180" i="31"/>
  <c r="K180" i="31"/>
  <c r="L180" i="31"/>
  <c r="M180" i="31"/>
  <c r="A181" i="31"/>
  <c r="B181" i="31"/>
  <c r="C181" i="31"/>
  <c r="D181" i="31"/>
  <c r="E181" i="31"/>
  <c r="F181" i="31"/>
  <c r="G181" i="31"/>
  <c r="H181" i="31"/>
  <c r="I181" i="31"/>
  <c r="J181" i="31"/>
  <c r="K181" i="31"/>
  <c r="L181" i="31"/>
  <c r="M181" i="31"/>
  <c r="A182" i="31"/>
  <c r="B182" i="31"/>
  <c r="C182" i="31"/>
  <c r="D182" i="31"/>
  <c r="E182" i="31"/>
  <c r="F182" i="31"/>
  <c r="G182" i="31"/>
  <c r="H182" i="31"/>
  <c r="I182" i="31"/>
  <c r="J182" i="31"/>
  <c r="K182" i="31"/>
  <c r="L182" i="31"/>
  <c r="M182" i="31"/>
  <c r="A183" i="31"/>
  <c r="B183" i="31"/>
  <c r="C183" i="31"/>
  <c r="D183" i="31"/>
  <c r="E183" i="31"/>
  <c r="F183" i="31"/>
  <c r="G183" i="31"/>
  <c r="H183" i="31"/>
  <c r="I183" i="31"/>
  <c r="J183" i="31"/>
  <c r="K183" i="31"/>
  <c r="L183" i="31"/>
  <c r="M183" i="31"/>
  <c r="A184" i="31"/>
  <c r="B184" i="31"/>
  <c r="C184" i="31"/>
  <c r="D184" i="31"/>
  <c r="E184" i="31"/>
  <c r="F184" i="31"/>
  <c r="G184" i="31"/>
  <c r="H184" i="31"/>
  <c r="I184" i="31"/>
  <c r="J184" i="31"/>
  <c r="K184" i="31"/>
  <c r="L184" i="31"/>
  <c r="M184" i="31"/>
  <c r="A185" i="31"/>
  <c r="B185" i="31"/>
  <c r="C185" i="31"/>
  <c r="D185" i="31"/>
  <c r="E185" i="31"/>
  <c r="F185" i="31"/>
  <c r="G185" i="31"/>
  <c r="H185" i="31"/>
  <c r="I185" i="31"/>
  <c r="J185" i="31"/>
  <c r="K185" i="31"/>
  <c r="L185" i="31"/>
  <c r="M185" i="31"/>
  <c r="A186" i="31"/>
  <c r="B186" i="31"/>
  <c r="C186" i="31"/>
  <c r="D186" i="31"/>
  <c r="E186" i="31"/>
  <c r="F186" i="31"/>
  <c r="G186" i="31"/>
  <c r="H186" i="31"/>
  <c r="I186" i="31"/>
  <c r="J186" i="31"/>
  <c r="K186" i="31"/>
  <c r="L186" i="31"/>
  <c r="M186" i="31"/>
  <c r="A187" i="31"/>
  <c r="B187" i="31"/>
  <c r="C187" i="31"/>
  <c r="D187" i="31"/>
  <c r="E187" i="31"/>
  <c r="F187" i="31"/>
  <c r="G187" i="31"/>
  <c r="H187" i="31"/>
  <c r="I187" i="31"/>
  <c r="J187" i="31"/>
  <c r="K187" i="31"/>
  <c r="L187" i="31"/>
  <c r="M187" i="31"/>
  <c r="A188" i="31"/>
  <c r="B188" i="31"/>
  <c r="C188" i="31"/>
  <c r="D188" i="31"/>
  <c r="E188" i="31"/>
  <c r="F188" i="31"/>
  <c r="G188" i="31"/>
  <c r="H188" i="31"/>
  <c r="I188" i="31"/>
  <c r="J188" i="31"/>
  <c r="K188" i="31"/>
  <c r="L188" i="31"/>
  <c r="M188" i="31"/>
  <c r="A189" i="31"/>
  <c r="B189" i="31"/>
  <c r="C189" i="31"/>
  <c r="D189" i="31"/>
  <c r="E189" i="31"/>
  <c r="F189" i="31"/>
  <c r="G189" i="31"/>
  <c r="H189" i="31"/>
  <c r="I189" i="31"/>
  <c r="J189" i="31"/>
  <c r="K189" i="31"/>
  <c r="L189" i="31"/>
  <c r="M189" i="31"/>
  <c r="A190" i="31"/>
  <c r="B190" i="31"/>
  <c r="C190" i="31"/>
  <c r="D190" i="31"/>
  <c r="E190" i="31"/>
  <c r="F190" i="31"/>
  <c r="G190" i="31"/>
  <c r="H190" i="31"/>
  <c r="I190" i="31"/>
  <c r="J190" i="31"/>
  <c r="K190" i="31"/>
  <c r="L190" i="31"/>
  <c r="M190" i="31"/>
  <c r="A191" i="31"/>
  <c r="B191" i="31"/>
  <c r="C191" i="31"/>
  <c r="D191" i="31"/>
  <c r="E191" i="31"/>
  <c r="F191" i="31"/>
  <c r="G191" i="31"/>
  <c r="H191" i="31"/>
  <c r="I191" i="31"/>
  <c r="J191" i="31"/>
  <c r="K191" i="31"/>
  <c r="L191" i="31"/>
  <c r="M191" i="31"/>
  <c r="A192" i="31"/>
  <c r="B192" i="31"/>
  <c r="C192" i="31"/>
  <c r="D192" i="31"/>
  <c r="E192" i="31"/>
  <c r="F192" i="31"/>
  <c r="G192" i="31"/>
  <c r="H192" i="31"/>
  <c r="I192" i="31"/>
  <c r="J192" i="31"/>
  <c r="K192" i="31"/>
  <c r="L192" i="31"/>
  <c r="M192" i="31"/>
  <c r="A193" i="31"/>
  <c r="B193" i="31"/>
  <c r="C193" i="31"/>
  <c r="D193" i="31"/>
  <c r="E193" i="31"/>
  <c r="F193" i="31"/>
  <c r="G193" i="31"/>
  <c r="H193" i="31"/>
  <c r="I193" i="31"/>
  <c r="J193" i="31"/>
  <c r="K193" i="31"/>
  <c r="L193" i="31"/>
  <c r="M193" i="31"/>
  <c r="A194" i="31"/>
  <c r="B194" i="31"/>
  <c r="C194" i="31"/>
  <c r="D194" i="31"/>
  <c r="E194" i="31"/>
  <c r="F194" i="31"/>
  <c r="G194" i="31"/>
  <c r="H194" i="31"/>
  <c r="I194" i="31"/>
  <c r="J194" i="31"/>
  <c r="K194" i="31"/>
  <c r="L194" i="31"/>
  <c r="M194" i="31"/>
  <c r="A195" i="31"/>
  <c r="B195" i="31"/>
  <c r="C195" i="31"/>
  <c r="D195" i="31"/>
  <c r="E195" i="31"/>
  <c r="F195" i="31"/>
  <c r="G195" i="31"/>
  <c r="H195" i="31"/>
  <c r="I195" i="31"/>
  <c r="J195" i="31"/>
  <c r="K195" i="31"/>
  <c r="L195" i="31"/>
  <c r="M195" i="31"/>
  <c r="A196" i="31"/>
  <c r="B196" i="31"/>
  <c r="C196" i="31"/>
  <c r="D196" i="31"/>
  <c r="E196" i="31"/>
  <c r="F196" i="31"/>
  <c r="G196" i="31"/>
  <c r="H196" i="31"/>
  <c r="I196" i="31"/>
  <c r="J196" i="31"/>
  <c r="K196" i="31"/>
  <c r="L196" i="31"/>
  <c r="M196" i="31"/>
  <c r="A197" i="31"/>
  <c r="B197" i="31"/>
  <c r="C197" i="31"/>
  <c r="D197" i="31"/>
  <c r="E197" i="31"/>
  <c r="F197" i="31"/>
  <c r="G197" i="31"/>
  <c r="H197" i="31"/>
  <c r="I197" i="31"/>
  <c r="J197" i="31"/>
  <c r="K197" i="31"/>
  <c r="L197" i="31"/>
  <c r="M197" i="31"/>
  <c r="A198" i="31"/>
  <c r="B198" i="31"/>
  <c r="C198" i="31"/>
  <c r="D198" i="31"/>
  <c r="E198" i="31"/>
  <c r="F198" i="31"/>
  <c r="G198" i="31"/>
  <c r="H198" i="31"/>
  <c r="I198" i="31"/>
  <c r="J198" i="31"/>
  <c r="K198" i="31"/>
  <c r="L198" i="31"/>
  <c r="M198" i="31"/>
  <c r="A199" i="31"/>
  <c r="B199" i="31"/>
  <c r="C199" i="31"/>
  <c r="D199" i="31"/>
  <c r="E199" i="31"/>
  <c r="F199" i="31"/>
  <c r="G199" i="31"/>
  <c r="H199" i="31"/>
  <c r="I199" i="31"/>
  <c r="J199" i="31"/>
  <c r="K199" i="31"/>
  <c r="L199" i="31"/>
  <c r="M199" i="31"/>
  <c r="A200" i="31"/>
  <c r="B200" i="31"/>
  <c r="C200" i="31"/>
  <c r="D200" i="31"/>
  <c r="E200" i="31"/>
  <c r="F200" i="31"/>
  <c r="G200" i="31"/>
  <c r="H200" i="31"/>
  <c r="I200" i="31"/>
  <c r="J200" i="31"/>
  <c r="K200" i="31"/>
  <c r="L200" i="31"/>
  <c r="M200" i="31"/>
  <c r="A201" i="31"/>
  <c r="B201" i="31"/>
  <c r="C201" i="31"/>
  <c r="D201" i="31"/>
  <c r="E201" i="31"/>
  <c r="F201" i="31"/>
  <c r="G201" i="31"/>
  <c r="H201" i="31"/>
  <c r="I201" i="31"/>
  <c r="J201" i="31"/>
  <c r="K201" i="31"/>
  <c r="L201" i="31"/>
  <c r="M201" i="31"/>
  <c r="A202" i="31"/>
  <c r="B202" i="31"/>
  <c r="C202" i="31"/>
  <c r="D202" i="31"/>
  <c r="E202" i="31"/>
  <c r="F202" i="31"/>
  <c r="G202" i="31"/>
  <c r="H202" i="31"/>
  <c r="I202" i="31"/>
  <c r="J202" i="31"/>
  <c r="K202" i="31"/>
  <c r="L202" i="31"/>
  <c r="M202" i="31"/>
  <c r="A203" i="31"/>
  <c r="B203" i="31"/>
  <c r="C203" i="31"/>
  <c r="D203" i="31"/>
  <c r="E203" i="31"/>
  <c r="F203" i="31"/>
  <c r="G203" i="31"/>
  <c r="H203" i="31"/>
  <c r="I203" i="31"/>
  <c r="J203" i="31"/>
  <c r="K203" i="31"/>
  <c r="L203" i="31"/>
  <c r="M203" i="31"/>
  <c r="A204" i="31"/>
  <c r="B204" i="31"/>
  <c r="C204" i="31"/>
  <c r="D204" i="31"/>
  <c r="E204" i="31"/>
  <c r="F204" i="31"/>
  <c r="G204" i="31"/>
  <c r="H204" i="31"/>
  <c r="I204" i="31"/>
  <c r="J204" i="31"/>
  <c r="K204" i="31"/>
  <c r="L204" i="31"/>
  <c r="M204" i="31"/>
  <c r="A205" i="31"/>
  <c r="B205" i="31"/>
  <c r="C205" i="31"/>
  <c r="D205" i="31"/>
  <c r="E205" i="31"/>
  <c r="F205" i="31"/>
  <c r="G205" i="31"/>
  <c r="H205" i="31"/>
  <c r="I205" i="31"/>
  <c r="J205" i="31"/>
  <c r="K205" i="31"/>
  <c r="L205" i="31"/>
  <c r="M205" i="31"/>
  <c r="A206" i="31"/>
  <c r="B206" i="31"/>
  <c r="C206" i="31"/>
  <c r="D206" i="31"/>
  <c r="E206" i="31"/>
  <c r="F206" i="31"/>
  <c r="G206" i="31"/>
  <c r="H206" i="31"/>
  <c r="I206" i="31"/>
  <c r="J206" i="31"/>
  <c r="K206" i="31"/>
  <c r="L206" i="31"/>
  <c r="M206" i="31"/>
  <c r="A207" i="31"/>
  <c r="B207" i="31"/>
  <c r="C207" i="31"/>
  <c r="D207" i="31"/>
  <c r="E207" i="31"/>
  <c r="F207" i="31"/>
  <c r="G207" i="31"/>
  <c r="H207" i="31"/>
  <c r="I207" i="31"/>
  <c r="J207" i="31"/>
  <c r="K207" i="31"/>
  <c r="L207" i="31"/>
  <c r="M207" i="31"/>
  <c r="A208" i="31"/>
  <c r="B208" i="31"/>
  <c r="C208" i="31"/>
  <c r="D208" i="31"/>
  <c r="E208" i="31"/>
  <c r="F208" i="31"/>
  <c r="G208" i="31"/>
  <c r="H208" i="31"/>
  <c r="I208" i="31"/>
  <c r="J208" i="31"/>
  <c r="K208" i="31"/>
  <c r="L208" i="31"/>
  <c r="M208" i="31"/>
  <c r="J2" i="31"/>
  <c r="K2" i="31"/>
  <c r="L2" i="31"/>
  <c r="M2" i="31"/>
  <c r="B2" i="31"/>
  <c r="C2" i="31"/>
  <c r="D2" i="31"/>
  <c r="E2" i="31"/>
  <c r="F2" i="31"/>
  <c r="G2" i="31"/>
  <c r="H2" i="31"/>
  <c r="I2" i="31"/>
  <c r="A2" i="31"/>
  <c r="S522" i="13"/>
  <c r="T522" i="13" s="1"/>
  <c r="S275" i="13"/>
  <c r="T275" i="13" s="1"/>
  <c r="S252" i="13"/>
  <c r="T252" i="13" s="1"/>
  <c r="AA511" i="13"/>
  <c r="T489" i="13"/>
  <c r="S504" i="13"/>
  <c r="T504" i="13" s="1"/>
  <c r="S502" i="13"/>
  <c r="T502" i="13" s="1"/>
  <c r="S459" i="13"/>
  <c r="T459" i="13" s="1"/>
  <c r="AA148" i="13"/>
  <c r="AA149" i="13"/>
  <c r="AA150" i="13"/>
  <c r="AA151" i="13"/>
  <c r="AA152" i="13"/>
  <c r="AA153" i="13"/>
  <c r="AA154" i="13"/>
  <c r="AA155" i="13"/>
  <c r="AA156" i="13"/>
  <c r="AA157" i="13"/>
  <c r="AA159" i="13"/>
  <c r="AA160" i="13"/>
  <c r="AA161" i="13"/>
  <c r="AA162" i="13"/>
  <c r="AA163" i="13"/>
  <c r="AA164" i="13"/>
  <c r="AA165" i="13"/>
  <c r="AA166" i="13"/>
  <c r="AA167" i="13"/>
  <c r="AA168" i="13"/>
  <c r="AA169" i="13"/>
  <c r="AA170" i="13"/>
  <c r="AA171" i="13"/>
  <c r="AA172" i="13"/>
  <c r="AA173" i="13"/>
  <c r="AA174" i="13"/>
  <c r="AA175" i="13"/>
  <c r="AA176" i="13"/>
  <c r="AA177" i="13"/>
  <c r="AA178" i="13"/>
  <c r="T477" i="13"/>
  <c r="A501" i="13"/>
  <c r="A488" i="15" s="1"/>
  <c r="S503" i="13"/>
  <c r="T503" i="13" s="1"/>
  <c r="T508" i="13"/>
  <c r="A508" i="13"/>
  <c r="A495" i="15" s="1"/>
  <c r="AF7" i="13"/>
  <c r="AF8" i="13"/>
  <c r="AF9" i="13"/>
  <c r="AF10" i="13"/>
  <c r="AF11" i="13"/>
  <c r="AF12" i="13"/>
  <c r="AF13" i="13"/>
  <c r="AF14" i="13"/>
  <c r="AF15" i="13"/>
  <c r="AF16" i="13"/>
  <c r="AF17" i="13"/>
  <c r="AF18" i="13"/>
  <c r="AF19" i="13"/>
  <c r="AF20" i="13"/>
  <c r="AF21" i="13"/>
  <c r="AF22" i="13"/>
  <c r="AF23" i="13"/>
  <c r="AF24" i="13"/>
  <c r="AF25" i="13"/>
  <c r="AF26" i="13"/>
  <c r="AF27" i="13"/>
  <c r="AF28" i="13"/>
  <c r="AF29" i="13"/>
  <c r="AF30" i="13"/>
  <c r="AF31" i="13"/>
  <c r="AF32" i="13"/>
  <c r="AF33" i="13"/>
  <c r="AF34" i="13"/>
  <c r="AF35" i="13"/>
  <c r="AF36" i="13"/>
  <c r="AF37" i="13"/>
  <c r="AF38" i="13"/>
  <c r="AF39" i="13"/>
  <c r="AF40" i="13"/>
  <c r="AF41" i="13"/>
  <c r="AF42" i="13"/>
  <c r="AF43" i="13"/>
  <c r="AF44" i="13"/>
  <c r="AF45" i="13"/>
  <c r="AF46" i="13"/>
  <c r="AF47" i="13"/>
  <c r="AF48" i="13"/>
  <c r="AF49" i="13"/>
  <c r="AF50" i="13"/>
  <c r="AF51" i="13"/>
  <c r="AF52" i="13"/>
  <c r="AF53" i="13"/>
  <c r="AF54" i="13"/>
  <c r="AF55" i="13"/>
  <c r="AF56" i="13"/>
  <c r="AF57" i="13"/>
  <c r="AF58" i="13"/>
  <c r="AF59" i="13"/>
  <c r="AF60" i="13"/>
  <c r="AF61" i="13"/>
  <c r="AF62" i="13"/>
  <c r="AF63" i="13"/>
  <c r="AF64" i="13"/>
  <c r="AF65" i="13"/>
  <c r="AF66" i="13"/>
  <c r="AF67" i="13"/>
  <c r="AF68" i="13"/>
  <c r="AF69" i="13"/>
  <c r="AF70" i="13"/>
  <c r="AF71" i="13"/>
  <c r="AF72" i="13"/>
  <c r="AF73" i="13"/>
  <c r="AF74" i="13"/>
  <c r="AF75" i="13"/>
  <c r="AF77" i="13"/>
  <c r="AF78" i="13"/>
  <c r="AF79" i="13"/>
  <c r="AF80" i="13"/>
  <c r="AF81" i="13"/>
  <c r="AF82" i="13"/>
  <c r="AF83" i="13"/>
  <c r="AF84" i="13"/>
  <c r="AF85" i="13"/>
  <c r="AF86" i="13"/>
  <c r="AF87" i="13"/>
  <c r="AF88" i="13"/>
  <c r="AF89" i="13"/>
  <c r="AF90" i="13"/>
  <c r="AF91" i="13"/>
  <c r="AF92" i="13"/>
  <c r="AF93" i="13"/>
  <c r="AF94" i="13"/>
  <c r="AF95" i="13"/>
  <c r="AF96" i="13"/>
  <c r="AF97" i="13"/>
  <c r="AF98" i="13"/>
  <c r="AF99" i="13"/>
  <c r="AF100" i="13"/>
  <c r="AF101" i="13"/>
  <c r="AF102" i="13"/>
  <c r="AF103" i="13"/>
  <c r="AF104" i="13"/>
  <c r="AF105" i="13"/>
  <c r="AF106" i="13"/>
  <c r="AF107" i="13"/>
  <c r="AF108" i="13"/>
  <c r="AF109" i="13"/>
  <c r="AF110" i="13"/>
  <c r="AF111" i="13"/>
  <c r="AF112" i="13"/>
  <c r="AF113" i="13"/>
  <c r="AF114" i="13"/>
  <c r="AF115" i="13"/>
  <c r="AF116" i="13"/>
  <c r="AF117" i="13"/>
  <c r="AF118" i="13"/>
  <c r="AF119" i="13"/>
  <c r="AF120" i="13"/>
  <c r="AF121" i="13"/>
  <c r="AF122" i="13"/>
  <c r="AF123" i="13"/>
  <c r="AF124" i="13"/>
  <c r="AF125" i="13"/>
  <c r="AF126" i="13"/>
  <c r="AF127" i="13"/>
  <c r="AF128" i="13"/>
  <c r="AF129" i="13"/>
  <c r="AF131" i="13"/>
  <c r="AF132" i="13"/>
  <c r="AF133" i="13"/>
  <c r="AF134" i="13"/>
  <c r="AF135" i="13"/>
  <c r="AF136" i="13"/>
  <c r="AF137" i="13"/>
  <c r="AF138" i="13"/>
  <c r="AF139" i="13"/>
  <c r="AF140" i="13"/>
  <c r="AF143" i="13"/>
  <c r="AF144" i="13"/>
  <c r="AF145" i="13"/>
  <c r="AF146" i="13"/>
  <c r="AF147" i="13"/>
  <c r="AF148" i="13"/>
  <c r="AF149" i="13"/>
  <c r="AF150" i="13"/>
  <c r="AF151" i="13"/>
  <c r="AF152" i="13"/>
  <c r="AF153" i="13"/>
  <c r="AF154" i="13"/>
  <c r="AF155" i="13"/>
  <c r="AF156" i="13"/>
  <c r="AF157" i="13"/>
  <c r="AF158" i="13"/>
  <c r="AF159" i="13"/>
  <c r="AF160" i="13"/>
  <c r="AF161" i="13"/>
  <c r="AF162" i="13"/>
  <c r="AF163" i="13"/>
  <c r="AF164" i="13"/>
  <c r="AF165" i="13"/>
  <c r="AF166" i="13"/>
  <c r="AF167" i="13"/>
  <c r="AF168" i="13"/>
  <c r="AF169" i="13"/>
  <c r="AF170" i="13"/>
  <c r="AF171" i="13"/>
  <c r="AF172" i="13"/>
  <c r="AF173" i="13"/>
  <c r="AF174" i="13"/>
  <c r="AF175" i="13"/>
  <c r="AF176" i="13"/>
  <c r="AF177" i="13"/>
  <c r="AF178" i="13"/>
  <c r="AF179" i="13"/>
  <c r="AF180" i="13"/>
  <c r="AF181" i="13"/>
  <c r="AF182" i="13"/>
  <c r="AF183" i="13"/>
  <c r="AF184" i="13"/>
  <c r="AF185" i="13"/>
  <c r="AF186" i="13"/>
  <c r="AF187" i="13"/>
  <c r="AF188" i="13"/>
  <c r="AF189" i="13"/>
  <c r="AF190" i="13"/>
  <c r="AF191" i="13"/>
  <c r="AF196" i="13"/>
  <c r="AF197" i="13"/>
  <c r="AF198" i="13"/>
  <c r="AF199" i="13"/>
  <c r="AF200" i="13"/>
  <c r="AF201" i="13"/>
  <c r="AF202" i="13"/>
  <c r="AF203" i="13"/>
  <c r="AF204" i="13"/>
  <c r="AF205" i="13"/>
  <c r="AF206" i="13"/>
  <c r="AF207" i="13"/>
  <c r="AF208" i="13"/>
  <c r="AF209" i="13"/>
  <c r="AF210" i="13"/>
  <c r="AF211" i="13"/>
  <c r="AF212" i="13"/>
  <c r="AF213" i="13"/>
  <c r="AF214" i="13"/>
  <c r="AF215" i="13"/>
  <c r="AF216" i="13"/>
  <c r="AF217" i="13"/>
  <c r="AF218" i="13"/>
  <c r="AF219" i="13"/>
  <c r="AF220" i="13"/>
  <c r="AF221" i="13"/>
  <c r="AF222" i="13"/>
  <c r="AF223" i="13"/>
  <c r="AF224" i="13"/>
  <c r="AF225" i="13"/>
  <c r="AF226" i="13"/>
  <c r="AF227" i="13"/>
  <c r="AF228" i="13"/>
  <c r="AF229" i="13"/>
  <c r="AF230" i="13"/>
  <c r="AF231" i="13"/>
  <c r="AF232" i="13"/>
  <c r="AF233" i="13"/>
  <c r="AF234" i="13"/>
  <c r="AF235" i="13"/>
  <c r="AF236" i="13"/>
  <c r="AF237" i="13"/>
  <c r="AF238" i="13"/>
  <c r="AF239" i="13"/>
  <c r="AF240" i="13"/>
  <c r="AF241" i="13"/>
  <c r="AF242" i="13"/>
  <c r="AF244" i="13"/>
  <c r="AF245" i="13"/>
  <c r="AF246" i="13"/>
  <c r="AF247" i="13"/>
  <c r="AF248" i="13"/>
  <c r="AF249" i="13"/>
  <c r="AF250" i="13"/>
  <c r="AF251" i="13"/>
  <c r="AF252" i="13"/>
  <c r="AF253" i="13"/>
  <c r="AF254" i="13"/>
  <c r="AF255" i="13"/>
  <c r="AF256" i="13"/>
  <c r="AF257" i="13"/>
  <c r="AF258" i="13"/>
  <c r="AF259" i="13"/>
  <c r="AF260" i="13"/>
  <c r="AF261" i="13"/>
  <c r="AF262" i="13"/>
  <c r="AF263" i="13"/>
  <c r="AF264" i="13"/>
  <c r="AF265" i="13"/>
  <c r="AF266" i="13"/>
  <c r="AF267" i="13"/>
  <c r="AF268" i="13"/>
  <c r="AF269" i="13"/>
  <c r="AF270" i="13"/>
  <c r="AF271" i="13"/>
  <c r="AF272" i="13"/>
  <c r="AF273" i="13"/>
  <c r="AF274" i="13"/>
  <c r="AF275" i="13"/>
  <c r="AF276" i="13"/>
  <c r="AF277" i="13"/>
  <c r="AF278" i="13"/>
  <c r="AF279" i="13"/>
  <c r="AF280" i="13"/>
  <c r="AF281" i="13"/>
  <c r="AF282" i="13"/>
  <c r="AF283" i="13"/>
  <c r="AF284" i="13"/>
  <c r="AF285" i="13"/>
  <c r="AF286" i="13"/>
  <c r="AF287" i="13"/>
  <c r="AF288" i="13"/>
  <c r="AF289" i="13"/>
  <c r="AF290" i="13"/>
  <c r="AF291" i="13"/>
  <c r="AF292" i="13"/>
  <c r="AF293" i="13"/>
  <c r="AF294" i="13"/>
  <c r="AF295" i="13"/>
  <c r="AF296" i="13"/>
  <c r="AF297" i="13"/>
  <c r="AF298" i="13"/>
  <c r="AF299" i="13"/>
  <c r="AF300" i="13"/>
  <c r="AF301" i="13"/>
  <c r="AF302" i="13"/>
  <c r="AF303" i="13"/>
  <c r="AF304" i="13"/>
  <c r="AF305" i="13"/>
  <c r="AF306" i="13"/>
  <c r="AF307" i="13"/>
  <c r="AF308" i="13"/>
  <c r="AF309" i="13"/>
  <c r="AF310" i="13"/>
  <c r="AF311" i="13"/>
  <c r="AF312" i="13"/>
  <c r="AF313" i="13"/>
  <c r="AF314" i="13"/>
  <c r="AF315" i="13"/>
  <c r="AF316" i="13"/>
  <c r="AF317" i="13"/>
  <c r="AF318" i="13"/>
  <c r="AF319" i="13"/>
  <c r="AF320" i="13"/>
  <c r="AF321" i="13"/>
  <c r="AF322" i="13"/>
  <c r="AF323" i="13"/>
  <c r="AF324" i="13"/>
  <c r="AF325" i="13"/>
  <c r="AF326" i="13"/>
  <c r="AF327" i="13"/>
  <c r="AF328" i="13"/>
  <c r="AF329" i="13"/>
  <c r="AF330" i="13"/>
  <c r="AF331" i="13"/>
  <c r="AF332" i="13"/>
  <c r="AF333" i="13"/>
  <c r="AF334" i="13"/>
  <c r="AF336" i="13"/>
  <c r="AF337" i="13"/>
  <c r="AF338" i="13"/>
  <c r="AF339" i="13"/>
  <c r="AF340" i="13"/>
  <c r="AF341" i="13"/>
  <c r="AF342" i="13"/>
  <c r="T472" i="13"/>
  <c r="S456" i="13"/>
  <c r="T456" i="13" s="1"/>
  <c r="A490" i="13"/>
  <c r="A477" i="15" s="1"/>
  <c r="T480" i="13"/>
  <c r="S460" i="13"/>
  <c r="T460" i="13" s="1"/>
  <c r="A3" i="24"/>
  <c r="B3" i="24"/>
  <c r="C3" i="24"/>
  <c r="D3" i="24"/>
  <c r="E3" i="24"/>
  <c r="F3" i="24"/>
  <c r="G3" i="24"/>
  <c r="H3" i="24"/>
  <c r="I3" i="24"/>
  <c r="J3" i="24"/>
  <c r="K3" i="24"/>
  <c r="L3" i="24"/>
  <c r="M3" i="24"/>
  <c r="A4" i="24"/>
  <c r="B4" i="24"/>
  <c r="C4" i="24"/>
  <c r="D4" i="24"/>
  <c r="E4" i="24"/>
  <c r="F4" i="24"/>
  <c r="G4" i="24"/>
  <c r="H4" i="24"/>
  <c r="I4" i="24"/>
  <c r="J4" i="24"/>
  <c r="K4" i="24"/>
  <c r="L4" i="24"/>
  <c r="M4" i="24"/>
  <c r="A5" i="24"/>
  <c r="B5" i="24"/>
  <c r="C5" i="24"/>
  <c r="D5" i="24"/>
  <c r="E5" i="24"/>
  <c r="F5" i="24"/>
  <c r="G5" i="24"/>
  <c r="H5" i="24"/>
  <c r="I5" i="24"/>
  <c r="J5" i="24"/>
  <c r="K5" i="24"/>
  <c r="L5" i="24"/>
  <c r="M5" i="24"/>
  <c r="A6" i="24"/>
  <c r="B6" i="24"/>
  <c r="C6" i="24"/>
  <c r="D6" i="24"/>
  <c r="E6" i="24"/>
  <c r="F6" i="24"/>
  <c r="G6" i="24"/>
  <c r="H6" i="24"/>
  <c r="I6" i="24"/>
  <c r="J6" i="24"/>
  <c r="K6" i="24"/>
  <c r="L6" i="24"/>
  <c r="M6" i="24"/>
  <c r="A7" i="24"/>
  <c r="B7" i="24"/>
  <c r="C7" i="24"/>
  <c r="D7" i="24"/>
  <c r="E7" i="24"/>
  <c r="F7" i="24"/>
  <c r="G7" i="24"/>
  <c r="H7" i="24"/>
  <c r="I7" i="24"/>
  <c r="J7" i="24"/>
  <c r="K7" i="24"/>
  <c r="L7" i="24"/>
  <c r="M7" i="24"/>
  <c r="A8" i="24"/>
  <c r="B8" i="24"/>
  <c r="C8" i="24"/>
  <c r="D8" i="24"/>
  <c r="E8" i="24"/>
  <c r="F8" i="24"/>
  <c r="G8" i="24"/>
  <c r="H8" i="24"/>
  <c r="I8" i="24"/>
  <c r="J8" i="24"/>
  <c r="K8" i="24"/>
  <c r="L8" i="24"/>
  <c r="M8" i="24"/>
  <c r="A9" i="24"/>
  <c r="B9" i="24"/>
  <c r="C9" i="24"/>
  <c r="D9" i="24"/>
  <c r="E9" i="24"/>
  <c r="F9" i="24"/>
  <c r="G9" i="24"/>
  <c r="H9" i="24"/>
  <c r="I9" i="24"/>
  <c r="J9" i="24"/>
  <c r="K9" i="24"/>
  <c r="L9" i="24"/>
  <c r="M9" i="24"/>
  <c r="A10" i="24"/>
  <c r="B10" i="24"/>
  <c r="C10" i="24"/>
  <c r="D10" i="24"/>
  <c r="E10" i="24"/>
  <c r="F10" i="24"/>
  <c r="G10" i="24"/>
  <c r="H10" i="24"/>
  <c r="I10" i="24"/>
  <c r="J10" i="24"/>
  <c r="K10" i="24"/>
  <c r="L10" i="24"/>
  <c r="M10" i="24"/>
  <c r="A11" i="24"/>
  <c r="B11" i="24"/>
  <c r="C11" i="24"/>
  <c r="D11" i="24"/>
  <c r="E11" i="24"/>
  <c r="F11" i="24"/>
  <c r="G11" i="24"/>
  <c r="H11" i="24"/>
  <c r="I11" i="24"/>
  <c r="J11" i="24"/>
  <c r="K11" i="24"/>
  <c r="L11" i="24"/>
  <c r="M11" i="24"/>
  <c r="A12" i="24"/>
  <c r="B12" i="24"/>
  <c r="C12" i="24"/>
  <c r="D12" i="24"/>
  <c r="E12" i="24"/>
  <c r="F12" i="24"/>
  <c r="G12" i="24"/>
  <c r="H12" i="24"/>
  <c r="I12" i="24"/>
  <c r="J12" i="24"/>
  <c r="K12" i="24"/>
  <c r="L12" i="24"/>
  <c r="M12" i="24"/>
  <c r="A13" i="24"/>
  <c r="B13" i="24"/>
  <c r="C13" i="24"/>
  <c r="D13" i="24"/>
  <c r="E13" i="24"/>
  <c r="F13" i="24"/>
  <c r="G13" i="24"/>
  <c r="H13" i="24"/>
  <c r="I13" i="24"/>
  <c r="J13" i="24"/>
  <c r="K13" i="24"/>
  <c r="L13" i="24"/>
  <c r="M13" i="24"/>
  <c r="A14" i="24"/>
  <c r="B14" i="24"/>
  <c r="C14" i="24"/>
  <c r="D14" i="24"/>
  <c r="E14" i="24"/>
  <c r="F14" i="24"/>
  <c r="G14" i="24"/>
  <c r="H14" i="24"/>
  <c r="I14" i="24"/>
  <c r="J14" i="24"/>
  <c r="K14" i="24"/>
  <c r="L14" i="24"/>
  <c r="M14" i="24"/>
  <c r="A15" i="24"/>
  <c r="B15" i="24"/>
  <c r="C15" i="24"/>
  <c r="D15" i="24"/>
  <c r="E15" i="24"/>
  <c r="F15" i="24"/>
  <c r="G15" i="24"/>
  <c r="H15" i="24"/>
  <c r="I15" i="24"/>
  <c r="J15" i="24"/>
  <c r="K15" i="24"/>
  <c r="L15" i="24"/>
  <c r="M15" i="24"/>
  <c r="A16" i="24"/>
  <c r="B16" i="24"/>
  <c r="C16" i="24"/>
  <c r="D16" i="24"/>
  <c r="E16" i="24"/>
  <c r="F16" i="24"/>
  <c r="G16" i="24"/>
  <c r="H16" i="24"/>
  <c r="I16" i="24"/>
  <c r="J16" i="24"/>
  <c r="K16" i="24"/>
  <c r="L16" i="24"/>
  <c r="M16" i="24"/>
  <c r="A17" i="24"/>
  <c r="B17" i="24"/>
  <c r="C17" i="24"/>
  <c r="D17" i="24"/>
  <c r="E17" i="24"/>
  <c r="F17" i="24"/>
  <c r="G17" i="24"/>
  <c r="H17" i="24"/>
  <c r="I17" i="24"/>
  <c r="J17" i="24"/>
  <c r="K17" i="24"/>
  <c r="L17" i="24"/>
  <c r="M17" i="24"/>
  <c r="A18" i="24"/>
  <c r="B18" i="24"/>
  <c r="C18" i="24"/>
  <c r="D18" i="24"/>
  <c r="E18" i="24"/>
  <c r="F18" i="24"/>
  <c r="G18" i="24"/>
  <c r="H18" i="24"/>
  <c r="I18" i="24"/>
  <c r="J18" i="24"/>
  <c r="K18" i="24"/>
  <c r="L18" i="24"/>
  <c r="M18" i="24"/>
  <c r="A19" i="24"/>
  <c r="B19" i="24"/>
  <c r="C19" i="24"/>
  <c r="D19" i="24"/>
  <c r="E19" i="24"/>
  <c r="F19" i="24"/>
  <c r="G19" i="24"/>
  <c r="H19" i="24"/>
  <c r="I19" i="24"/>
  <c r="J19" i="24"/>
  <c r="K19" i="24"/>
  <c r="L19" i="24"/>
  <c r="M19" i="24"/>
  <c r="A20" i="24"/>
  <c r="B20" i="24"/>
  <c r="C20" i="24"/>
  <c r="D20" i="24"/>
  <c r="E20" i="24"/>
  <c r="F20" i="24"/>
  <c r="G20" i="24"/>
  <c r="H20" i="24"/>
  <c r="I20" i="24"/>
  <c r="J20" i="24"/>
  <c r="K20" i="24"/>
  <c r="L20" i="24"/>
  <c r="M20" i="24"/>
  <c r="A21" i="24"/>
  <c r="B21" i="24"/>
  <c r="C21" i="24"/>
  <c r="D21" i="24"/>
  <c r="E21" i="24"/>
  <c r="F21" i="24"/>
  <c r="G21" i="24"/>
  <c r="H21" i="24"/>
  <c r="I21" i="24"/>
  <c r="J21" i="24"/>
  <c r="K21" i="24"/>
  <c r="L21" i="24"/>
  <c r="M21" i="24"/>
  <c r="A22" i="24"/>
  <c r="B22" i="24"/>
  <c r="C22" i="24"/>
  <c r="D22" i="24"/>
  <c r="E22" i="24"/>
  <c r="F22" i="24"/>
  <c r="G22" i="24"/>
  <c r="H22" i="24"/>
  <c r="I22" i="24"/>
  <c r="J22" i="24"/>
  <c r="K22" i="24"/>
  <c r="L22" i="24"/>
  <c r="M22" i="24"/>
  <c r="A23" i="24"/>
  <c r="B23" i="24"/>
  <c r="C23" i="24"/>
  <c r="D23" i="24"/>
  <c r="E23" i="24"/>
  <c r="F23" i="24"/>
  <c r="G23" i="24"/>
  <c r="H23" i="24"/>
  <c r="I23" i="24"/>
  <c r="J23" i="24"/>
  <c r="K23" i="24"/>
  <c r="L23" i="24"/>
  <c r="M23" i="24"/>
  <c r="A24" i="24"/>
  <c r="B24" i="24"/>
  <c r="C24" i="24"/>
  <c r="D24" i="24"/>
  <c r="E24" i="24"/>
  <c r="F24" i="24"/>
  <c r="G24" i="24"/>
  <c r="H24" i="24"/>
  <c r="I24" i="24"/>
  <c r="J24" i="24"/>
  <c r="K24" i="24"/>
  <c r="L24" i="24"/>
  <c r="M24" i="24"/>
  <c r="A25" i="24"/>
  <c r="B25" i="24"/>
  <c r="C25" i="24"/>
  <c r="D25" i="24"/>
  <c r="E25" i="24"/>
  <c r="F25" i="24"/>
  <c r="G25" i="24"/>
  <c r="H25" i="24"/>
  <c r="I25" i="24"/>
  <c r="J25" i="24"/>
  <c r="K25" i="24"/>
  <c r="L25" i="24"/>
  <c r="M25" i="24"/>
  <c r="A26" i="24"/>
  <c r="B26" i="24"/>
  <c r="C26" i="24"/>
  <c r="D26" i="24"/>
  <c r="E26" i="24"/>
  <c r="F26" i="24"/>
  <c r="G26" i="24"/>
  <c r="H26" i="24"/>
  <c r="I26" i="24"/>
  <c r="J26" i="24"/>
  <c r="K26" i="24"/>
  <c r="L26" i="24"/>
  <c r="M26" i="24"/>
  <c r="A27" i="24"/>
  <c r="B27" i="24"/>
  <c r="C27" i="24"/>
  <c r="D27" i="24"/>
  <c r="E27" i="24"/>
  <c r="F27" i="24"/>
  <c r="G27" i="24"/>
  <c r="H27" i="24"/>
  <c r="I27" i="24"/>
  <c r="J27" i="24"/>
  <c r="K27" i="24"/>
  <c r="L27" i="24"/>
  <c r="M27" i="24"/>
  <c r="A28" i="24"/>
  <c r="B28" i="24"/>
  <c r="C28" i="24"/>
  <c r="D28" i="24"/>
  <c r="E28" i="24"/>
  <c r="F28" i="24"/>
  <c r="G28" i="24"/>
  <c r="H28" i="24"/>
  <c r="I28" i="24"/>
  <c r="J28" i="24"/>
  <c r="K28" i="24"/>
  <c r="L28" i="24"/>
  <c r="M28" i="24"/>
  <c r="A29" i="24"/>
  <c r="B29" i="24"/>
  <c r="C29" i="24"/>
  <c r="D29" i="24"/>
  <c r="E29" i="24"/>
  <c r="F29" i="24"/>
  <c r="G29" i="24"/>
  <c r="H29" i="24"/>
  <c r="I29" i="24"/>
  <c r="J29" i="24"/>
  <c r="K29" i="24"/>
  <c r="L29" i="24"/>
  <c r="M29" i="24"/>
  <c r="A30" i="24"/>
  <c r="B30" i="24"/>
  <c r="C30" i="24"/>
  <c r="D30" i="24"/>
  <c r="E30" i="24"/>
  <c r="F30" i="24"/>
  <c r="G30" i="24"/>
  <c r="H30" i="24"/>
  <c r="I30" i="24"/>
  <c r="J30" i="24"/>
  <c r="K30" i="24"/>
  <c r="L30" i="24"/>
  <c r="M30" i="24"/>
  <c r="A31" i="24"/>
  <c r="B31" i="24"/>
  <c r="C31" i="24"/>
  <c r="D31" i="24"/>
  <c r="E31" i="24"/>
  <c r="F31" i="24"/>
  <c r="G31" i="24"/>
  <c r="H31" i="24"/>
  <c r="I31" i="24"/>
  <c r="J31" i="24"/>
  <c r="K31" i="24"/>
  <c r="L31" i="24"/>
  <c r="M31" i="24"/>
  <c r="A32" i="24"/>
  <c r="B32" i="24"/>
  <c r="C32" i="24"/>
  <c r="D32" i="24"/>
  <c r="E32" i="24"/>
  <c r="F32" i="24"/>
  <c r="G32" i="24"/>
  <c r="H32" i="24"/>
  <c r="I32" i="24"/>
  <c r="J32" i="24"/>
  <c r="K32" i="24"/>
  <c r="L32" i="24"/>
  <c r="M32" i="24"/>
  <c r="A33" i="24"/>
  <c r="B33" i="24"/>
  <c r="C33" i="24"/>
  <c r="D33" i="24"/>
  <c r="E33" i="24"/>
  <c r="F33" i="24"/>
  <c r="G33" i="24"/>
  <c r="H33" i="24"/>
  <c r="I33" i="24"/>
  <c r="J33" i="24"/>
  <c r="K33" i="24"/>
  <c r="L33" i="24"/>
  <c r="M33" i="24"/>
  <c r="A34" i="24"/>
  <c r="B34" i="24"/>
  <c r="C34" i="24"/>
  <c r="D34" i="24"/>
  <c r="E34" i="24"/>
  <c r="F34" i="24"/>
  <c r="G34" i="24"/>
  <c r="H34" i="24"/>
  <c r="I34" i="24"/>
  <c r="J34" i="24"/>
  <c r="K34" i="24"/>
  <c r="L34" i="24"/>
  <c r="M34" i="24"/>
  <c r="A35" i="24"/>
  <c r="B35" i="24"/>
  <c r="C35" i="24"/>
  <c r="D35" i="24"/>
  <c r="E35" i="24"/>
  <c r="F35" i="24"/>
  <c r="G35" i="24"/>
  <c r="H35" i="24"/>
  <c r="I35" i="24"/>
  <c r="J35" i="24"/>
  <c r="K35" i="24"/>
  <c r="L35" i="24"/>
  <c r="M35" i="24"/>
  <c r="A36" i="24"/>
  <c r="B36" i="24"/>
  <c r="C36" i="24"/>
  <c r="D36" i="24"/>
  <c r="E36" i="24"/>
  <c r="F36" i="24"/>
  <c r="G36" i="24"/>
  <c r="H36" i="24"/>
  <c r="I36" i="24"/>
  <c r="J36" i="24"/>
  <c r="K36" i="24"/>
  <c r="L36" i="24"/>
  <c r="M36" i="24"/>
  <c r="A37" i="24"/>
  <c r="B37" i="24"/>
  <c r="C37" i="24"/>
  <c r="D37" i="24"/>
  <c r="E37" i="24"/>
  <c r="F37" i="24"/>
  <c r="G37" i="24"/>
  <c r="H37" i="24"/>
  <c r="I37" i="24"/>
  <c r="J37" i="24"/>
  <c r="K37" i="24"/>
  <c r="L37" i="24"/>
  <c r="M37" i="24"/>
  <c r="A38" i="24"/>
  <c r="B38" i="24"/>
  <c r="C38" i="24"/>
  <c r="D38" i="24"/>
  <c r="E38" i="24"/>
  <c r="F38" i="24"/>
  <c r="G38" i="24"/>
  <c r="H38" i="24"/>
  <c r="I38" i="24"/>
  <c r="J38" i="24"/>
  <c r="K38" i="24"/>
  <c r="L38" i="24"/>
  <c r="M38" i="24"/>
  <c r="A39" i="24"/>
  <c r="B39" i="24"/>
  <c r="C39" i="24"/>
  <c r="D39" i="24"/>
  <c r="E39" i="24"/>
  <c r="F39" i="24"/>
  <c r="G39" i="24"/>
  <c r="H39" i="24"/>
  <c r="I39" i="24"/>
  <c r="J39" i="24"/>
  <c r="K39" i="24"/>
  <c r="L39" i="24"/>
  <c r="M39" i="24"/>
  <c r="A40" i="24"/>
  <c r="B40" i="24"/>
  <c r="C40" i="24"/>
  <c r="D40" i="24"/>
  <c r="E40" i="24"/>
  <c r="F40" i="24"/>
  <c r="G40" i="24"/>
  <c r="H40" i="24"/>
  <c r="I40" i="24"/>
  <c r="J40" i="24"/>
  <c r="K40" i="24"/>
  <c r="L40" i="24"/>
  <c r="M40" i="24"/>
  <c r="A41" i="24"/>
  <c r="B41" i="24"/>
  <c r="C41" i="24"/>
  <c r="D41" i="24"/>
  <c r="E41" i="24"/>
  <c r="F41" i="24"/>
  <c r="G41" i="24"/>
  <c r="H41" i="24"/>
  <c r="I41" i="24"/>
  <c r="J41" i="24"/>
  <c r="K41" i="24"/>
  <c r="L41" i="24"/>
  <c r="M41" i="24"/>
  <c r="A42" i="24"/>
  <c r="B42" i="24"/>
  <c r="C42" i="24"/>
  <c r="D42" i="24"/>
  <c r="E42" i="24"/>
  <c r="F42" i="24"/>
  <c r="G42" i="24"/>
  <c r="H42" i="24"/>
  <c r="I42" i="24"/>
  <c r="J42" i="24"/>
  <c r="K42" i="24"/>
  <c r="L42" i="24"/>
  <c r="M42" i="24"/>
  <c r="A43" i="24"/>
  <c r="B43" i="24"/>
  <c r="C43" i="24"/>
  <c r="D43" i="24"/>
  <c r="E43" i="24"/>
  <c r="F43" i="24"/>
  <c r="G43" i="24"/>
  <c r="H43" i="24"/>
  <c r="I43" i="24"/>
  <c r="J43" i="24"/>
  <c r="K43" i="24"/>
  <c r="L43" i="24"/>
  <c r="M43" i="24"/>
  <c r="A44" i="24"/>
  <c r="B44" i="24"/>
  <c r="C44" i="24"/>
  <c r="D44" i="24"/>
  <c r="E44" i="24"/>
  <c r="F44" i="24"/>
  <c r="G44" i="24"/>
  <c r="H44" i="24"/>
  <c r="I44" i="24"/>
  <c r="J44" i="24"/>
  <c r="K44" i="24"/>
  <c r="L44" i="24"/>
  <c r="M44" i="24"/>
  <c r="A45" i="24"/>
  <c r="B45" i="24"/>
  <c r="C45" i="24"/>
  <c r="D45" i="24"/>
  <c r="E45" i="24"/>
  <c r="F45" i="24"/>
  <c r="G45" i="24"/>
  <c r="H45" i="24"/>
  <c r="I45" i="24"/>
  <c r="J45" i="24"/>
  <c r="K45" i="24"/>
  <c r="L45" i="24"/>
  <c r="M45" i="24"/>
  <c r="A46" i="24"/>
  <c r="B46" i="24"/>
  <c r="C46" i="24"/>
  <c r="D46" i="24"/>
  <c r="E46" i="24"/>
  <c r="F46" i="24"/>
  <c r="G46" i="24"/>
  <c r="H46" i="24"/>
  <c r="I46" i="24"/>
  <c r="J46" i="24"/>
  <c r="K46" i="24"/>
  <c r="L46" i="24"/>
  <c r="M46" i="24"/>
  <c r="A47" i="24"/>
  <c r="B47" i="24"/>
  <c r="C47" i="24"/>
  <c r="D47" i="24"/>
  <c r="E47" i="24"/>
  <c r="F47" i="24"/>
  <c r="G47" i="24"/>
  <c r="H47" i="24"/>
  <c r="I47" i="24"/>
  <c r="J47" i="24"/>
  <c r="K47" i="24"/>
  <c r="L47" i="24"/>
  <c r="M47" i="24"/>
  <c r="A48" i="24"/>
  <c r="B48" i="24"/>
  <c r="C48" i="24"/>
  <c r="D48" i="24"/>
  <c r="E48" i="24"/>
  <c r="F48" i="24"/>
  <c r="G48" i="24"/>
  <c r="H48" i="24"/>
  <c r="I48" i="24"/>
  <c r="J48" i="24"/>
  <c r="K48" i="24"/>
  <c r="L48" i="24"/>
  <c r="M48" i="24"/>
  <c r="A49" i="24"/>
  <c r="B49" i="24"/>
  <c r="C49" i="24"/>
  <c r="D49" i="24"/>
  <c r="E49" i="24"/>
  <c r="F49" i="24"/>
  <c r="G49" i="24"/>
  <c r="H49" i="24"/>
  <c r="I49" i="24"/>
  <c r="J49" i="24"/>
  <c r="K49" i="24"/>
  <c r="L49" i="24"/>
  <c r="M49" i="24"/>
  <c r="A50" i="24"/>
  <c r="B50" i="24"/>
  <c r="C50" i="24"/>
  <c r="D50" i="24"/>
  <c r="E50" i="24"/>
  <c r="F50" i="24"/>
  <c r="G50" i="24"/>
  <c r="H50" i="24"/>
  <c r="I50" i="24"/>
  <c r="J50" i="24"/>
  <c r="K50" i="24"/>
  <c r="L50" i="24"/>
  <c r="M50" i="24"/>
  <c r="A51" i="24"/>
  <c r="B51" i="24"/>
  <c r="C51" i="24"/>
  <c r="D51" i="24"/>
  <c r="E51" i="24"/>
  <c r="F51" i="24"/>
  <c r="G51" i="24"/>
  <c r="H51" i="24"/>
  <c r="I51" i="24"/>
  <c r="J51" i="24"/>
  <c r="K51" i="24"/>
  <c r="L51" i="24"/>
  <c r="M51" i="24"/>
  <c r="A52" i="24"/>
  <c r="B52" i="24"/>
  <c r="C52" i="24"/>
  <c r="D52" i="24"/>
  <c r="E52" i="24"/>
  <c r="F52" i="24"/>
  <c r="G52" i="24"/>
  <c r="H52" i="24"/>
  <c r="I52" i="24"/>
  <c r="J52" i="24"/>
  <c r="K52" i="24"/>
  <c r="L52" i="24"/>
  <c r="M52" i="24"/>
  <c r="A53" i="24"/>
  <c r="B53" i="24"/>
  <c r="C53" i="24"/>
  <c r="D53" i="24"/>
  <c r="E53" i="24"/>
  <c r="F53" i="24"/>
  <c r="G53" i="24"/>
  <c r="H53" i="24"/>
  <c r="I53" i="24"/>
  <c r="J53" i="24"/>
  <c r="K53" i="24"/>
  <c r="L53" i="24"/>
  <c r="M53" i="24"/>
  <c r="A54" i="24"/>
  <c r="B54" i="24"/>
  <c r="C54" i="24"/>
  <c r="D54" i="24"/>
  <c r="E54" i="24"/>
  <c r="F54" i="24"/>
  <c r="G54" i="24"/>
  <c r="H54" i="24"/>
  <c r="I54" i="24"/>
  <c r="J54" i="24"/>
  <c r="K54" i="24"/>
  <c r="L54" i="24"/>
  <c r="M54" i="24"/>
  <c r="A55" i="24"/>
  <c r="B55" i="24"/>
  <c r="C55" i="24"/>
  <c r="D55" i="24"/>
  <c r="E55" i="24"/>
  <c r="F55" i="24"/>
  <c r="G55" i="24"/>
  <c r="H55" i="24"/>
  <c r="I55" i="24"/>
  <c r="J55" i="24"/>
  <c r="K55" i="24"/>
  <c r="L55" i="24"/>
  <c r="M55" i="24"/>
  <c r="A56" i="24"/>
  <c r="B56" i="24"/>
  <c r="C56" i="24"/>
  <c r="D56" i="24"/>
  <c r="E56" i="24"/>
  <c r="F56" i="24"/>
  <c r="G56" i="24"/>
  <c r="H56" i="24"/>
  <c r="I56" i="24"/>
  <c r="J56" i="24"/>
  <c r="K56" i="24"/>
  <c r="L56" i="24"/>
  <c r="M56" i="24"/>
  <c r="A57" i="24"/>
  <c r="B57" i="24"/>
  <c r="C57" i="24"/>
  <c r="D57" i="24"/>
  <c r="E57" i="24"/>
  <c r="F57" i="24"/>
  <c r="G57" i="24"/>
  <c r="H57" i="24"/>
  <c r="I57" i="24"/>
  <c r="J57" i="24"/>
  <c r="K57" i="24"/>
  <c r="L57" i="24"/>
  <c r="M57" i="24"/>
  <c r="A58" i="24"/>
  <c r="B58" i="24"/>
  <c r="C58" i="24"/>
  <c r="D58" i="24"/>
  <c r="E58" i="24"/>
  <c r="F58" i="24"/>
  <c r="G58" i="24"/>
  <c r="H58" i="24"/>
  <c r="I58" i="24"/>
  <c r="J58" i="24"/>
  <c r="K58" i="24"/>
  <c r="L58" i="24"/>
  <c r="M58" i="24"/>
  <c r="A59" i="24"/>
  <c r="B59" i="24"/>
  <c r="C59" i="24"/>
  <c r="D59" i="24"/>
  <c r="E59" i="24"/>
  <c r="F59" i="24"/>
  <c r="G59" i="24"/>
  <c r="H59" i="24"/>
  <c r="I59" i="24"/>
  <c r="J59" i="24"/>
  <c r="K59" i="24"/>
  <c r="L59" i="24"/>
  <c r="M59" i="24"/>
  <c r="A60" i="24"/>
  <c r="B60" i="24"/>
  <c r="C60" i="24"/>
  <c r="D60" i="24"/>
  <c r="E60" i="24"/>
  <c r="F60" i="24"/>
  <c r="G60" i="24"/>
  <c r="H60" i="24"/>
  <c r="I60" i="24"/>
  <c r="J60" i="24"/>
  <c r="K60" i="24"/>
  <c r="L60" i="24"/>
  <c r="M60" i="24"/>
  <c r="A61" i="24"/>
  <c r="B61" i="24"/>
  <c r="C61" i="24"/>
  <c r="D61" i="24"/>
  <c r="E61" i="24"/>
  <c r="F61" i="24"/>
  <c r="G61" i="24"/>
  <c r="H61" i="24"/>
  <c r="I61" i="24"/>
  <c r="J61" i="24"/>
  <c r="K61" i="24"/>
  <c r="L61" i="24"/>
  <c r="M61" i="24"/>
  <c r="A62" i="24"/>
  <c r="B62" i="24"/>
  <c r="C62" i="24"/>
  <c r="D62" i="24"/>
  <c r="E62" i="24"/>
  <c r="F62" i="24"/>
  <c r="G62" i="24"/>
  <c r="H62" i="24"/>
  <c r="I62" i="24"/>
  <c r="J62" i="24"/>
  <c r="K62" i="24"/>
  <c r="L62" i="24"/>
  <c r="M62" i="24"/>
  <c r="A63" i="24"/>
  <c r="B63" i="24"/>
  <c r="C63" i="24"/>
  <c r="D63" i="24"/>
  <c r="E63" i="24"/>
  <c r="F63" i="24"/>
  <c r="G63" i="24"/>
  <c r="H63" i="24"/>
  <c r="I63" i="24"/>
  <c r="J63" i="24"/>
  <c r="K63" i="24"/>
  <c r="L63" i="24"/>
  <c r="M63" i="24"/>
  <c r="A64" i="24"/>
  <c r="B64" i="24"/>
  <c r="C64" i="24"/>
  <c r="D64" i="24"/>
  <c r="E64" i="24"/>
  <c r="F64" i="24"/>
  <c r="G64" i="24"/>
  <c r="H64" i="24"/>
  <c r="I64" i="24"/>
  <c r="J64" i="24"/>
  <c r="K64" i="24"/>
  <c r="L64" i="24"/>
  <c r="M64" i="24"/>
  <c r="A65" i="24"/>
  <c r="B65" i="24"/>
  <c r="C65" i="24"/>
  <c r="D65" i="24"/>
  <c r="E65" i="24"/>
  <c r="F65" i="24"/>
  <c r="G65" i="24"/>
  <c r="H65" i="24"/>
  <c r="I65" i="24"/>
  <c r="J65" i="24"/>
  <c r="K65" i="24"/>
  <c r="L65" i="24"/>
  <c r="M65" i="24"/>
  <c r="A66" i="24"/>
  <c r="B66" i="24"/>
  <c r="C66" i="24"/>
  <c r="D66" i="24"/>
  <c r="E66" i="24"/>
  <c r="F66" i="24"/>
  <c r="G66" i="24"/>
  <c r="H66" i="24"/>
  <c r="I66" i="24"/>
  <c r="J66" i="24"/>
  <c r="K66" i="24"/>
  <c r="L66" i="24"/>
  <c r="M66" i="24"/>
  <c r="A67" i="24"/>
  <c r="B67" i="24"/>
  <c r="C67" i="24"/>
  <c r="D67" i="24"/>
  <c r="E67" i="24"/>
  <c r="F67" i="24"/>
  <c r="G67" i="24"/>
  <c r="H67" i="24"/>
  <c r="I67" i="24"/>
  <c r="J67" i="24"/>
  <c r="K67" i="24"/>
  <c r="L67" i="24"/>
  <c r="M67" i="24"/>
  <c r="A68" i="24"/>
  <c r="B68" i="24"/>
  <c r="C68" i="24"/>
  <c r="D68" i="24"/>
  <c r="E68" i="24"/>
  <c r="F68" i="24"/>
  <c r="G68" i="24"/>
  <c r="H68" i="24"/>
  <c r="I68" i="24"/>
  <c r="J68" i="24"/>
  <c r="K68" i="24"/>
  <c r="L68" i="24"/>
  <c r="M68" i="24"/>
  <c r="A69" i="24"/>
  <c r="B69" i="24"/>
  <c r="C69" i="24"/>
  <c r="D69" i="24"/>
  <c r="E69" i="24"/>
  <c r="F69" i="24"/>
  <c r="G69" i="24"/>
  <c r="H69" i="24"/>
  <c r="I69" i="24"/>
  <c r="J69" i="24"/>
  <c r="K69" i="24"/>
  <c r="L69" i="24"/>
  <c r="M69" i="24"/>
  <c r="A70" i="24"/>
  <c r="B70" i="24"/>
  <c r="C70" i="24"/>
  <c r="D70" i="24"/>
  <c r="E70" i="24"/>
  <c r="F70" i="24"/>
  <c r="G70" i="24"/>
  <c r="H70" i="24"/>
  <c r="I70" i="24"/>
  <c r="J70" i="24"/>
  <c r="K70" i="24"/>
  <c r="L70" i="24"/>
  <c r="M70" i="24"/>
  <c r="A71" i="24"/>
  <c r="B71" i="24"/>
  <c r="C71" i="24"/>
  <c r="D71" i="24"/>
  <c r="E71" i="24"/>
  <c r="F71" i="24"/>
  <c r="G71" i="24"/>
  <c r="H71" i="24"/>
  <c r="I71" i="24"/>
  <c r="J71" i="24"/>
  <c r="K71" i="24"/>
  <c r="L71" i="24"/>
  <c r="M71" i="24"/>
  <c r="A72" i="24"/>
  <c r="B72" i="24"/>
  <c r="C72" i="24"/>
  <c r="D72" i="24"/>
  <c r="E72" i="24"/>
  <c r="F72" i="24"/>
  <c r="G72" i="24"/>
  <c r="H72" i="24"/>
  <c r="I72" i="24"/>
  <c r="J72" i="24"/>
  <c r="K72" i="24"/>
  <c r="L72" i="24"/>
  <c r="M72" i="24"/>
  <c r="A73" i="24"/>
  <c r="B73" i="24"/>
  <c r="C73" i="24"/>
  <c r="D73" i="24"/>
  <c r="E73" i="24"/>
  <c r="F73" i="24"/>
  <c r="G73" i="24"/>
  <c r="H73" i="24"/>
  <c r="I73" i="24"/>
  <c r="J73" i="24"/>
  <c r="K73" i="24"/>
  <c r="L73" i="24"/>
  <c r="M73" i="24"/>
  <c r="A74" i="24"/>
  <c r="B74" i="24"/>
  <c r="C74" i="24"/>
  <c r="D74" i="24"/>
  <c r="E74" i="24"/>
  <c r="F74" i="24"/>
  <c r="G74" i="24"/>
  <c r="H74" i="24"/>
  <c r="I74" i="24"/>
  <c r="J74" i="24"/>
  <c r="K74" i="24"/>
  <c r="L74" i="24"/>
  <c r="M74" i="24"/>
  <c r="A75" i="24"/>
  <c r="B75" i="24"/>
  <c r="C75" i="24"/>
  <c r="D75" i="24"/>
  <c r="E75" i="24"/>
  <c r="F75" i="24"/>
  <c r="G75" i="24"/>
  <c r="H75" i="24"/>
  <c r="I75" i="24"/>
  <c r="J75" i="24"/>
  <c r="K75" i="24"/>
  <c r="L75" i="24"/>
  <c r="M75" i="24"/>
  <c r="A76" i="24"/>
  <c r="B76" i="24"/>
  <c r="C76" i="24"/>
  <c r="D76" i="24"/>
  <c r="E76" i="24"/>
  <c r="F76" i="24"/>
  <c r="G76" i="24"/>
  <c r="H76" i="24"/>
  <c r="I76" i="24"/>
  <c r="J76" i="24"/>
  <c r="K76" i="24"/>
  <c r="L76" i="24"/>
  <c r="M76" i="24"/>
  <c r="A77" i="24"/>
  <c r="B77" i="24"/>
  <c r="C77" i="24"/>
  <c r="D77" i="24"/>
  <c r="E77" i="24"/>
  <c r="F77" i="24"/>
  <c r="G77" i="24"/>
  <c r="H77" i="24"/>
  <c r="I77" i="24"/>
  <c r="J77" i="24"/>
  <c r="K77" i="24"/>
  <c r="L77" i="24"/>
  <c r="M77" i="24"/>
  <c r="A78" i="24"/>
  <c r="B78" i="24"/>
  <c r="C78" i="24"/>
  <c r="D78" i="24"/>
  <c r="E78" i="24"/>
  <c r="F78" i="24"/>
  <c r="G78" i="24"/>
  <c r="H78" i="24"/>
  <c r="I78" i="24"/>
  <c r="J78" i="24"/>
  <c r="K78" i="24"/>
  <c r="L78" i="24"/>
  <c r="M78" i="24"/>
  <c r="A79" i="24"/>
  <c r="B79" i="24"/>
  <c r="C79" i="24"/>
  <c r="D79" i="24"/>
  <c r="E79" i="24"/>
  <c r="F79" i="24"/>
  <c r="G79" i="24"/>
  <c r="H79" i="24"/>
  <c r="I79" i="24"/>
  <c r="J79" i="24"/>
  <c r="K79" i="24"/>
  <c r="L79" i="24"/>
  <c r="M79" i="24"/>
  <c r="A80" i="24"/>
  <c r="B80" i="24"/>
  <c r="C80" i="24"/>
  <c r="D80" i="24"/>
  <c r="E80" i="24"/>
  <c r="F80" i="24"/>
  <c r="G80" i="24"/>
  <c r="H80" i="24"/>
  <c r="I80" i="24"/>
  <c r="J80" i="24"/>
  <c r="K80" i="24"/>
  <c r="L80" i="24"/>
  <c r="M80" i="24"/>
  <c r="A81" i="24"/>
  <c r="B81" i="24"/>
  <c r="C81" i="24"/>
  <c r="D81" i="24"/>
  <c r="E81" i="24"/>
  <c r="F81" i="24"/>
  <c r="G81" i="24"/>
  <c r="H81" i="24"/>
  <c r="I81" i="24"/>
  <c r="J81" i="24"/>
  <c r="K81" i="24"/>
  <c r="L81" i="24"/>
  <c r="M81" i="24"/>
  <c r="A82" i="24"/>
  <c r="B82" i="24"/>
  <c r="C82" i="24"/>
  <c r="D82" i="24"/>
  <c r="E82" i="24"/>
  <c r="F82" i="24"/>
  <c r="G82" i="24"/>
  <c r="H82" i="24"/>
  <c r="I82" i="24"/>
  <c r="J82" i="24"/>
  <c r="K82" i="24"/>
  <c r="L82" i="24"/>
  <c r="M82" i="24"/>
  <c r="A83" i="24"/>
  <c r="B83" i="24"/>
  <c r="C83" i="24"/>
  <c r="D83" i="24"/>
  <c r="E83" i="24"/>
  <c r="F83" i="24"/>
  <c r="G83" i="24"/>
  <c r="H83" i="24"/>
  <c r="I83" i="24"/>
  <c r="J83" i="24"/>
  <c r="K83" i="24"/>
  <c r="L83" i="24"/>
  <c r="M83" i="24"/>
  <c r="A84" i="24"/>
  <c r="B84" i="24"/>
  <c r="C84" i="24"/>
  <c r="D84" i="24"/>
  <c r="E84" i="24"/>
  <c r="F84" i="24"/>
  <c r="G84" i="24"/>
  <c r="H84" i="24"/>
  <c r="I84" i="24"/>
  <c r="J84" i="24"/>
  <c r="K84" i="24"/>
  <c r="L84" i="24"/>
  <c r="M84" i="24"/>
  <c r="A85" i="24"/>
  <c r="B85" i="24"/>
  <c r="C85" i="24"/>
  <c r="D85" i="24"/>
  <c r="E85" i="24"/>
  <c r="F85" i="24"/>
  <c r="G85" i="24"/>
  <c r="H85" i="24"/>
  <c r="I85" i="24"/>
  <c r="J85" i="24"/>
  <c r="K85" i="24"/>
  <c r="L85" i="24"/>
  <c r="M85" i="24"/>
  <c r="A86" i="24"/>
  <c r="B86" i="24"/>
  <c r="C86" i="24"/>
  <c r="D86" i="24"/>
  <c r="E86" i="24"/>
  <c r="F86" i="24"/>
  <c r="G86" i="24"/>
  <c r="H86" i="24"/>
  <c r="I86" i="24"/>
  <c r="J86" i="24"/>
  <c r="K86" i="24"/>
  <c r="L86" i="24"/>
  <c r="M86" i="24"/>
  <c r="A87" i="24"/>
  <c r="B87" i="24"/>
  <c r="C87" i="24"/>
  <c r="D87" i="24"/>
  <c r="E87" i="24"/>
  <c r="F87" i="24"/>
  <c r="G87" i="24"/>
  <c r="H87" i="24"/>
  <c r="I87" i="24"/>
  <c r="J87" i="24"/>
  <c r="K87" i="24"/>
  <c r="L87" i="24"/>
  <c r="M87" i="24"/>
  <c r="A88" i="24"/>
  <c r="B88" i="24"/>
  <c r="C88" i="24"/>
  <c r="D88" i="24"/>
  <c r="E88" i="24"/>
  <c r="F88" i="24"/>
  <c r="G88" i="24"/>
  <c r="H88" i="24"/>
  <c r="I88" i="24"/>
  <c r="J88" i="24"/>
  <c r="K88" i="24"/>
  <c r="L88" i="24"/>
  <c r="M88" i="24"/>
  <c r="A89" i="24"/>
  <c r="B89" i="24"/>
  <c r="C89" i="24"/>
  <c r="D89" i="24"/>
  <c r="E89" i="24"/>
  <c r="F89" i="24"/>
  <c r="G89" i="24"/>
  <c r="H89" i="24"/>
  <c r="I89" i="24"/>
  <c r="J89" i="24"/>
  <c r="K89" i="24"/>
  <c r="L89" i="24"/>
  <c r="M89" i="24"/>
  <c r="A90" i="24"/>
  <c r="B90" i="24"/>
  <c r="C90" i="24"/>
  <c r="D90" i="24"/>
  <c r="E90" i="24"/>
  <c r="F90" i="24"/>
  <c r="G90" i="24"/>
  <c r="H90" i="24"/>
  <c r="I90" i="24"/>
  <c r="J90" i="24"/>
  <c r="K90" i="24"/>
  <c r="L90" i="24"/>
  <c r="M90" i="24"/>
  <c r="A91" i="24"/>
  <c r="B91" i="24"/>
  <c r="C91" i="24"/>
  <c r="D91" i="24"/>
  <c r="E91" i="24"/>
  <c r="F91" i="24"/>
  <c r="G91" i="24"/>
  <c r="H91" i="24"/>
  <c r="I91" i="24"/>
  <c r="J91" i="24"/>
  <c r="K91" i="24"/>
  <c r="L91" i="24"/>
  <c r="M91" i="24"/>
  <c r="A92" i="24"/>
  <c r="B92" i="24"/>
  <c r="C92" i="24"/>
  <c r="D92" i="24"/>
  <c r="E92" i="24"/>
  <c r="F92" i="24"/>
  <c r="G92" i="24"/>
  <c r="H92" i="24"/>
  <c r="I92" i="24"/>
  <c r="J92" i="24"/>
  <c r="K92" i="24"/>
  <c r="L92" i="24"/>
  <c r="M92" i="24"/>
  <c r="A93" i="24"/>
  <c r="B93" i="24"/>
  <c r="C93" i="24"/>
  <c r="D93" i="24"/>
  <c r="E93" i="24"/>
  <c r="F93" i="24"/>
  <c r="G93" i="24"/>
  <c r="H93" i="24"/>
  <c r="I93" i="24"/>
  <c r="J93" i="24"/>
  <c r="K93" i="24"/>
  <c r="L93" i="24"/>
  <c r="M93" i="24"/>
  <c r="A94" i="24"/>
  <c r="B94" i="24"/>
  <c r="C94" i="24"/>
  <c r="D94" i="24"/>
  <c r="E94" i="24"/>
  <c r="F94" i="24"/>
  <c r="G94" i="24"/>
  <c r="H94" i="24"/>
  <c r="I94" i="24"/>
  <c r="J94" i="24"/>
  <c r="K94" i="24"/>
  <c r="L94" i="24"/>
  <c r="M94" i="24"/>
  <c r="A95" i="24"/>
  <c r="B95" i="24"/>
  <c r="C95" i="24"/>
  <c r="D95" i="24"/>
  <c r="E95" i="24"/>
  <c r="F95" i="24"/>
  <c r="G95" i="24"/>
  <c r="H95" i="24"/>
  <c r="I95" i="24"/>
  <c r="J95" i="24"/>
  <c r="K95" i="24"/>
  <c r="L95" i="24"/>
  <c r="M95" i="24"/>
  <c r="A96" i="24"/>
  <c r="B96" i="24"/>
  <c r="C96" i="24"/>
  <c r="D96" i="24"/>
  <c r="E96" i="24"/>
  <c r="F96" i="24"/>
  <c r="G96" i="24"/>
  <c r="H96" i="24"/>
  <c r="I96" i="24"/>
  <c r="J96" i="24"/>
  <c r="K96" i="24"/>
  <c r="L96" i="24"/>
  <c r="M96" i="24"/>
  <c r="A97" i="24"/>
  <c r="B97" i="24"/>
  <c r="C97" i="24"/>
  <c r="D97" i="24"/>
  <c r="E97" i="24"/>
  <c r="F97" i="24"/>
  <c r="G97" i="24"/>
  <c r="H97" i="24"/>
  <c r="I97" i="24"/>
  <c r="J97" i="24"/>
  <c r="K97" i="24"/>
  <c r="L97" i="24"/>
  <c r="M97" i="24"/>
  <c r="A98" i="24"/>
  <c r="B98" i="24"/>
  <c r="C98" i="24"/>
  <c r="D98" i="24"/>
  <c r="E98" i="24"/>
  <c r="F98" i="24"/>
  <c r="G98" i="24"/>
  <c r="H98" i="24"/>
  <c r="I98" i="24"/>
  <c r="J98" i="24"/>
  <c r="K98" i="24"/>
  <c r="L98" i="24"/>
  <c r="M98" i="24"/>
  <c r="A99" i="24"/>
  <c r="B99" i="24"/>
  <c r="C99" i="24"/>
  <c r="D99" i="24"/>
  <c r="E99" i="24"/>
  <c r="F99" i="24"/>
  <c r="G99" i="24"/>
  <c r="H99" i="24"/>
  <c r="I99" i="24"/>
  <c r="J99" i="24"/>
  <c r="K99" i="24"/>
  <c r="L99" i="24"/>
  <c r="M99" i="24"/>
  <c r="A100" i="24"/>
  <c r="B100" i="24"/>
  <c r="C100" i="24"/>
  <c r="D100" i="24"/>
  <c r="E100" i="24"/>
  <c r="F100" i="24"/>
  <c r="G100" i="24"/>
  <c r="H100" i="24"/>
  <c r="I100" i="24"/>
  <c r="J100" i="24"/>
  <c r="K100" i="24"/>
  <c r="L100" i="24"/>
  <c r="M100" i="24"/>
  <c r="A101" i="24"/>
  <c r="B101" i="24"/>
  <c r="C101" i="24"/>
  <c r="D101" i="24"/>
  <c r="E101" i="24"/>
  <c r="F101" i="24"/>
  <c r="G101" i="24"/>
  <c r="H101" i="24"/>
  <c r="I101" i="24"/>
  <c r="J101" i="24"/>
  <c r="K101" i="24"/>
  <c r="L101" i="24"/>
  <c r="M101" i="24"/>
  <c r="A102" i="24"/>
  <c r="B102" i="24"/>
  <c r="C102" i="24"/>
  <c r="D102" i="24"/>
  <c r="E102" i="24"/>
  <c r="F102" i="24"/>
  <c r="G102" i="24"/>
  <c r="H102" i="24"/>
  <c r="I102" i="24"/>
  <c r="J102" i="24"/>
  <c r="K102" i="24"/>
  <c r="L102" i="24"/>
  <c r="M102" i="24"/>
  <c r="A103" i="24"/>
  <c r="B103" i="24"/>
  <c r="C103" i="24"/>
  <c r="D103" i="24"/>
  <c r="E103" i="24"/>
  <c r="F103" i="24"/>
  <c r="G103" i="24"/>
  <c r="H103" i="24"/>
  <c r="I103" i="24"/>
  <c r="J103" i="24"/>
  <c r="K103" i="24"/>
  <c r="L103" i="24"/>
  <c r="M103" i="24"/>
  <c r="A104" i="24"/>
  <c r="B104" i="24"/>
  <c r="C104" i="24"/>
  <c r="D104" i="24"/>
  <c r="E104" i="24"/>
  <c r="F104" i="24"/>
  <c r="G104" i="24"/>
  <c r="H104" i="24"/>
  <c r="I104" i="24"/>
  <c r="J104" i="24"/>
  <c r="K104" i="24"/>
  <c r="L104" i="24"/>
  <c r="M104" i="24"/>
  <c r="A105" i="24"/>
  <c r="B105" i="24"/>
  <c r="C105" i="24"/>
  <c r="D105" i="24"/>
  <c r="E105" i="24"/>
  <c r="F105" i="24"/>
  <c r="G105" i="24"/>
  <c r="H105" i="24"/>
  <c r="I105" i="24"/>
  <c r="J105" i="24"/>
  <c r="K105" i="24"/>
  <c r="L105" i="24"/>
  <c r="M105" i="24"/>
  <c r="A106" i="24"/>
  <c r="B106" i="24"/>
  <c r="C106" i="24"/>
  <c r="D106" i="24"/>
  <c r="E106" i="24"/>
  <c r="F106" i="24"/>
  <c r="G106" i="24"/>
  <c r="H106" i="24"/>
  <c r="I106" i="24"/>
  <c r="J106" i="24"/>
  <c r="K106" i="24"/>
  <c r="L106" i="24"/>
  <c r="M106" i="24"/>
  <c r="A107" i="24"/>
  <c r="B107" i="24"/>
  <c r="C107" i="24"/>
  <c r="D107" i="24"/>
  <c r="E107" i="24"/>
  <c r="F107" i="24"/>
  <c r="G107" i="24"/>
  <c r="H107" i="24"/>
  <c r="I107" i="24"/>
  <c r="J107" i="24"/>
  <c r="K107" i="24"/>
  <c r="L107" i="24"/>
  <c r="M107" i="24"/>
  <c r="A108" i="24"/>
  <c r="B108" i="24"/>
  <c r="C108" i="24"/>
  <c r="D108" i="24"/>
  <c r="E108" i="24"/>
  <c r="F108" i="24"/>
  <c r="G108" i="24"/>
  <c r="H108" i="24"/>
  <c r="I108" i="24"/>
  <c r="J108" i="24"/>
  <c r="K108" i="24"/>
  <c r="L108" i="24"/>
  <c r="M108" i="24"/>
  <c r="A109" i="24"/>
  <c r="B109" i="24"/>
  <c r="C109" i="24"/>
  <c r="D109" i="24"/>
  <c r="E109" i="24"/>
  <c r="F109" i="24"/>
  <c r="G109" i="24"/>
  <c r="H109" i="24"/>
  <c r="I109" i="24"/>
  <c r="J109" i="24"/>
  <c r="K109" i="24"/>
  <c r="L109" i="24"/>
  <c r="M109" i="24"/>
  <c r="A110" i="24"/>
  <c r="B110" i="24"/>
  <c r="C110" i="24"/>
  <c r="D110" i="24"/>
  <c r="E110" i="24"/>
  <c r="F110" i="24"/>
  <c r="G110" i="24"/>
  <c r="H110" i="24"/>
  <c r="I110" i="24"/>
  <c r="J110" i="24"/>
  <c r="K110" i="24"/>
  <c r="L110" i="24"/>
  <c r="M110" i="24"/>
  <c r="A111" i="24"/>
  <c r="B111" i="24"/>
  <c r="C111" i="24"/>
  <c r="D111" i="24"/>
  <c r="E111" i="24"/>
  <c r="F111" i="24"/>
  <c r="G111" i="24"/>
  <c r="H111" i="24"/>
  <c r="I111" i="24"/>
  <c r="J111" i="24"/>
  <c r="K111" i="24"/>
  <c r="L111" i="24"/>
  <c r="M111" i="24"/>
  <c r="A112" i="24"/>
  <c r="B112" i="24"/>
  <c r="C112" i="24"/>
  <c r="D112" i="24"/>
  <c r="E112" i="24"/>
  <c r="F112" i="24"/>
  <c r="G112" i="24"/>
  <c r="H112" i="24"/>
  <c r="I112" i="24"/>
  <c r="J112" i="24"/>
  <c r="K112" i="24"/>
  <c r="L112" i="24"/>
  <c r="M112" i="24"/>
  <c r="A113" i="24"/>
  <c r="B113" i="24"/>
  <c r="C113" i="24"/>
  <c r="D113" i="24"/>
  <c r="E113" i="24"/>
  <c r="F113" i="24"/>
  <c r="G113" i="24"/>
  <c r="H113" i="24"/>
  <c r="I113" i="24"/>
  <c r="J113" i="24"/>
  <c r="K113" i="24"/>
  <c r="L113" i="24"/>
  <c r="M113" i="24"/>
  <c r="A114" i="24"/>
  <c r="B114" i="24"/>
  <c r="C114" i="24"/>
  <c r="D114" i="24"/>
  <c r="E114" i="24"/>
  <c r="F114" i="24"/>
  <c r="G114" i="24"/>
  <c r="H114" i="24"/>
  <c r="I114" i="24"/>
  <c r="J114" i="24"/>
  <c r="K114" i="24"/>
  <c r="L114" i="24"/>
  <c r="M114" i="24"/>
  <c r="A115" i="24"/>
  <c r="B115" i="24"/>
  <c r="C115" i="24"/>
  <c r="D115" i="24"/>
  <c r="E115" i="24"/>
  <c r="F115" i="24"/>
  <c r="G115" i="24"/>
  <c r="H115" i="24"/>
  <c r="I115" i="24"/>
  <c r="J115" i="24"/>
  <c r="K115" i="24"/>
  <c r="L115" i="24"/>
  <c r="M115" i="24"/>
  <c r="A116" i="24"/>
  <c r="B116" i="24"/>
  <c r="C116" i="24"/>
  <c r="D116" i="24"/>
  <c r="E116" i="24"/>
  <c r="F116" i="24"/>
  <c r="G116" i="24"/>
  <c r="H116" i="24"/>
  <c r="I116" i="24"/>
  <c r="J116" i="24"/>
  <c r="K116" i="24"/>
  <c r="L116" i="24"/>
  <c r="M116" i="24"/>
  <c r="A117" i="24"/>
  <c r="B117" i="24"/>
  <c r="C117" i="24"/>
  <c r="D117" i="24"/>
  <c r="E117" i="24"/>
  <c r="F117" i="24"/>
  <c r="G117" i="24"/>
  <c r="H117" i="24"/>
  <c r="I117" i="24"/>
  <c r="J117" i="24"/>
  <c r="K117" i="24"/>
  <c r="L117" i="24"/>
  <c r="M117" i="24"/>
  <c r="A118" i="24"/>
  <c r="B118" i="24"/>
  <c r="C118" i="24"/>
  <c r="D118" i="24"/>
  <c r="E118" i="24"/>
  <c r="F118" i="24"/>
  <c r="G118" i="24"/>
  <c r="H118" i="24"/>
  <c r="I118" i="24"/>
  <c r="J118" i="24"/>
  <c r="K118" i="24"/>
  <c r="L118" i="24"/>
  <c r="M118" i="24"/>
  <c r="A119" i="24"/>
  <c r="B119" i="24"/>
  <c r="C119" i="24"/>
  <c r="D119" i="24"/>
  <c r="E119" i="24"/>
  <c r="F119" i="24"/>
  <c r="G119" i="24"/>
  <c r="H119" i="24"/>
  <c r="I119" i="24"/>
  <c r="J119" i="24"/>
  <c r="K119" i="24"/>
  <c r="L119" i="24"/>
  <c r="M119" i="24"/>
  <c r="A120" i="24"/>
  <c r="B120" i="24"/>
  <c r="C120" i="24"/>
  <c r="D120" i="24"/>
  <c r="E120" i="24"/>
  <c r="F120" i="24"/>
  <c r="G120" i="24"/>
  <c r="H120" i="24"/>
  <c r="I120" i="24"/>
  <c r="J120" i="24"/>
  <c r="K120" i="24"/>
  <c r="L120" i="24"/>
  <c r="M120" i="24"/>
  <c r="A121" i="24"/>
  <c r="B121" i="24"/>
  <c r="C121" i="24"/>
  <c r="D121" i="24"/>
  <c r="E121" i="24"/>
  <c r="F121" i="24"/>
  <c r="G121" i="24"/>
  <c r="H121" i="24"/>
  <c r="I121" i="24"/>
  <c r="J121" i="24"/>
  <c r="K121" i="24"/>
  <c r="L121" i="24"/>
  <c r="M121" i="24"/>
  <c r="A122" i="24"/>
  <c r="B122" i="24"/>
  <c r="C122" i="24"/>
  <c r="D122" i="24"/>
  <c r="E122" i="24"/>
  <c r="F122" i="24"/>
  <c r="G122" i="24"/>
  <c r="H122" i="24"/>
  <c r="I122" i="24"/>
  <c r="J122" i="24"/>
  <c r="K122" i="24"/>
  <c r="L122" i="24"/>
  <c r="M122" i="24"/>
  <c r="A123" i="24"/>
  <c r="B123" i="24"/>
  <c r="C123" i="24"/>
  <c r="D123" i="24"/>
  <c r="E123" i="24"/>
  <c r="F123" i="24"/>
  <c r="G123" i="24"/>
  <c r="H123" i="24"/>
  <c r="I123" i="24"/>
  <c r="J123" i="24"/>
  <c r="K123" i="24"/>
  <c r="L123" i="24"/>
  <c r="M123" i="24"/>
  <c r="A124" i="24"/>
  <c r="B124" i="24"/>
  <c r="C124" i="24"/>
  <c r="D124" i="24"/>
  <c r="E124" i="24"/>
  <c r="F124" i="24"/>
  <c r="G124" i="24"/>
  <c r="H124" i="24"/>
  <c r="I124" i="24"/>
  <c r="J124" i="24"/>
  <c r="K124" i="24"/>
  <c r="L124" i="24"/>
  <c r="M124" i="24"/>
  <c r="A125" i="24"/>
  <c r="B125" i="24"/>
  <c r="C125" i="24"/>
  <c r="D125" i="24"/>
  <c r="E125" i="24"/>
  <c r="F125" i="24"/>
  <c r="G125" i="24"/>
  <c r="H125" i="24"/>
  <c r="I125" i="24"/>
  <c r="J125" i="24"/>
  <c r="K125" i="24"/>
  <c r="L125" i="24"/>
  <c r="M125" i="24"/>
  <c r="A126" i="24"/>
  <c r="B126" i="24"/>
  <c r="C126" i="24"/>
  <c r="D126" i="24"/>
  <c r="E126" i="24"/>
  <c r="F126" i="24"/>
  <c r="G126" i="24"/>
  <c r="H126" i="24"/>
  <c r="I126" i="24"/>
  <c r="J126" i="24"/>
  <c r="K126" i="24"/>
  <c r="L126" i="24"/>
  <c r="M126" i="24"/>
  <c r="A127" i="24"/>
  <c r="B127" i="24"/>
  <c r="C127" i="24"/>
  <c r="D127" i="24"/>
  <c r="E127" i="24"/>
  <c r="F127" i="24"/>
  <c r="G127" i="24"/>
  <c r="H127" i="24"/>
  <c r="I127" i="24"/>
  <c r="J127" i="24"/>
  <c r="K127" i="24"/>
  <c r="L127" i="24"/>
  <c r="M127" i="24"/>
  <c r="A128" i="24"/>
  <c r="B128" i="24"/>
  <c r="C128" i="24"/>
  <c r="D128" i="24"/>
  <c r="E128" i="24"/>
  <c r="F128" i="24"/>
  <c r="G128" i="24"/>
  <c r="H128" i="24"/>
  <c r="I128" i="24"/>
  <c r="J128" i="24"/>
  <c r="K128" i="24"/>
  <c r="L128" i="24"/>
  <c r="M128" i="24"/>
  <c r="A129" i="24"/>
  <c r="B129" i="24"/>
  <c r="C129" i="24"/>
  <c r="D129" i="24"/>
  <c r="E129" i="24"/>
  <c r="F129" i="24"/>
  <c r="G129" i="24"/>
  <c r="H129" i="24"/>
  <c r="I129" i="24"/>
  <c r="J129" i="24"/>
  <c r="K129" i="24"/>
  <c r="L129" i="24"/>
  <c r="M129" i="24"/>
  <c r="A130" i="24"/>
  <c r="B130" i="24"/>
  <c r="C130" i="24"/>
  <c r="D130" i="24"/>
  <c r="E130" i="24"/>
  <c r="F130" i="24"/>
  <c r="G130" i="24"/>
  <c r="H130" i="24"/>
  <c r="I130" i="24"/>
  <c r="J130" i="24"/>
  <c r="K130" i="24"/>
  <c r="L130" i="24"/>
  <c r="M130" i="24"/>
  <c r="A131" i="24"/>
  <c r="B131" i="24"/>
  <c r="C131" i="24"/>
  <c r="D131" i="24"/>
  <c r="E131" i="24"/>
  <c r="F131" i="24"/>
  <c r="G131" i="24"/>
  <c r="H131" i="24"/>
  <c r="I131" i="24"/>
  <c r="J131" i="24"/>
  <c r="K131" i="24"/>
  <c r="L131" i="24"/>
  <c r="M131" i="24"/>
  <c r="A132" i="24"/>
  <c r="B132" i="24"/>
  <c r="C132" i="24"/>
  <c r="D132" i="24"/>
  <c r="E132" i="24"/>
  <c r="F132" i="24"/>
  <c r="G132" i="24"/>
  <c r="H132" i="24"/>
  <c r="I132" i="24"/>
  <c r="J132" i="24"/>
  <c r="K132" i="24"/>
  <c r="L132" i="24"/>
  <c r="M132" i="24"/>
  <c r="A133" i="24"/>
  <c r="B133" i="24"/>
  <c r="C133" i="24"/>
  <c r="D133" i="24"/>
  <c r="E133" i="24"/>
  <c r="F133" i="24"/>
  <c r="G133" i="24"/>
  <c r="H133" i="24"/>
  <c r="I133" i="24"/>
  <c r="J133" i="24"/>
  <c r="K133" i="24"/>
  <c r="L133" i="24"/>
  <c r="M133" i="24"/>
  <c r="A134" i="24"/>
  <c r="B134" i="24"/>
  <c r="C134" i="24"/>
  <c r="D134" i="24"/>
  <c r="E134" i="24"/>
  <c r="F134" i="24"/>
  <c r="G134" i="24"/>
  <c r="H134" i="24"/>
  <c r="I134" i="24"/>
  <c r="J134" i="24"/>
  <c r="K134" i="24"/>
  <c r="L134" i="24"/>
  <c r="M134" i="24"/>
  <c r="A135" i="24"/>
  <c r="B135" i="24"/>
  <c r="C135" i="24"/>
  <c r="D135" i="24"/>
  <c r="E135" i="24"/>
  <c r="F135" i="24"/>
  <c r="G135" i="24"/>
  <c r="H135" i="24"/>
  <c r="I135" i="24"/>
  <c r="J135" i="24"/>
  <c r="K135" i="24"/>
  <c r="L135" i="24"/>
  <c r="M135" i="24"/>
  <c r="A136" i="24"/>
  <c r="B136" i="24"/>
  <c r="C136" i="24"/>
  <c r="D136" i="24"/>
  <c r="E136" i="24"/>
  <c r="F136" i="24"/>
  <c r="G136" i="24"/>
  <c r="H136" i="24"/>
  <c r="I136" i="24"/>
  <c r="J136" i="24"/>
  <c r="K136" i="24"/>
  <c r="L136" i="24"/>
  <c r="M136" i="24"/>
  <c r="A137" i="24"/>
  <c r="B137" i="24"/>
  <c r="C137" i="24"/>
  <c r="D137" i="24"/>
  <c r="E137" i="24"/>
  <c r="F137" i="24"/>
  <c r="G137" i="24"/>
  <c r="H137" i="24"/>
  <c r="I137" i="24"/>
  <c r="J137" i="24"/>
  <c r="K137" i="24"/>
  <c r="L137" i="24"/>
  <c r="M137" i="24"/>
  <c r="A138" i="24"/>
  <c r="B138" i="24"/>
  <c r="C138" i="24"/>
  <c r="D138" i="24"/>
  <c r="E138" i="24"/>
  <c r="F138" i="24"/>
  <c r="G138" i="24"/>
  <c r="H138" i="24"/>
  <c r="I138" i="24"/>
  <c r="J138" i="24"/>
  <c r="K138" i="24"/>
  <c r="L138" i="24"/>
  <c r="M138" i="24"/>
  <c r="A139" i="24"/>
  <c r="B139" i="24"/>
  <c r="C139" i="24"/>
  <c r="D139" i="24"/>
  <c r="E139" i="24"/>
  <c r="F139" i="24"/>
  <c r="G139" i="24"/>
  <c r="H139" i="24"/>
  <c r="I139" i="24"/>
  <c r="J139" i="24"/>
  <c r="K139" i="24"/>
  <c r="L139" i="24"/>
  <c r="M139" i="24"/>
  <c r="A140" i="24"/>
  <c r="B140" i="24"/>
  <c r="C140" i="24"/>
  <c r="D140" i="24"/>
  <c r="E140" i="24"/>
  <c r="F140" i="24"/>
  <c r="G140" i="24"/>
  <c r="H140" i="24"/>
  <c r="I140" i="24"/>
  <c r="J140" i="24"/>
  <c r="K140" i="24"/>
  <c r="L140" i="24"/>
  <c r="M140" i="24"/>
  <c r="A141" i="24"/>
  <c r="B141" i="24"/>
  <c r="C141" i="24"/>
  <c r="D141" i="24"/>
  <c r="E141" i="24"/>
  <c r="F141" i="24"/>
  <c r="G141" i="24"/>
  <c r="H141" i="24"/>
  <c r="I141" i="24"/>
  <c r="J141" i="24"/>
  <c r="K141" i="24"/>
  <c r="L141" i="24"/>
  <c r="M141" i="24"/>
  <c r="A142" i="24"/>
  <c r="B142" i="24"/>
  <c r="C142" i="24"/>
  <c r="D142" i="24"/>
  <c r="E142" i="24"/>
  <c r="F142" i="24"/>
  <c r="G142" i="24"/>
  <c r="H142" i="24"/>
  <c r="I142" i="24"/>
  <c r="J142" i="24"/>
  <c r="K142" i="24"/>
  <c r="L142" i="24"/>
  <c r="M142" i="24"/>
  <c r="A143" i="24"/>
  <c r="B143" i="24"/>
  <c r="C143" i="24"/>
  <c r="D143" i="24"/>
  <c r="E143" i="24"/>
  <c r="F143" i="24"/>
  <c r="G143" i="24"/>
  <c r="H143" i="24"/>
  <c r="I143" i="24"/>
  <c r="J143" i="24"/>
  <c r="K143" i="24"/>
  <c r="L143" i="24"/>
  <c r="M143" i="24"/>
  <c r="A144" i="24"/>
  <c r="B144" i="24"/>
  <c r="C144" i="24"/>
  <c r="D144" i="24"/>
  <c r="E144" i="24"/>
  <c r="F144" i="24"/>
  <c r="G144" i="24"/>
  <c r="H144" i="24"/>
  <c r="I144" i="24"/>
  <c r="J144" i="24"/>
  <c r="K144" i="24"/>
  <c r="L144" i="24"/>
  <c r="M144" i="24"/>
  <c r="A145" i="24"/>
  <c r="B145" i="24"/>
  <c r="C145" i="24"/>
  <c r="D145" i="24"/>
  <c r="E145" i="24"/>
  <c r="F145" i="24"/>
  <c r="G145" i="24"/>
  <c r="H145" i="24"/>
  <c r="I145" i="24"/>
  <c r="J145" i="24"/>
  <c r="K145" i="24"/>
  <c r="L145" i="24"/>
  <c r="M145" i="24"/>
  <c r="A146" i="24"/>
  <c r="B146" i="24"/>
  <c r="C146" i="24"/>
  <c r="D146" i="24"/>
  <c r="E146" i="24"/>
  <c r="F146" i="24"/>
  <c r="G146" i="24"/>
  <c r="H146" i="24"/>
  <c r="I146" i="24"/>
  <c r="J146" i="24"/>
  <c r="K146" i="24"/>
  <c r="L146" i="24"/>
  <c r="M146" i="24"/>
  <c r="A147" i="24"/>
  <c r="B147" i="24"/>
  <c r="C147" i="24"/>
  <c r="D147" i="24"/>
  <c r="E147" i="24"/>
  <c r="F147" i="24"/>
  <c r="G147" i="24"/>
  <c r="H147" i="24"/>
  <c r="I147" i="24"/>
  <c r="J147" i="24"/>
  <c r="K147" i="24"/>
  <c r="L147" i="24"/>
  <c r="M147" i="24"/>
  <c r="A148" i="24"/>
  <c r="B148" i="24"/>
  <c r="C148" i="24"/>
  <c r="D148" i="24"/>
  <c r="E148" i="24"/>
  <c r="F148" i="24"/>
  <c r="G148" i="24"/>
  <c r="H148" i="24"/>
  <c r="I148" i="24"/>
  <c r="J148" i="24"/>
  <c r="K148" i="24"/>
  <c r="L148" i="24"/>
  <c r="M148" i="24"/>
  <c r="A149" i="24"/>
  <c r="B149" i="24"/>
  <c r="C149" i="24"/>
  <c r="D149" i="24"/>
  <c r="E149" i="24"/>
  <c r="F149" i="24"/>
  <c r="G149" i="24"/>
  <c r="H149" i="24"/>
  <c r="I149" i="24"/>
  <c r="J149" i="24"/>
  <c r="K149" i="24"/>
  <c r="L149" i="24"/>
  <c r="M149" i="24"/>
  <c r="A150" i="24"/>
  <c r="B150" i="24"/>
  <c r="C150" i="24"/>
  <c r="D150" i="24"/>
  <c r="E150" i="24"/>
  <c r="F150" i="24"/>
  <c r="G150" i="24"/>
  <c r="H150" i="24"/>
  <c r="I150" i="24"/>
  <c r="J150" i="24"/>
  <c r="K150" i="24"/>
  <c r="L150" i="24"/>
  <c r="M150" i="24"/>
  <c r="A151" i="24"/>
  <c r="B151" i="24"/>
  <c r="C151" i="24"/>
  <c r="D151" i="24"/>
  <c r="E151" i="24"/>
  <c r="F151" i="24"/>
  <c r="G151" i="24"/>
  <c r="H151" i="24"/>
  <c r="I151" i="24"/>
  <c r="J151" i="24"/>
  <c r="K151" i="24"/>
  <c r="L151" i="24"/>
  <c r="M151" i="24"/>
  <c r="A152" i="24"/>
  <c r="B152" i="24"/>
  <c r="C152" i="24"/>
  <c r="D152" i="24"/>
  <c r="E152" i="24"/>
  <c r="F152" i="24"/>
  <c r="G152" i="24"/>
  <c r="H152" i="24"/>
  <c r="I152" i="24"/>
  <c r="J152" i="24"/>
  <c r="K152" i="24"/>
  <c r="L152" i="24"/>
  <c r="M152" i="24"/>
  <c r="A153" i="24"/>
  <c r="B153" i="24"/>
  <c r="C153" i="24"/>
  <c r="D153" i="24"/>
  <c r="E153" i="24"/>
  <c r="F153" i="24"/>
  <c r="G153" i="24"/>
  <c r="H153" i="24"/>
  <c r="I153" i="24"/>
  <c r="J153" i="24"/>
  <c r="K153" i="24"/>
  <c r="L153" i="24"/>
  <c r="M153" i="24"/>
  <c r="A154" i="24"/>
  <c r="B154" i="24"/>
  <c r="C154" i="24"/>
  <c r="D154" i="24"/>
  <c r="E154" i="24"/>
  <c r="F154" i="24"/>
  <c r="G154" i="24"/>
  <c r="H154" i="24"/>
  <c r="I154" i="24"/>
  <c r="J154" i="24"/>
  <c r="K154" i="24"/>
  <c r="L154" i="24"/>
  <c r="M154" i="24"/>
  <c r="A155" i="24"/>
  <c r="B155" i="24"/>
  <c r="C155" i="24"/>
  <c r="D155" i="24"/>
  <c r="E155" i="24"/>
  <c r="F155" i="24"/>
  <c r="G155" i="24"/>
  <c r="H155" i="24"/>
  <c r="I155" i="24"/>
  <c r="J155" i="24"/>
  <c r="K155" i="24"/>
  <c r="L155" i="24"/>
  <c r="M155" i="24"/>
  <c r="A156" i="24"/>
  <c r="B156" i="24"/>
  <c r="C156" i="24"/>
  <c r="D156" i="24"/>
  <c r="E156" i="24"/>
  <c r="F156" i="24"/>
  <c r="G156" i="24"/>
  <c r="H156" i="24"/>
  <c r="I156" i="24"/>
  <c r="J156" i="24"/>
  <c r="K156" i="24"/>
  <c r="L156" i="24"/>
  <c r="M156" i="24"/>
  <c r="A157" i="24"/>
  <c r="B157" i="24"/>
  <c r="C157" i="24"/>
  <c r="D157" i="24"/>
  <c r="E157" i="24"/>
  <c r="F157" i="24"/>
  <c r="G157" i="24"/>
  <c r="H157" i="24"/>
  <c r="I157" i="24"/>
  <c r="J157" i="24"/>
  <c r="K157" i="24"/>
  <c r="L157" i="24"/>
  <c r="M157" i="24"/>
  <c r="A158" i="24"/>
  <c r="B158" i="24"/>
  <c r="C158" i="24"/>
  <c r="D158" i="24"/>
  <c r="E158" i="24"/>
  <c r="F158" i="24"/>
  <c r="G158" i="24"/>
  <c r="H158" i="24"/>
  <c r="I158" i="24"/>
  <c r="J158" i="24"/>
  <c r="K158" i="24"/>
  <c r="L158" i="24"/>
  <c r="M158" i="24"/>
  <c r="A159" i="24"/>
  <c r="B159" i="24"/>
  <c r="C159" i="24"/>
  <c r="D159" i="24"/>
  <c r="E159" i="24"/>
  <c r="F159" i="24"/>
  <c r="G159" i="24"/>
  <c r="H159" i="24"/>
  <c r="I159" i="24"/>
  <c r="J159" i="24"/>
  <c r="K159" i="24"/>
  <c r="L159" i="24"/>
  <c r="M159" i="24"/>
  <c r="A160" i="24"/>
  <c r="B160" i="24"/>
  <c r="C160" i="24"/>
  <c r="D160" i="24"/>
  <c r="E160" i="24"/>
  <c r="F160" i="24"/>
  <c r="G160" i="24"/>
  <c r="H160" i="24"/>
  <c r="I160" i="24"/>
  <c r="J160" i="24"/>
  <c r="K160" i="24"/>
  <c r="L160" i="24"/>
  <c r="M160" i="24"/>
  <c r="A161" i="24"/>
  <c r="B161" i="24"/>
  <c r="C161" i="24"/>
  <c r="D161" i="24"/>
  <c r="E161" i="24"/>
  <c r="F161" i="24"/>
  <c r="G161" i="24"/>
  <c r="H161" i="24"/>
  <c r="I161" i="24"/>
  <c r="J161" i="24"/>
  <c r="K161" i="24"/>
  <c r="L161" i="24"/>
  <c r="M161" i="24"/>
  <c r="A162" i="24"/>
  <c r="B162" i="24"/>
  <c r="C162" i="24"/>
  <c r="D162" i="24"/>
  <c r="E162" i="24"/>
  <c r="F162" i="24"/>
  <c r="G162" i="24"/>
  <c r="H162" i="24"/>
  <c r="I162" i="24"/>
  <c r="J162" i="24"/>
  <c r="K162" i="24"/>
  <c r="L162" i="24"/>
  <c r="M162" i="24"/>
  <c r="A163" i="24"/>
  <c r="B163" i="24"/>
  <c r="C163" i="24"/>
  <c r="D163" i="24"/>
  <c r="E163" i="24"/>
  <c r="F163" i="24"/>
  <c r="G163" i="24"/>
  <c r="H163" i="24"/>
  <c r="I163" i="24"/>
  <c r="J163" i="24"/>
  <c r="K163" i="24"/>
  <c r="L163" i="24"/>
  <c r="M163" i="24"/>
  <c r="A164" i="24"/>
  <c r="B164" i="24"/>
  <c r="C164" i="24"/>
  <c r="D164" i="24"/>
  <c r="E164" i="24"/>
  <c r="F164" i="24"/>
  <c r="G164" i="24"/>
  <c r="H164" i="24"/>
  <c r="I164" i="24"/>
  <c r="J164" i="24"/>
  <c r="K164" i="24"/>
  <c r="L164" i="24"/>
  <c r="M164" i="24"/>
  <c r="A165" i="24"/>
  <c r="B165" i="24"/>
  <c r="C165" i="24"/>
  <c r="D165" i="24"/>
  <c r="E165" i="24"/>
  <c r="F165" i="24"/>
  <c r="G165" i="24"/>
  <c r="H165" i="24"/>
  <c r="I165" i="24"/>
  <c r="J165" i="24"/>
  <c r="K165" i="24"/>
  <c r="L165" i="24"/>
  <c r="M165" i="24"/>
  <c r="A166" i="24"/>
  <c r="B166" i="24"/>
  <c r="C166" i="24"/>
  <c r="D166" i="24"/>
  <c r="E166" i="24"/>
  <c r="F166" i="24"/>
  <c r="G166" i="24"/>
  <c r="H166" i="24"/>
  <c r="I166" i="24"/>
  <c r="J166" i="24"/>
  <c r="K166" i="24"/>
  <c r="L166" i="24"/>
  <c r="M166" i="24"/>
  <c r="A167" i="24"/>
  <c r="B167" i="24"/>
  <c r="C167" i="24"/>
  <c r="D167" i="24"/>
  <c r="E167" i="24"/>
  <c r="F167" i="24"/>
  <c r="G167" i="24"/>
  <c r="H167" i="24"/>
  <c r="I167" i="24"/>
  <c r="J167" i="24"/>
  <c r="K167" i="24"/>
  <c r="L167" i="24"/>
  <c r="M167" i="24"/>
  <c r="A168" i="24"/>
  <c r="B168" i="24"/>
  <c r="C168" i="24"/>
  <c r="D168" i="24"/>
  <c r="E168" i="24"/>
  <c r="F168" i="24"/>
  <c r="G168" i="24"/>
  <c r="H168" i="24"/>
  <c r="I168" i="24"/>
  <c r="J168" i="24"/>
  <c r="K168" i="24"/>
  <c r="L168" i="24"/>
  <c r="M168" i="24"/>
  <c r="A169" i="24"/>
  <c r="B169" i="24"/>
  <c r="C169" i="24"/>
  <c r="D169" i="24"/>
  <c r="E169" i="24"/>
  <c r="F169" i="24"/>
  <c r="G169" i="24"/>
  <c r="H169" i="24"/>
  <c r="I169" i="24"/>
  <c r="J169" i="24"/>
  <c r="K169" i="24"/>
  <c r="L169" i="24"/>
  <c r="M169" i="24"/>
  <c r="A170" i="24"/>
  <c r="B170" i="24"/>
  <c r="C170" i="24"/>
  <c r="D170" i="24"/>
  <c r="E170" i="24"/>
  <c r="F170" i="24"/>
  <c r="G170" i="24"/>
  <c r="H170" i="24"/>
  <c r="I170" i="24"/>
  <c r="J170" i="24"/>
  <c r="K170" i="24"/>
  <c r="L170" i="24"/>
  <c r="M170" i="24"/>
  <c r="A171" i="24"/>
  <c r="B171" i="24"/>
  <c r="C171" i="24"/>
  <c r="D171" i="24"/>
  <c r="E171" i="24"/>
  <c r="F171" i="24"/>
  <c r="G171" i="24"/>
  <c r="H171" i="24"/>
  <c r="I171" i="24"/>
  <c r="J171" i="24"/>
  <c r="K171" i="24"/>
  <c r="L171" i="24"/>
  <c r="M171" i="24"/>
  <c r="A172" i="24"/>
  <c r="B172" i="24"/>
  <c r="C172" i="24"/>
  <c r="D172" i="24"/>
  <c r="E172" i="24"/>
  <c r="F172" i="24"/>
  <c r="G172" i="24"/>
  <c r="H172" i="24"/>
  <c r="I172" i="24"/>
  <c r="J172" i="24"/>
  <c r="K172" i="24"/>
  <c r="L172" i="24"/>
  <c r="M172" i="24"/>
  <c r="A173" i="24"/>
  <c r="B173" i="24"/>
  <c r="C173" i="24"/>
  <c r="D173" i="24"/>
  <c r="E173" i="24"/>
  <c r="F173" i="24"/>
  <c r="G173" i="24"/>
  <c r="H173" i="24"/>
  <c r="I173" i="24"/>
  <c r="J173" i="24"/>
  <c r="K173" i="24"/>
  <c r="L173" i="24"/>
  <c r="M173" i="24"/>
  <c r="A174" i="24"/>
  <c r="B174" i="24"/>
  <c r="C174" i="24"/>
  <c r="D174" i="24"/>
  <c r="E174" i="24"/>
  <c r="F174" i="24"/>
  <c r="G174" i="24"/>
  <c r="H174" i="24"/>
  <c r="I174" i="24"/>
  <c r="J174" i="24"/>
  <c r="K174" i="24"/>
  <c r="L174" i="24"/>
  <c r="M174" i="24"/>
  <c r="A175" i="24"/>
  <c r="B175" i="24"/>
  <c r="C175" i="24"/>
  <c r="D175" i="24"/>
  <c r="E175" i="24"/>
  <c r="F175" i="24"/>
  <c r="G175" i="24"/>
  <c r="H175" i="24"/>
  <c r="I175" i="24"/>
  <c r="J175" i="24"/>
  <c r="K175" i="24"/>
  <c r="L175" i="24"/>
  <c r="M175" i="24"/>
  <c r="A176" i="24"/>
  <c r="B176" i="24"/>
  <c r="C176" i="24"/>
  <c r="D176" i="24"/>
  <c r="E176" i="24"/>
  <c r="F176" i="24"/>
  <c r="G176" i="24"/>
  <c r="H176" i="24"/>
  <c r="I176" i="24"/>
  <c r="J176" i="24"/>
  <c r="K176" i="24"/>
  <c r="L176" i="24"/>
  <c r="M176" i="24"/>
  <c r="A177" i="24"/>
  <c r="B177" i="24"/>
  <c r="C177" i="24"/>
  <c r="D177" i="24"/>
  <c r="E177" i="24"/>
  <c r="F177" i="24"/>
  <c r="G177" i="24"/>
  <c r="H177" i="24"/>
  <c r="I177" i="24"/>
  <c r="J177" i="24"/>
  <c r="K177" i="24"/>
  <c r="L177" i="24"/>
  <c r="M177" i="24"/>
  <c r="A178" i="24"/>
  <c r="B178" i="24"/>
  <c r="C178" i="24"/>
  <c r="D178" i="24"/>
  <c r="E178" i="24"/>
  <c r="F178" i="24"/>
  <c r="G178" i="24"/>
  <c r="H178" i="24"/>
  <c r="I178" i="24"/>
  <c r="J178" i="24"/>
  <c r="K178" i="24"/>
  <c r="L178" i="24"/>
  <c r="M178" i="24"/>
  <c r="A179" i="24"/>
  <c r="B179" i="24"/>
  <c r="C179" i="24"/>
  <c r="D179" i="24"/>
  <c r="E179" i="24"/>
  <c r="F179" i="24"/>
  <c r="G179" i="24"/>
  <c r="H179" i="24"/>
  <c r="I179" i="24"/>
  <c r="J179" i="24"/>
  <c r="K179" i="24"/>
  <c r="L179" i="24"/>
  <c r="M179" i="24"/>
  <c r="A180" i="24"/>
  <c r="B180" i="24"/>
  <c r="C180" i="24"/>
  <c r="D180" i="24"/>
  <c r="E180" i="24"/>
  <c r="F180" i="24"/>
  <c r="G180" i="24"/>
  <c r="H180" i="24"/>
  <c r="I180" i="24"/>
  <c r="J180" i="24"/>
  <c r="K180" i="24"/>
  <c r="L180" i="24"/>
  <c r="M180" i="24"/>
  <c r="A181" i="24"/>
  <c r="B181" i="24"/>
  <c r="C181" i="24"/>
  <c r="D181" i="24"/>
  <c r="E181" i="24"/>
  <c r="F181" i="24"/>
  <c r="G181" i="24"/>
  <c r="H181" i="24"/>
  <c r="I181" i="24"/>
  <c r="J181" i="24"/>
  <c r="K181" i="24"/>
  <c r="L181" i="24"/>
  <c r="M181" i="24"/>
  <c r="A182" i="24"/>
  <c r="B182" i="24"/>
  <c r="C182" i="24"/>
  <c r="D182" i="24"/>
  <c r="E182" i="24"/>
  <c r="F182" i="24"/>
  <c r="G182" i="24"/>
  <c r="H182" i="24"/>
  <c r="I182" i="24"/>
  <c r="J182" i="24"/>
  <c r="K182" i="24"/>
  <c r="L182" i="24"/>
  <c r="M182" i="24"/>
  <c r="A183" i="24"/>
  <c r="B183" i="24"/>
  <c r="C183" i="24"/>
  <c r="D183" i="24"/>
  <c r="E183" i="24"/>
  <c r="F183" i="24"/>
  <c r="G183" i="24"/>
  <c r="H183" i="24"/>
  <c r="I183" i="24"/>
  <c r="J183" i="24"/>
  <c r="K183" i="24"/>
  <c r="L183" i="24"/>
  <c r="M183" i="24"/>
  <c r="A184" i="24"/>
  <c r="B184" i="24"/>
  <c r="C184" i="24"/>
  <c r="D184" i="24"/>
  <c r="E184" i="24"/>
  <c r="F184" i="24"/>
  <c r="G184" i="24"/>
  <c r="H184" i="24"/>
  <c r="I184" i="24"/>
  <c r="J184" i="24"/>
  <c r="K184" i="24"/>
  <c r="L184" i="24"/>
  <c r="M184" i="24"/>
  <c r="A185" i="24"/>
  <c r="B185" i="24"/>
  <c r="C185" i="24"/>
  <c r="D185" i="24"/>
  <c r="E185" i="24"/>
  <c r="F185" i="24"/>
  <c r="G185" i="24"/>
  <c r="H185" i="24"/>
  <c r="I185" i="24"/>
  <c r="J185" i="24"/>
  <c r="K185" i="24"/>
  <c r="L185" i="24"/>
  <c r="M185" i="24"/>
  <c r="A186" i="24"/>
  <c r="B186" i="24"/>
  <c r="C186" i="24"/>
  <c r="D186" i="24"/>
  <c r="E186" i="24"/>
  <c r="F186" i="24"/>
  <c r="G186" i="24"/>
  <c r="H186" i="24"/>
  <c r="I186" i="24"/>
  <c r="J186" i="24"/>
  <c r="K186" i="24"/>
  <c r="L186" i="24"/>
  <c r="M186" i="24"/>
  <c r="A187" i="24"/>
  <c r="B187" i="24"/>
  <c r="C187" i="24"/>
  <c r="D187" i="24"/>
  <c r="E187" i="24"/>
  <c r="F187" i="24"/>
  <c r="G187" i="24"/>
  <c r="H187" i="24"/>
  <c r="I187" i="24"/>
  <c r="J187" i="24"/>
  <c r="K187" i="24"/>
  <c r="L187" i="24"/>
  <c r="M187" i="24"/>
  <c r="A188" i="24"/>
  <c r="B188" i="24"/>
  <c r="C188" i="24"/>
  <c r="D188" i="24"/>
  <c r="E188" i="24"/>
  <c r="F188" i="24"/>
  <c r="G188" i="24"/>
  <c r="H188" i="24"/>
  <c r="I188" i="24"/>
  <c r="J188" i="24"/>
  <c r="K188" i="24"/>
  <c r="L188" i="24"/>
  <c r="M188" i="24"/>
  <c r="A189" i="24"/>
  <c r="B189" i="24"/>
  <c r="C189" i="24"/>
  <c r="D189" i="24"/>
  <c r="E189" i="24"/>
  <c r="F189" i="24"/>
  <c r="G189" i="24"/>
  <c r="H189" i="24"/>
  <c r="I189" i="24"/>
  <c r="J189" i="24"/>
  <c r="K189" i="24"/>
  <c r="L189" i="24"/>
  <c r="M189" i="24"/>
  <c r="A190" i="24"/>
  <c r="B190" i="24"/>
  <c r="C190" i="24"/>
  <c r="D190" i="24"/>
  <c r="E190" i="24"/>
  <c r="F190" i="24"/>
  <c r="G190" i="24"/>
  <c r="H190" i="24"/>
  <c r="I190" i="24"/>
  <c r="J190" i="24"/>
  <c r="K190" i="24"/>
  <c r="L190" i="24"/>
  <c r="M190" i="24"/>
  <c r="A191" i="24"/>
  <c r="B191" i="24"/>
  <c r="C191" i="24"/>
  <c r="D191" i="24"/>
  <c r="E191" i="24"/>
  <c r="F191" i="24"/>
  <c r="G191" i="24"/>
  <c r="H191" i="24"/>
  <c r="I191" i="24"/>
  <c r="J191" i="24"/>
  <c r="K191" i="24"/>
  <c r="L191" i="24"/>
  <c r="M191" i="24"/>
  <c r="A192" i="24"/>
  <c r="B192" i="24"/>
  <c r="C192" i="24"/>
  <c r="D192" i="24"/>
  <c r="E192" i="24"/>
  <c r="F192" i="24"/>
  <c r="G192" i="24"/>
  <c r="H192" i="24"/>
  <c r="I192" i="24"/>
  <c r="J192" i="24"/>
  <c r="K192" i="24"/>
  <c r="L192" i="24"/>
  <c r="M192" i="24"/>
  <c r="A193" i="24"/>
  <c r="B193" i="24"/>
  <c r="C193" i="24"/>
  <c r="D193" i="24"/>
  <c r="E193" i="24"/>
  <c r="F193" i="24"/>
  <c r="G193" i="24"/>
  <c r="H193" i="24"/>
  <c r="I193" i="24"/>
  <c r="J193" i="24"/>
  <c r="K193" i="24"/>
  <c r="L193" i="24"/>
  <c r="M193" i="24"/>
  <c r="A194" i="24"/>
  <c r="B194" i="24"/>
  <c r="C194" i="24"/>
  <c r="D194" i="24"/>
  <c r="E194" i="24"/>
  <c r="F194" i="24"/>
  <c r="G194" i="24"/>
  <c r="H194" i="24"/>
  <c r="I194" i="24"/>
  <c r="J194" i="24"/>
  <c r="K194" i="24"/>
  <c r="L194" i="24"/>
  <c r="M194" i="24"/>
  <c r="A195" i="24"/>
  <c r="B195" i="24"/>
  <c r="C195" i="24"/>
  <c r="D195" i="24"/>
  <c r="E195" i="24"/>
  <c r="F195" i="24"/>
  <c r="G195" i="24"/>
  <c r="H195" i="24"/>
  <c r="I195" i="24"/>
  <c r="J195" i="24"/>
  <c r="K195" i="24"/>
  <c r="L195" i="24"/>
  <c r="M195" i="24"/>
  <c r="A196" i="24"/>
  <c r="B196" i="24"/>
  <c r="C196" i="24"/>
  <c r="D196" i="24"/>
  <c r="E196" i="24"/>
  <c r="F196" i="24"/>
  <c r="G196" i="24"/>
  <c r="H196" i="24"/>
  <c r="I196" i="24"/>
  <c r="J196" i="24"/>
  <c r="K196" i="24"/>
  <c r="L196" i="24"/>
  <c r="M196" i="24"/>
  <c r="A197" i="24"/>
  <c r="B197" i="24"/>
  <c r="C197" i="24"/>
  <c r="D197" i="24"/>
  <c r="E197" i="24"/>
  <c r="F197" i="24"/>
  <c r="G197" i="24"/>
  <c r="H197" i="24"/>
  <c r="I197" i="24"/>
  <c r="J197" i="24"/>
  <c r="K197" i="24"/>
  <c r="L197" i="24"/>
  <c r="M197" i="24"/>
  <c r="A198" i="24"/>
  <c r="B198" i="24"/>
  <c r="C198" i="24"/>
  <c r="D198" i="24"/>
  <c r="E198" i="24"/>
  <c r="F198" i="24"/>
  <c r="G198" i="24"/>
  <c r="H198" i="24"/>
  <c r="I198" i="24"/>
  <c r="J198" i="24"/>
  <c r="K198" i="24"/>
  <c r="L198" i="24"/>
  <c r="M198" i="24"/>
  <c r="A199" i="24"/>
  <c r="B199" i="24"/>
  <c r="C199" i="24"/>
  <c r="D199" i="24"/>
  <c r="E199" i="24"/>
  <c r="F199" i="24"/>
  <c r="G199" i="24"/>
  <c r="H199" i="24"/>
  <c r="I199" i="24"/>
  <c r="J199" i="24"/>
  <c r="K199" i="24"/>
  <c r="L199" i="24"/>
  <c r="M199" i="24"/>
  <c r="A200" i="24"/>
  <c r="B200" i="24"/>
  <c r="C200" i="24"/>
  <c r="D200" i="24"/>
  <c r="E200" i="24"/>
  <c r="F200" i="24"/>
  <c r="G200" i="24"/>
  <c r="H200" i="24"/>
  <c r="I200" i="24"/>
  <c r="J200" i="24"/>
  <c r="K200" i="24"/>
  <c r="L200" i="24"/>
  <c r="M200" i="24"/>
  <c r="A201" i="24"/>
  <c r="B201" i="24"/>
  <c r="C201" i="24"/>
  <c r="D201" i="24"/>
  <c r="E201" i="24"/>
  <c r="F201" i="24"/>
  <c r="G201" i="24"/>
  <c r="H201" i="24"/>
  <c r="I201" i="24"/>
  <c r="J201" i="24"/>
  <c r="K201" i="24"/>
  <c r="L201" i="24"/>
  <c r="M201" i="24"/>
  <c r="A202" i="24"/>
  <c r="B202" i="24"/>
  <c r="C202" i="24"/>
  <c r="D202" i="24"/>
  <c r="E202" i="24"/>
  <c r="F202" i="24"/>
  <c r="G202" i="24"/>
  <c r="H202" i="24"/>
  <c r="I202" i="24"/>
  <c r="J202" i="24"/>
  <c r="K202" i="24"/>
  <c r="L202" i="24"/>
  <c r="M202" i="24"/>
  <c r="A203" i="24"/>
  <c r="B203" i="24"/>
  <c r="C203" i="24"/>
  <c r="D203" i="24"/>
  <c r="E203" i="24"/>
  <c r="F203" i="24"/>
  <c r="G203" i="24"/>
  <c r="H203" i="24"/>
  <c r="I203" i="24"/>
  <c r="J203" i="24"/>
  <c r="K203" i="24"/>
  <c r="L203" i="24"/>
  <c r="M203" i="24"/>
  <c r="A204" i="24"/>
  <c r="B204" i="24"/>
  <c r="C204" i="24"/>
  <c r="D204" i="24"/>
  <c r="E204" i="24"/>
  <c r="F204" i="24"/>
  <c r="G204" i="24"/>
  <c r="H204" i="24"/>
  <c r="I204" i="24"/>
  <c r="J204" i="24"/>
  <c r="K204" i="24"/>
  <c r="L204" i="24"/>
  <c r="M204" i="24"/>
  <c r="A205" i="24"/>
  <c r="B205" i="24"/>
  <c r="C205" i="24"/>
  <c r="D205" i="24"/>
  <c r="E205" i="24"/>
  <c r="F205" i="24"/>
  <c r="G205" i="24"/>
  <c r="H205" i="24"/>
  <c r="I205" i="24"/>
  <c r="J205" i="24"/>
  <c r="K205" i="24"/>
  <c r="L205" i="24"/>
  <c r="M205" i="24"/>
  <c r="A206" i="24"/>
  <c r="B206" i="24"/>
  <c r="C206" i="24"/>
  <c r="D206" i="24"/>
  <c r="E206" i="24"/>
  <c r="F206" i="24"/>
  <c r="G206" i="24"/>
  <c r="H206" i="24"/>
  <c r="I206" i="24"/>
  <c r="J206" i="24"/>
  <c r="K206" i="24"/>
  <c r="L206" i="24"/>
  <c r="M206" i="24"/>
  <c r="A207" i="24"/>
  <c r="B207" i="24"/>
  <c r="C207" i="24"/>
  <c r="D207" i="24"/>
  <c r="E207" i="24"/>
  <c r="F207" i="24"/>
  <c r="G207" i="24"/>
  <c r="H207" i="24"/>
  <c r="I207" i="24"/>
  <c r="J207" i="24"/>
  <c r="K207" i="24"/>
  <c r="L207" i="24"/>
  <c r="M207" i="24"/>
  <c r="A208" i="24"/>
  <c r="B208" i="24"/>
  <c r="C208" i="24"/>
  <c r="D208" i="24"/>
  <c r="E208" i="24"/>
  <c r="F208" i="24"/>
  <c r="G208" i="24"/>
  <c r="H208" i="24"/>
  <c r="I208" i="24"/>
  <c r="J208" i="24"/>
  <c r="K208" i="24"/>
  <c r="L208" i="24"/>
  <c r="M208" i="24"/>
  <c r="J2" i="24"/>
  <c r="K2" i="24"/>
  <c r="L2" i="24"/>
  <c r="M2" i="24"/>
  <c r="H2" i="24"/>
  <c r="B2" i="24"/>
  <c r="C2" i="24"/>
  <c r="D2" i="24"/>
  <c r="E2" i="24"/>
  <c r="F2" i="24"/>
  <c r="G2" i="24"/>
  <c r="I2" i="24"/>
  <c r="A2" i="24"/>
  <c r="S369" i="13"/>
  <c r="T369" i="13" s="1"/>
  <c r="AA127" i="13"/>
  <c r="AA128" i="13"/>
  <c r="AA129" i="13"/>
  <c r="AA131" i="13"/>
  <c r="AA132" i="13"/>
  <c r="AA133" i="13"/>
  <c r="AA134" i="13"/>
  <c r="AA135" i="13"/>
  <c r="AA136" i="13"/>
  <c r="AA137" i="13"/>
  <c r="AA138" i="13"/>
  <c r="AA139" i="13"/>
  <c r="AA140" i="13"/>
  <c r="AA143" i="13"/>
  <c r="AA144" i="13"/>
  <c r="AA145" i="13"/>
  <c r="T478" i="13"/>
  <c r="AF343" i="13"/>
  <c r="AF344" i="13"/>
  <c r="AF345" i="13"/>
  <c r="AF346" i="13"/>
  <c r="AF347" i="13"/>
  <c r="AF348" i="13"/>
  <c r="AF349" i="13"/>
  <c r="AF350" i="13"/>
  <c r="AF351" i="13"/>
  <c r="AF352" i="13"/>
  <c r="AF353" i="13"/>
  <c r="AF354" i="13"/>
  <c r="AF355" i="13"/>
  <c r="AF356" i="13"/>
  <c r="AF357" i="13"/>
  <c r="AF358" i="13"/>
  <c r="A36" i="13"/>
  <c r="A31" i="15" s="1"/>
  <c r="S322" i="13"/>
  <c r="T322" i="13" s="1"/>
  <c r="S461" i="13"/>
  <c r="T461" i="13" s="1"/>
  <c r="S407" i="13"/>
  <c r="T407" i="13" s="1"/>
  <c r="T464" i="13"/>
  <c r="S80" i="13"/>
  <c r="T80" i="13" s="1"/>
  <c r="S57" i="13"/>
  <c r="T57" i="13" s="1"/>
  <c r="S75" i="13"/>
  <c r="T75" i="13" s="1"/>
  <c r="S429" i="13"/>
  <c r="T429" i="13" s="1"/>
  <c r="R423" i="13"/>
  <c r="G410" i="15" s="1"/>
  <c r="S444" i="13"/>
  <c r="T444" i="13" s="1"/>
  <c r="S377" i="13"/>
  <c r="T377" i="13" s="1"/>
  <c r="AA437" i="13"/>
  <c r="AA438" i="13"/>
  <c r="AA439" i="13"/>
  <c r="AA440" i="13"/>
  <c r="AA441" i="13"/>
  <c r="AA73" i="13"/>
  <c r="AA75" i="13"/>
  <c r="AA77" i="13"/>
  <c r="AA78" i="13"/>
  <c r="AA79" i="13"/>
  <c r="AA80" i="13"/>
  <c r="T187" i="13"/>
  <c r="T189" i="13"/>
  <c r="T191" i="13"/>
  <c r="T197" i="13"/>
  <c r="T198" i="13"/>
  <c r="S188" i="13"/>
  <c r="T188" i="13" s="1"/>
  <c r="S9" i="13"/>
  <c r="T9" i="13" s="1"/>
  <c r="S428" i="13"/>
  <c r="T428" i="13" s="1"/>
  <c r="S420" i="13"/>
  <c r="T420" i="13" s="1"/>
  <c r="T419" i="13"/>
  <c r="AA426" i="13"/>
  <c r="AA417" i="13"/>
  <c r="B4" i="15"/>
  <c r="C4" i="15"/>
  <c r="D4" i="15"/>
  <c r="E4" i="15"/>
  <c r="F4" i="15"/>
  <c r="G4" i="15"/>
  <c r="H4" i="15"/>
  <c r="B5" i="15"/>
  <c r="C5" i="15"/>
  <c r="D5" i="15"/>
  <c r="E5" i="15"/>
  <c r="F5" i="15"/>
  <c r="G5" i="15"/>
  <c r="H5" i="15"/>
  <c r="B6" i="15"/>
  <c r="C6" i="15"/>
  <c r="D6" i="15"/>
  <c r="E6" i="15"/>
  <c r="F6" i="15"/>
  <c r="G6" i="15"/>
  <c r="H6" i="15"/>
  <c r="B7" i="15"/>
  <c r="C7" i="15"/>
  <c r="D7" i="15"/>
  <c r="E7" i="15"/>
  <c r="F7" i="15"/>
  <c r="G7" i="15"/>
  <c r="H7" i="15"/>
  <c r="B8" i="15"/>
  <c r="C8" i="15"/>
  <c r="D8" i="15"/>
  <c r="E8" i="15"/>
  <c r="F8" i="15"/>
  <c r="G8" i="15"/>
  <c r="H8" i="15"/>
  <c r="B9" i="15"/>
  <c r="C9" i="15"/>
  <c r="D9" i="15"/>
  <c r="E9" i="15"/>
  <c r="F9" i="15"/>
  <c r="G9" i="15"/>
  <c r="H9" i="15"/>
  <c r="B10" i="15"/>
  <c r="C10" i="15"/>
  <c r="D10" i="15"/>
  <c r="E10" i="15"/>
  <c r="F10" i="15"/>
  <c r="G10" i="15"/>
  <c r="H10" i="15"/>
  <c r="B11" i="15"/>
  <c r="C11" i="15"/>
  <c r="D11" i="15"/>
  <c r="E11" i="15"/>
  <c r="F11" i="15"/>
  <c r="G11" i="15"/>
  <c r="H11" i="15"/>
  <c r="B12" i="15"/>
  <c r="C12" i="15"/>
  <c r="D12" i="15"/>
  <c r="E12" i="15"/>
  <c r="F12" i="15"/>
  <c r="G12" i="15"/>
  <c r="H12" i="15"/>
  <c r="B13" i="15"/>
  <c r="C13" i="15"/>
  <c r="D13" i="15"/>
  <c r="E13" i="15"/>
  <c r="F13" i="15"/>
  <c r="G13" i="15"/>
  <c r="H13" i="15"/>
  <c r="B14" i="15"/>
  <c r="C14" i="15"/>
  <c r="D14" i="15"/>
  <c r="E14" i="15"/>
  <c r="F14" i="15"/>
  <c r="G14" i="15"/>
  <c r="H14" i="15"/>
  <c r="B15" i="15"/>
  <c r="C15" i="15"/>
  <c r="D15" i="15"/>
  <c r="E15" i="15"/>
  <c r="F15" i="15"/>
  <c r="G15" i="15"/>
  <c r="H15" i="15"/>
  <c r="B16" i="15"/>
  <c r="C16" i="15"/>
  <c r="D16" i="15"/>
  <c r="E16" i="15"/>
  <c r="F16" i="15"/>
  <c r="G16" i="15"/>
  <c r="H16" i="15"/>
  <c r="B17" i="15"/>
  <c r="C17" i="15"/>
  <c r="D17" i="15"/>
  <c r="E17" i="15"/>
  <c r="F17" i="15"/>
  <c r="G17" i="15"/>
  <c r="H17" i="15"/>
  <c r="B18" i="15"/>
  <c r="C18" i="15"/>
  <c r="D18" i="15"/>
  <c r="E18" i="15"/>
  <c r="F18" i="15"/>
  <c r="G18" i="15"/>
  <c r="H18" i="15"/>
  <c r="B19" i="15"/>
  <c r="C19" i="15"/>
  <c r="D19" i="15"/>
  <c r="E19" i="15"/>
  <c r="F19" i="15"/>
  <c r="G19" i="15"/>
  <c r="H19" i="15"/>
  <c r="B20" i="15"/>
  <c r="C20" i="15"/>
  <c r="D20" i="15"/>
  <c r="E20" i="15"/>
  <c r="F20" i="15"/>
  <c r="G20" i="15"/>
  <c r="H20" i="15"/>
  <c r="B21" i="15"/>
  <c r="C21" i="15"/>
  <c r="D21" i="15"/>
  <c r="E21" i="15"/>
  <c r="F21" i="15"/>
  <c r="G21" i="15"/>
  <c r="H21" i="15"/>
  <c r="B22" i="15"/>
  <c r="C22" i="15"/>
  <c r="D22" i="15"/>
  <c r="E22" i="15"/>
  <c r="F22" i="15"/>
  <c r="G22" i="15"/>
  <c r="H22" i="15"/>
  <c r="B23" i="15"/>
  <c r="C23" i="15"/>
  <c r="D23" i="15"/>
  <c r="E23" i="15"/>
  <c r="F23" i="15"/>
  <c r="G23" i="15"/>
  <c r="H23" i="15"/>
  <c r="B24" i="15"/>
  <c r="C24" i="15"/>
  <c r="D24" i="15"/>
  <c r="E24" i="15"/>
  <c r="F24" i="15"/>
  <c r="G24" i="15"/>
  <c r="H24" i="15"/>
  <c r="B25" i="15"/>
  <c r="C25" i="15"/>
  <c r="D25" i="15"/>
  <c r="E25" i="15"/>
  <c r="F25" i="15"/>
  <c r="G25" i="15"/>
  <c r="H25" i="15"/>
  <c r="B26" i="15"/>
  <c r="C26" i="15"/>
  <c r="D26" i="15"/>
  <c r="E26" i="15"/>
  <c r="F26" i="15"/>
  <c r="G26" i="15"/>
  <c r="H26" i="15"/>
  <c r="B27" i="15"/>
  <c r="C27" i="15"/>
  <c r="D27" i="15"/>
  <c r="E27" i="15"/>
  <c r="F27" i="15"/>
  <c r="G27" i="15"/>
  <c r="H27" i="15"/>
  <c r="B28" i="15"/>
  <c r="C28" i="15"/>
  <c r="D28" i="15"/>
  <c r="E28" i="15"/>
  <c r="F28" i="15"/>
  <c r="G28" i="15"/>
  <c r="H28" i="15"/>
  <c r="B29" i="15"/>
  <c r="C29" i="15"/>
  <c r="D29" i="15"/>
  <c r="E29" i="15"/>
  <c r="F29" i="15"/>
  <c r="G29" i="15"/>
  <c r="H29" i="15"/>
  <c r="B30" i="15"/>
  <c r="C30" i="15"/>
  <c r="D30" i="15"/>
  <c r="E30" i="15"/>
  <c r="F30" i="15"/>
  <c r="G30" i="15"/>
  <c r="H30" i="15"/>
  <c r="B31" i="15"/>
  <c r="C31" i="15"/>
  <c r="D31" i="15"/>
  <c r="E31" i="15"/>
  <c r="F31" i="15"/>
  <c r="G31" i="15"/>
  <c r="H31" i="15"/>
  <c r="A32" i="15"/>
  <c r="B32" i="15"/>
  <c r="C32" i="15"/>
  <c r="D32" i="15"/>
  <c r="E32" i="15"/>
  <c r="F32" i="15"/>
  <c r="G32" i="15"/>
  <c r="H32" i="15"/>
  <c r="B33" i="15"/>
  <c r="C33" i="15"/>
  <c r="D33" i="15"/>
  <c r="E33" i="15"/>
  <c r="F33" i="15"/>
  <c r="G33" i="15"/>
  <c r="H33" i="15"/>
  <c r="B34" i="15"/>
  <c r="C34" i="15"/>
  <c r="D34" i="15"/>
  <c r="E34" i="15"/>
  <c r="F34" i="15"/>
  <c r="G34" i="15"/>
  <c r="H34" i="15"/>
  <c r="B35" i="15"/>
  <c r="C35" i="15"/>
  <c r="D35" i="15"/>
  <c r="E35" i="15"/>
  <c r="F35" i="15"/>
  <c r="G35" i="15"/>
  <c r="H35" i="15"/>
  <c r="B36" i="15"/>
  <c r="C36" i="15"/>
  <c r="D36" i="15"/>
  <c r="E36" i="15"/>
  <c r="F36" i="15"/>
  <c r="G36" i="15"/>
  <c r="H36" i="15"/>
  <c r="B37" i="15"/>
  <c r="C37" i="15"/>
  <c r="D37" i="15"/>
  <c r="E37" i="15"/>
  <c r="F37" i="15"/>
  <c r="G37" i="15"/>
  <c r="H37" i="15"/>
  <c r="B38" i="15"/>
  <c r="C38" i="15"/>
  <c r="D38" i="15"/>
  <c r="E38" i="15"/>
  <c r="F38" i="15"/>
  <c r="G38" i="15"/>
  <c r="H38" i="15"/>
  <c r="B39" i="15"/>
  <c r="C39" i="15"/>
  <c r="D39" i="15"/>
  <c r="E39" i="15"/>
  <c r="F39" i="15"/>
  <c r="G39" i="15"/>
  <c r="H39" i="15"/>
  <c r="B40" i="15"/>
  <c r="C40" i="15"/>
  <c r="D40" i="15"/>
  <c r="E40" i="15"/>
  <c r="F40" i="15"/>
  <c r="G40" i="15"/>
  <c r="H40" i="15"/>
  <c r="B41" i="15"/>
  <c r="C41" i="15"/>
  <c r="D41" i="15"/>
  <c r="E41" i="15"/>
  <c r="F41" i="15"/>
  <c r="G41" i="15"/>
  <c r="H41" i="15"/>
  <c r="B42" i="15"/>
  <c r="C42" i="15"/>
  <c r="D42" i="15"/>
  <c r="E42" i="15"/>
  <c r="F42" i="15"/>
  <c r="G42" i="15"/>
  <c r="H42" i="15"/>
  <c r="B43" i="15"/>
  <c r="C43" i="15"/>
  <c r="D43" i="15"/>
  <c r="E43" i="15"/>
  <c r="F43" i="15"/>
  <c r="G43" i="15"/>
  <c r="H43" i="15"/>
  <c r="B44" i="15"/>
  <c r="C44" i="15"/>
  <c r="D44" i="15"/>
  <c r="E44" i="15"/>
  <c r="F44" i="15"/>
  <c r="G44" i="15"/>
  <c r="H44" i="15"/>
  <c r="B45" i="15"/>
  <c r="C45" i="15"/>
  <c r="D45" i="15"/>
  <c r="E45" i="15"/>
  <c r="F45" i="15"/>
  <c r="G45" i="15"/>
  <c r="H45" i="15"/>
  <c r="B46" i="15"/>
  <c r="C46" i="15"/>
  <c r="D46" i="15"/>
  <c r="E46" i="15"/>
  <c r="F46" i="15"/>
  <c r="G46" i="15"/>
  <c r="H46" i="15"/>
  <c r="B47" i="15"/>
  <c r="C47" i="15"/>
  <c r="D47" i="15"/>
  <c r="E47" i="15"/>
  <c r="F47" i="15"/>
  <c r="G47" i="15"/>
  <c r="H47" i="15"/>
  <c r="B48" i="15"/>
  <c r="C48" i="15"/>
  <c r="D48" i="15"/>
  <c r="E48" i="15"/>
  <c r="F48" i="15"/>
  <c r="G48" i="15"/>
  <c r="H48" i="15"/>
  <c r="B49" i="15"/>
  <c r="C49" i="15"/>
  <c r="D49" i="15"/>
  <c r="E49" i="15"/>
  <c r="F49" i="15"/>
  <c r="G49" i="15"/>
  <c r="H49" i="15"/>
  <c r="B50" i="15"/>
  <c r="C50" i="15"/>
  <c r="D50" i="15"/>
  <c r="E50" i="15"/>
  <c r="F50" i="15"/>
  <c r="G50" i="15"/>
  <c r="H50" i="15"/>
  <c r="B51" i="15"/>
  <c r="C51" i="15"/>
  <c r="D51" i="15"/>
  <c r="E51" i="15"/>
  <c r="F51" i="15"/>
  <c r="G51" i="15"/>
  <c r="H51" i="15"/>
  <c r="B52" i="15"/>
  <c r="C52" i="15"/>
  <c r="D52" i="15"/>
  <c r="E52" i="15"/>
  <c r="F52" i="15"/>
  <c r="G52" i="15"/>
  <c r="H52" i="15"/>
  <c r="B53" i="15"/>
  <c r="C53" i="15"/>
  <c r="D53" i="15"/>
  <c r="E53" i="15"/>
  <c r="F53" i="15"/>
  <c r="G53" i="15"/>
  <c r="H53" i="15"/>
  <c r="B54" i="15"/>
  <c r="C54" i="15"/>
  <c r="D54" i="15"/>
  <c r="E54" i="15"/>
  <c r="F54" i="15"/>
  <c r="G54" i="15"/>
  <c r="H54" i="15"/>
  <c r="B55" i="15"/>
  <c r="C55" i="15"/>
  <c r="D55" i="15"/>
  <c r="E55" i="15"/>
  <c r="F55" i="15"/>
  <c r="G55" i="15"/>
  <c r="H55" i="15"/>
  <c r="B56" i="15"/>
  <c r="C56" i="15"/>
  <c r="D56" i="15"/>
  <c r="E56" i="15"/>
  <c r="F56" i="15"/>
  <c r="G56" i="15"/>
  <c r="H56" i="15"/>
  <c r="B57" i="15"/>
  <c r="C57" i="15"/>
  <c r="D57" i="15"/>
  <c r="E57" i="15"/>
  <c r="F57" i="15"/>
  <c r="G57" i="15"/>
  <c r="H57" i="15"/>
  <c r="B58" i="15"/>
  <c r="C58" i="15"/>
  <c r="D58" i="15"/>
  <c r="E58" i="15"/>
  <c r="F58" i="15"/>
  <c r="G58" i="15"/>
  <c r="H58" i="15"/>
  <c r="B59" i="15"/>
  <c r="C59" i="15"/>
  <c r="D59" i="15"/>
  <c r="E59" i="15"/>
  <c r="F59" i="15"/>
  <c r="G59" i="15"/>
  <c r="H59" i="15"/>
  <c r="B60" i="15"/>
  <c r="C60" i="15"/>
  <c r="D60" i="15"/>
  <c r="E60" i="15"/>
  <c r="F60" i="15"/>
  <c r="G60" i="15"/>
  <c r="H60" i="15"/>
  <c r="B61" i="15"/>
  <c r="C61" i="15"/>
  <c r="D61" i="15"/>
  <c r="E61" i="15"/>
  <c r="F61" i="15"/>
  <c r="G61" i="15"/>
  <c r="H61" i="15"/>
  <c r="B62" i="15"/>
  <c r="C62" i="15"/>
  <c r="D62" i="15"/>
  <c r="E62" i="15"/>
  <c r="F62" i="15"/>
  <c r="G62" i="15"/>
  <c r="H62" i="15"/>
  <c r="B63" i="15"/>
  <c r="C63" i="15"/>
  <c r="D63" i="15"/>
  <c r="E63" i="15"/>
  <c r="F63" i="15"/>
  <c r="G63" i="15"/>
  <c r="H63" i="15"/>
  <c r="B64" i="15"/>
  <c r="C64" i="15"/>
  <c r="D64" i="15"/>
  <c r="E64" i="15"/>
  <c r="F64" i="15"/>
  <c r="G64" i="15"/>
  <c r="H64" i="15"/>
  <c r="B65" i="15"/>
  <c r="C65" i="15"/>
  <c r="D65" i="15"/>
  <c r="E65" i="15"/>
  <c r="F65" i="15"/>
  <c r="G65" i="15"/>
  <c r="H65" i="15"/>
  <c r="B66" i="15"/>
  <c r="C66" i="15"/>
  <c r="D66" i="15"/>
  <c r="E66" i="15"/>
  <c r="F66" i="15"/>
  <c r="G66" i="15"/>
  <c r="H66" i="15"/>
  <c r="B67" i="15"/>
  <c r="C67" i="15"/>
  <c r="D67" i="15"/>
  <c r="E67" i="15"/>
  <c r="F67" i="15"/>
  <c r="G67" i="15"/>
  <c r="H67" i="15"/>
  <c r="B68" i="15"/>
  <c r="C68" i="15"/>
  <c r="D68" i="15"/>
  <c r="E68" i="15"/>
  <c r="F68" i="15"/>
  <c r="G68" i="15"/>
  <c r="H68" i="15"/>
  <c r="B69" i="15"/>
  <c r="C69" i="15"/>
  <c r="D69" i="15"/>
  <c r="E69" i="15"/>
  <c r="F69" i="15"/>
  <c r="G69" i="15"/>
  <c r="H69" i="15"/>
  <c r="B70" i="15"/>
  <c r="C70" i="15"/>
  <c r="D70" i="15"/>
  <c r="E70" i="15"/>
  <c r="F70" i="15"/>
  <c r="G70" i="15"/>
  <c r="H70" i="15"/>
  <c r="B71" i="15"/>
  <c r="C71" i="15"/>
  <c r="D71" i="15"/>
  <c r="E71" i="15"/>
  <c r="F71" i="15"/>
  <c r="G71" i="15"/>
  <c r="H71" i="15"/>
  <c r="B72" i="15"/>
  <c r="C72" i="15"/>
  <c r="D72" i="15"/>
  <c r="E72" i="15"/>
  <c r="F72" i="15"/>
  <c r="G72" i="15"/>
  <c r="H72" i="15"/>
  <c r="B73" i="15"/>
  <c r="C73" i="15"/>
  <c r="D73" i="15"/>
  <c r="E73" i="15"/>
  <c r="F73" i="15"/>
  <c r="G73" i="15"/>
  <c r="H73" i="15"/>
  <c r="B74" i="15"/>
  <c r="C74" i="15"/>
  <c r="D74" i="15"/>
  <c r="E74" i="15"/>
  <c r="F74" i="15"/>
  <c r="G74" i="15"/>
  <c r="H74" i="15"/>
  <c r="B75" i="15"/>
  <c r="C75" i="15"/>
  <c r="D75" i="15"/>
  <c r="E75" i="15"/>
  <c r="F75" i="15"/>
  <c r="G75" i="15"/>
  <c r="H75" i="15"/>
  <c r="B76" i="15"/>
  <c r="C76" i="15"/>
  <c r="D76" i="15"/>
  <c r="E76" i="15"/>
  <c r="F76" i="15"/>
  <c r="G76" i="15"/>
  <c r="H76" i="15"/>
  <c r="B77" i="15"/>
  <c r="C77" i="15"/>
  <c r="D77" i="15"/>
  <c r="E77" i="15"/>
  <c r="F77" i="15"/>
  <c r="G77" i="15"/>
  <c r="H77" i="15"/>
  <c r="B78" i="15"/>
  <c r="C78" i="15"/>
  <c r="D78" i="15"/>
  <c r="E78" i="15"/>
  <c r="F78" i="15"/>
  <c r="G78" i="15"/>
  <c r="H78" i="15"/>
  <c r="B79" i="15"/>
  <c r="C79" i="15"/>
  <c r="D79" i="15"/>
  <c r="E79" i="15"/>
  <c r="F79" i="15"/>
  <c r="G79" i="15"/>
  <c r="H79" i="15"/>
  <c r="B80" i="15"/>
  <c r="C80" i="15"/>
  <c r="D80" i="15"/>
  <c r="E80" i="15"/>
  <c r="F80" i="15"/>
  <c r="G80" i="15"/>
  <c r="H80" i="15"/>
  <c r="B81" i="15"/>
  <c r="C81" i="15"/>
  <c r="D81" i="15"/>
  <c r="E81" i="15"/>
  <c r="F81" i="15"/>
  <c r="G81" i="15"/>
  <c r="H81" i="15"/>
  <c r="B82" i="15"/>
  <c r="C82" i="15"/>
  <c r="D82" i="15"/>
  <c r="E82" i="15"/>
  <c r="F82" i="15"/>
  <c r="G82" i="15"/>
  <c r="H82" i="15"/>
  <c r="B83" i="15"/>
  <c r="C83" i="15"/>
  <c r="D83" i="15"/>
  <c r="E83" i="15"/>
  <c r="F83" i="15"/>
  <c r="G83" i="15"/>
  <c r="H83" i="15"/>
  <c r="B84" i="15"/>
  <c r="C84" i="15"/>
  <c r="D84" i="15"/>
  <c r="E84" i="15"/>
  <c r="F84" i="15"/>
  <c r="G84" i="15"/>
  <c r="H84" i="15"/>
  <c r="B85" i="15"/>
  <c r="C85" i="15"/>
  <c r="D85" i="15"/>
  <c r="E85" i="15"/>
  <c r="F85" i="15"/>
  <c r="G85" i="15"/>
  <c r="H85" i="15"/>
  <c r="B86" i="15"/>
  <c r="C86" i="15"/>
  <c r="D86" i="15"/>
  <c r="E86" i="15"/>
  <c r="F86" i="15"/>
  <c r="G86" i="15"/>
  <c r="H86" i="15"/>
  <c r="B87" i="15"/>
  <c r="C87" i="15"/>
  <c r="D87" i="15"/>
  <c r="E87" i="15"/>
  <c r="F87" i="15"/>
  <c r="G87" i="15"/>
  <c r="H87" i="15"/>
  <c r="B88" i="15"/>
  <c r="C88" i="15"/>
  <c r="D88" i="15"/>
  <c r="E88" i="15"/>
  <c r="F88" i="15"/>
  <c r="G88" i="15"/>
  <c r="H88" i="15"/>
  <c r="B89" i="15"/>
  <c r="C89" i="15"/>
  <c r="D89" i="15"/>
  <c r="E89" i="15"/>
  <c r="F89" i="15"/>
  <c r="G89" i="15"/>
  <c r="H89" i="15"/>
  <c r="B90" i="15"/>
  <c r="C90" i="15"/>
  <c r="D90" i="15"/>
  <c r="E90" i="15"/>
  <c r="F90" i="15"/>
  <c r="G90" i="15"/>
  <c r="H90" i="15"/>
  <c r="B91" i="15"/>
  <c r="C91" i="15"/>
  <c r="D91" i="15"/>
  <c r="E91" i="15"/>
  <c r="F91" i="15"/>
  <c r="G91" i="15"/>
  <c r="H91" i="15"/>
  <c r="B92" i="15"/>
  <c r="C92" i="15"/>
  <c r="D92" i="15"/>
  <c r="E92" i="15"/>
  <c r="F92" i="15"/>
  <c r="G92" i="15"/>
  <c r="H92" i="15"/>
  <c r="B93" i="15"/>
  <c r="C93" i="15"/>
  <c r="D93" i="15"/>
  <c r="E93" i="15"/>
  <c r="F93" i="15"/>
  <c r="G93" i="15"/>
  <c r="H93" i="15"/>
  <c r="B94" i="15"/>
  <c r="C94" i="15"/>
  <c r="D94" i="15"/>
  <c r="E94" i="15"/>
  <c r="F94" i="15"/>
  <c r="G94" i="15"/>
  <c r="H94" i="15"/>
  <c r="B95" i="15"/>
  <c r="C95" i="15"/>
  <c r="D95" i="15"/>
  <c r="E95" i="15"/>
  <c r="F95" i="15"/>
  <c r="G95" i="15"/>
  <c r="H95" i="15"/>
  <c r="B96" i="15"/>
  <c r="C96" i="15"/>
  <c r="D96" i="15"/>
  <c r="E96" i="15"/>
  <c r="F96" i="15"/>
  <c r="G96" i="15"/>
  <c r="H96" i="15"/>
  <c r="B97" i="15"/>
  <c r="C97" i="15"/>
  <c r="D97" i="15"/>
  <c r="E97" i="15"/>
  <c r="F97" i="15"/>
  <c r="G97" i="15"/>
  <c r="H97" i="15"/>
  <c r="B98" i="15"/>
  <c r="C98" i="15"/>
  <c r="D98" i="15"/>
  <c r="E98" i="15"/>
  <c r="F98" i="15"/>
  <c r="G98" i="15"/>
  <c r="H98" i="15"/>
  <c r="B99" i="15"/>
  <c r="C99" i="15"/>
  <c r="D99" i="15"/>
  <c r="E99" i="15"/>
  <c r="F99" i="15"/>
  <c r="G99" i="15"/>
  <c r="H99" i="15"/>
  <c r="B100" i="15"/>
  <c r="C100" i="15"/>
  <c r="D100" i="15"/>
  <c r="E100" i="15"/>
  <c r="F100" i="15"/>
  <c r="G100" i="15"/>
  <c r="H100" i="15"/>
  <c r="B101" i="15"/>
  <c r="C101" i="15"/>
  <c r="D101" i="15"/>
  <c r="E101" i="15"/>
  <c r="F101" i="15"/>
  <c r="G101" i="15"/>
  <c r="H101" i="15"/>
  <c r="B102" i="15"/>
  <c r="C102" i="15"/>
  <c r="D102" i="15"/>
  <c r="E102" i="15"/>
  <c r="F102" i="15"/>
  <c r="G102" i="15"/>
  <c r="H102" i="15"/>
  <c r="B103" i="15"/>
  <c r="C103" i="15"/>
  <c r="D103" i="15"/>
  <c r="E103" i="15"/>
  <c r="F103" i="15"/>
  <c r="G103" i="15"/>
  <c r="H103" i="15"/>
  <c r="B104" i="15"/>
  <c r="C104" i="15"/>
  <c r="D104" i="15"/>
  <c r="E104" i="15"/>
  <c r="F104" i="15"/>
  <c r="G104" i="15"/>
  <c r="H104" i="15"/>
  <c r="B105" i="15"/>
  <c r="C105" i="15"/>
  <c r="D105" i="15"/>
  <c r="E105" i="15"/>
  <c r="F105" i="15"/>
  <c r="G105" i="15"/>
  <c r="H105" i="15"/>
  <c r="B106" i="15"/>
  <c r="C106" i="15"/>
  <c r="D106" i="15"/>
  <c r="E106" i="15"/>
  <c r="F106" i="15"/>
  <c r="G106" i="15"/>
  <c r="H106" i="15"/>
  <c r="B107" i="15"/>
  <c r="C107" i="15"/>
  <c r="D107" i="15"/>
  <c r="E107" i="15"/>
  <c r="F107" i="15"/>
  <c r="G107" i="15"/>
  <c r="H107" i="15"/>
  <c r="B108" i="15"/>
  <c r="C108" i="15"/>
  <c r="D108" i="15"/>
  <c r="E108" i="15"/>
  <c r="F108" i="15"/>
  <c r="G108" i="15"/>
  <c r="H108" i="15"/>
  <c r="B109" i="15"/>
  <c r="C109" i="15"/>
  <c r="D109" i="15"/>
  <c r="E109" i="15"/>
  <c r="F109" i="15"/>
  <c r="G109" i="15"/>
  <c r="H109" i="15"/>
  <c r="B110" i="15"/>
  <c r="C110" i="15"/>
  <c r="D110" i="15"/>
  <c r="E110" i="15"/>
  <c r="F110" i="15"/>
  <c r="G110" i="15"/>
  <c r="H110" i="15"/>
  <c r="B111" i="15"/>
  <c r="C111" i="15"/>
  <c r="D111" i="15"/>
  <c r="E111" i="15"/>
  <c r="F111" i="15"/>
  <c r="G111" i="15"/>
  <c r="H111" i="15"/>
  <c r="B112" i="15"/>
  <c r="C112" i="15"/>
  <c r="D112" i="15"/>
  <c r="E112" i="15"/>
  <c r="F112" i="15"/>
  <c r="G112" i="15"/>
  <c r="H112" i="15"/>
  <c r="B113" i="15"/>
  <c r="C113" i="15"/>
  <c r="D113" i="15"/>
  <c r="E113" i="15"/>
  <c r="F113" i="15"/>
  <c r="G113" i="15"/>
  <c r="H113" i="15"/>
  <c r="B114" i="15"/>
  <c r="C114" i="15"/>
  <c r="D114" i="15"/>
  <c r="E114" i="15"/>
  <c r="F114" i="15"/>
  <c r="G114" i="15"/>
  <c r="H114" i="15"/>
  <c r="B115" i="15"/>
  <c r="C115" i="15"/>
  <c r="D115" i="15"/>
  <c r="E115" i="15"/>
  <c r="F115" i="15"/>
  <c r="G115" i="15"/>
  <c r="H115" i="15"/>
  <c r="B116" i="15"/>
  <c r="C116" i="15"/>
  <c r="D116" i="15"/>
  <c r="E116" i="15"/>
  <c r="F116" i="15"/>
  <c r="G116" i="15"/>
  <c r="H116" i="15"/>
  <c r="B117" i="15"/>
  <c r="C117" i="15"/>
  <c r="D117" i="15"/>
  <c r="E117" i="15"/>
  <c r="F117" i="15"/>
  <c r="G117" i="15"/>
  <c r="H117" i="15"/>
  <c r="B118" i="15"/>
  <c r="C118" i="15"/>
  <c r="D118" i="15"/>
  <c r="E118" i="15"/>
  <c r="F118" i="15"/>
  <c r="G118" i="15"/>
  <c r="H118" i="15"/>
  <c r="B119" i="15"/>
  <c r="C119" i="15"/>
  <c r="D119" i="15"/>
  <c r="E119" i="15"/>
  <c r="F119" i="15"/>
  <c r="G119" i="15"/>
  <c r="H119" i="15"/>
  <c r="B120" i="15"/>
  <c r="C120" i="15"/>
  <c r="D120" i="15"/>
  <c r="E120" i="15"/>
  <c r="F120" i="15"/>
  <c r="G120" i="15"/>
  <c r="H120" i="15"/>
  <c r="B121" i="15"/>
  <c r="C121" i="15"/>
  <c r="D121" i="15"/>
  <c r="E121" i="15"/>
  <c r="F121" i="15"/>
  <c r="G121" i="15"/>
  <c r="H121" i="15"/>
  <c r="B122" i="15"/>
  <c r="C122" i="15"/>
  <c r="D122" i="15"/>
  <c r="E122" i="15"/>
  <c r="F122" i="15"/>
  <c r="G122" i="15"/>
  <c r="H122" i="15"/>
  <c r="B123" i="15"/>
  <c r="C123" i="15"/>
  <c r="D123" i="15"/>
  <c r="E123" i="15"/>
  <c r="F123" i="15"/>
  <c r="G123" i="15"/>
  <c r="H123" i="15"/>
  <c r="B124" i="15"/>
  <c r="C124" i="15"/>
  <c r="D124" i="15"/>
  <c r="E124" i="15"/>
  <c r="F124" i="15"/>
  <c r="G124" i="15"/>
  <c r="H124" i="15"/>
  <c r="B125" i="15"/>
  <c r="C125" i="15"/>
  <c r="D125" i="15"/>
  <c r="E125" i="15"/>
  <c r="F125" i="15"/>
  <c r="G125" i="15"/>
  <c r="H125" i="15"/>
  <c r="B126" i="15"/>
  <c r="C126" i="15"/>
  <c r="D126" i="15"/>
  <c r="E126" i="15"/>
  <c r="F126" i="15"/>
  <c r="G126" i="15"/>
  <c r="H126" i="15"/>
  <c r="B127" i="15"/>
  <c r="C127" i="15"/>
  <c r="D127" i="15"/>
  <c r="E127" i="15"/>
  <c r="F127" i="15"/>
  <c r="G127" i="15"/>
  <c r="H127" i="15"/>
  <c r="B128" i="15"/>
  <c r="C128" i="15"/>
  <c r="D128" i="15"/>
  <c r="E128" i="15"/>
  <c r="F128" i="15"/>
  <c r="G128" i="15"/>
  <c r="H128" i="15"/>
  <c r="B129" i="15"/>
  <c r="C129" i="15"/>
  <c r="D129" i="15"/>
  <c r="E129" i="15"/>
  <c r="F129" i="15"/>
  <c r="G129" i="15"/>
  <c r="H129" i="15"/>
  <c r="B130" i="15"/>
  <c r="C130" i="15"/>
  <c r="D130" i="15"/>
  <c r="E130" i="15"/>
  <c r="F130" i="15"/>
  <c r="G130" i="15"/>
  <c r="H130" i="15"/>
  <c r="B131" i="15"/>
  <c r="C131" i="15"/>
  <c r="D131" i="15"/>
  <c r="E131" i="15"/>
  <c r="F131" i="15"/>
  <c r="G131" i="15"/>
  <c r="H131" i="15"/>
  <c r="B132" i="15"/>
  <c r="C132" i="15"/>
  <c r="D132" i="15"/>
  <c r="E132" i="15"/>
  <c r="F132" i="15"/>
  <c r="G132" i="15"/>
  <c r="H132" i="15"/>
  <c r="B133" i="15"/>
  <c r="C133" i="15"/>
  <c r="D133" i="15"/>
  <c r="E133" i="15"/>
  <c r="F133" i="15"/>
  <c r="G133" i="15"/>
  <c r="H133" i="15"/>
  <c r="B134" i="15"/>
  <c r="C134" i="15"/>
  <c r="D134" i="15"/>
  <c r="E134" i="15"/>
  <c r="F134" i="15"/>
  <c r="G134" i="15"/>
  <c r="H134" i="15"/>
  <c r="A135" i="15"/>
  <c r="B135" i="15"/>
  <c r="C135" i="15"/>
  <c r="D135" i="15"/>
  <c r="E135" i="15"/>
  <c r="F135" i="15"/>
  <c r="G135" i="15"/>
  <c r="H135" i="15"/>
  <c r="B136" i="15"/>
  <c r="C136" i="15"/>
  <c r="D136" i="15"/>
  <c r="E136" i="15"/>
  <c r="F136" i="15"/>
  <c r="G136" i="15"/>
  <c r="H136" i="15"/>
  <c r="B137" i="15"/>
  <c r="C137" i="15"/>
  <c r="D137" i="15"/>
  <c r="E137" i="15"/>
  <c r="F137" i="15"/>
  <c r="G137" i="15"/>
  <c r="H137" i="15"/>
  <c r="B138" i="15"/>
  <c r="C138" i="15"/>
  <c r="D138" i="15"/>
  <c r="E138" i="15"/>
  <c r="F138" i="15"/>
  <c r="G138" i="15"/>
  <c r="H138" i="15"/>
  <c r="B139" i="15"/>
  <c r="C139" i="15"/>
  <c r="D139" i="15"/>
  <c r="E139" i="15"/>
  <c r="F139" i="15"/>
  <c r="G139" i="15"/>
  <c r="H139" i="15"/>
  <c r="B140" i="15"/>
  <c r="C140" i="15"/>
  <c r="D140" i="15"/>
  <c r="E140" i="15"/>
  <c r="F140" i="15"/>
  <c r="G140" i="15"/>
  <c r="H140" i="15"/>
  <c r="B141" i="15"/>
  <c r="C141" i="15"/>
  <c r="D141" i="15"/>
  <c r="E141" i="15"/>
  <c r="F141" i="15"/>
  <c r="G141" i="15"/>
  <c r="H141" i="15"/>
  <c r="B142" i="15"/>
  <c r="C142" i="15"/>
  <c r="D142" i="15"/>
  <c r="E142" i="15"/>
  <c r="F142" i="15"/>
  <c r="G142" i="15"/>
  <c r="H142" i="15"/>
  <c r="B143" i="15"/>
  <c r="C143" i="15"/>
  <c r="D143" i="15"/>
  <c r="E143" i="15"/>
  <c r="F143" i="15"/>
  <c r="G143" i="15"/>
  <c r="H143" i="15"/>
  <c r="B144" i="15"/>
  <c r="C144" i="15"/>
  <c r="D144" i="15"/>
  <c r="E144" i="15"/>
  <c r="F144" i="15"/>
  <c r="G144" i="15"/>
  <c r="H144" i="15"/>
  <c r="B145" i="15"/>
  <c r="C145" i="15"/>
  <c r="D145" i="15"/>
  <c r="E145" i="15"/>
  <c r="F145" i="15"/>
  <c r="G145" i="15"/>
  <c r="H145" i="15"/>
  <c r="B146" i="15"/>
  <c r="C146" i="15"/>
  <c r="D146" i="15"/>
  <c r="E146" i="15"/>
  <c r="F146" i="15"/>
  <c r="G146" i="15"/>
  <c r="H146" i="15"/>
  <c r="B147" i="15"/>
  <c r="C147" i="15"/>
  <c r="D147" i="15"/>
  <c r="E147" i="15"/>
  <c r="F147" i="15"/>
  <c r="G147" i="15"/>
  <c r="H147" i="15"/>
  <c r="B148" i="15"/>
  <c r="C148" i="15"/>
  <c r="D148" i="15"/>
  <c r="E148" i="15"/>
  <c r="F148" i="15"/>
  <c r="G148" i="15"/>
  <c r="H148" i="15"/>
  <c r="B149" i="15"/>
  <c r="C149" i="15"/>
  <c r="D149" i="15"/>
  <c r="E149" i="15"/>
  <c r="F149" i="15"/>
  <c r="G149" i="15"/>
  <c r="H149" i="15"/>
  <c r="B150" i="15"/>
  <c r="C150" i="15"/>
  <c r="D150" i="15"/>
  <c r="E150" i="15"/>
  <c r="F150" i="15"/>
  <c r="G150" i="15"/>
  <c r="H150" i="15"/>
  <c r="B151" i="15"/>
  <c r="C151" i="15"/>
  <c r="D151" i="15"/>
  <c r="E151" i="15"/>
  <c r="F151" i="15"/>
  <c r="G151" i="15"/>
  <c r="H151" i="15"/>
  <c r="B152" i="15"/>
  <c r="C152" i="15"/>
  <c r="D152" i="15"/>
  <c r="E152" i="15"/>
  <c r="F152" i="15"/>
  <c r="G152" i="15"/>
  <c r="H152" i="15"/>
  <c r="B153" i="15"/>
  <c r="C153" i="15"/>
  <c r="D153" i="15"/>
  <c r="E153" i="15"/>
  <c r="F153" i="15"/>
  <c r="G153" i="15"/>
  <c r="H153" i="15"/>
  <c r="B154" i="15"/>
  <c r="C154" i="15"/>
  <c r="D154" i="15"/>
  <c r="E154" i="15"/>
  <c r="F154" i="15"/>
  <c r="G154" i="15"/>
  <c r="H154" i="15"/>
  <c r="B155" i="15"/>
  <c r="C155" i="15"/>
  <c r="D155" i="15"/>
  <c r="E155" i="15"/>
  <c r="F155" i="15"/>
  <c r="G155" i="15"/>
  <c r="H155" i="15"/>
  <c r="B156" i="15"/>
  <c r="C156" i="15"/>
  <c r="D156" i="15"/>
  <c r="E156" i="15"/>
  <c r="F156" i="15"/>
  <c r="G156" i="15"/>
  <c r="H156" i="15"/>
  <c r="B157" i="15"/>
  <c r="C157" i="15"/>
  <c r="D157" i="15"/>
  <c r="E157" i="15"/>
  <c r="F157" i="15"/>
  <c r="G157" i="15"/>
  <c r="H157" i="15"/>
  <c r="B158" i="15"/>
  <c r="C158" i="15"/>
  <c r="D158" i="15"/>
  <c r="E158" i="15"/>
  <c r="F158" i="15"/>
  <c r="G158" i="15"/>
  <c r="H158" i="15"/>
  <c r="B159" i="15"/>
  <c r="C159" i="15"/>
  <c r="D159" i="15"/>
  <c r="E159" i="15"/>
  <c r="F159" i="15"/>
  <c r="G159" i="15"/>
  <c r="H159" i="15"/>
  <c r="B160" i="15"/>
  <c r="C160" i="15"/>
  <c r="D160" i="15"/>
  <c r="E160" i="15"/>
  <c r="F160" i="15"/>
  <c r="G160" i="15"/>
  <c r="H160" i="15"/>
  <c r="B161" i="15"/>
  <c r="C161" i="15"/>
  <c r="D161" i="15"/>
  <c r="E161" i="15"/>
  <c r="F161" i="15"/>
  <c r="G161" i="15"/>
  <c r="H161" i="15"/>
  <c r="B162" i="15"/>
  <c r="C162" i="15"/>
  <c r="D162" i="15"/>
  <c r="E162" i="15"/>
  <c r="F162" i="15"/>
  <c r="G162" i="15"/>
  <c r="H162" i="15"/>
  <c r="B163" i="15"/>
  <c r="C163" i="15"/>
  <c r="D163" i="15"/>
  <c r="E163" i="15"/>
  <c r="F163" i="15"/>
  <c r="G163" i="15"/>
  <c r="H163" i="15"/>
  <c r="B164" i="15"/>
  <c r="C164" i="15"/>
  <c r="D164" i="15"/>
  <c r="E164" i="15"/>
  <c r="F164" i="15"/>
  <c r="G164" i="15"/>
  <c r="H164" i="15"/>
  <c r="B165" i="15"/>
  <c r="C165" i="15"/>
  <c r="D165" i="15"/>
  <c r="E165" i="15"/>
  <c r="F165" i="15"/>
  <c r="G165" i="15"/>
  <c r="H165" i="15"/>
  <c r="B166" i="15"/>
  <c r="C166" i="15"/>
  <c r="D166" i="15"/>
  <c r="E166" i="15"/>
  <c r="F166" i="15"/>
  <c r="G166" i="15"/>
  <c r="H166" i="15"/>
  <c r="B167" i="15"/>
  <c r="C167" i="15"/>
  <c r="D167" i="15"/>
  <c r="E167" i="15"/>
  <c r="F167" i="15"/>
  <c r="G167" i="15"/>
  <c r="H167" i="15"/>
  <c r="B168" i="15"/>
  <c r="C168" i="15"/>
  <c r="D168" i="15"/>
  <c r="E168" i="15"/>
  <c r="F168" i="15"/>
  <c r="G168" i="15"/>
  <c r="H168" i="15"/>
  <c r="B169" i="15"/>
  <c r="C169" i="15"/>
  <c r="D169" i="15"/>
  <c r="E169" i="15"/>
  <c r="F169" i="15"/>
  <c r="G169" i="15"/>
  <c r="H169" i="15"/>
  <c r="B170" i="15"/>
  <c r="C170" i="15"/>
  <c r="D170" i="15"/>
  <c r="E170" i="15"/>
  <c r="F170" i="15"/>
  <c r="G170" i="15"/>
  <c r="H170" i="15"/>
  <c r="B171" i="15"/>
  <c r="C171" i="15"/>
  <c r="D171" i="15"/>
  <c r="E171" i="15"/>
  <c r="F171" i="15"/>
  <c r="G171" i="15"/>
  <c r="H171" i="15"/>
  <c r="B172" i="15"/>
  <c r="C172" i="15"/>
  <c r="D172" i="15"/>
  <c r="E172" i="15"/>
  <c r="F172" i="15"/>
  <c r="G172" i="15"/>
  <c r="H172" i="15"/>
  <c r="B173" i="15"/>
  <c r="C173" i="15"/>
  <c r="D173" i="15"/>
  <c r="E173" i="15"/>
  <c r="F173" i="15"/>
  <c r="G173" i="15"/>
  <c r="H173" i="15"/>
  <c r="B174" i="15"/>
  <c r="C174" i="15"/>
  <c r="D174" i="15"/>
  <c r="E174" i="15"/>
  <c r="F174" i="15"/>
  <c r="G174" i="15"/>
  <c r="H174" i="15"/>
  <c r="B175" i="15"/>
  <c r="C175" i="15"/>
  <c r="D175" i="15"/>
  <c r="E175" i="15"/>
  <c r="F175" i="15"/>
  <c r="G175" i="15"/>
  <c r="H175" i="15"/>
  <c r="B176" i="15"/>
  <c r="C176" i="15"/>
  <c r="D176" i="15"/>
  <c r="E176" i="15"/>
  <c r="F176" i="15"/>
  <c r="G176" i="15"/>
  <c r="H176" i="15"/>
  <c r="B177" i="15"/>
  <c r="C177" i="15"/>
  <c r="D177" i="15"/>
  <c r="E177" i="15"/>
  <c r="F177" i="15"/>
  <c r="G177" i="15"/>
  <c r="H177" i="15"/>
  <c r="B178" i="15"/>
  <c r="C178" i="15"/>
  <c r="D178" i="15"/>
  <c r="E178" i="15"/>
  <c r="F178" i="15"/>
  <c r="G178" i="15"/>
  <c r="H178" i="15"/>
  <c r="B179" i="15"/>
  <c r="C179" i="15"/>
  <c r="D179" i="15"/>
  <c r="E179" i="15"/>
  <c r="F179" i="15"/>
  <c r="G179" i="15"/>
  <c r="H179" i="15"/>
  <c r="B180" i="15"/>
  <c r="C180" i="15"/>
  <c r="D180" i="15"/>
  <c r="E180" i="15"/>
  <c r="F180" i="15"/>
  <c r="G180" i="15"/>
  <c r="H180" i="15"/>
  <c r="B181" i="15"/>
  <c r="C181" i="15"/>
  <c r="D181" i="15"/>
  <c r="E181" i="15"/>
  <c r="F181" i="15"/>
  <c r="G181" i="15"/>
  <c r="H181" i="15"/>
  <c r="B182" i="15"/>
  <c r="C182" i="15"/>
  <c r="D182" i="15"/>
  <c r="E182" i="15"/>
  <c r="F182" i="15"/>
  <c r="G182" i="15"/>
  <c r="H182" i="15"/>
  <c r="B183" i="15"/>
  <c r="C183" i="15"/>
  <c r="D183" i="15"/>
  <c r="E183" i="15"/>
  <c r="F183" i="15"/>
  <c r="G183" i="15"/>
  <c r="H183" i="15"/>
  <c r="B184" i="15"/>
  <c r="C184" i="15"/>
  <c r="D184" i="15"/>
  <c r="E184" i="15"/>
  <c r="F184" i="15"/>
  <c r="G184" i="15"/>
  <c r="H184" i="15"/>
  <c r="B185" i="15"/>
  <c r="C185" i="15"/>
  <c r="D185" i="15"/>
  <c r="E185" i="15"/>
  <c r="F185" i="15"/>
  <c r="G185" i="15"/>
  <c r="H185" i="15"/>
  <c r="B186" i="15"/>
  <c r="C186" i="15"/>
  <c r="D186" i="15"/>
  <c r="E186" i="15"/>
  <c r="F186" i="15"/>
  <c r="G186" i="15"/>
  <c r="H186" i="15"/>
  <c r="B187" i="15"/>
  <c r="C187" i="15"/>
  <c r="D187" i="15"/>
  <c r="E187" i="15"/>
  <c r="F187" i="15"/>
  <c r="G187" i="15"/>
  <c r="H187" i="15"/>
  <c r="B188" i="15"/>
  <c r="C188" i="15"/>
  <c r="D188" i="15"/>
  <c r="E188" i="15"/>
  <c r="F188" i="15"/>
  <c r="G188" i="15"/>
  <c r="H188" i="15"/>
  <c r="B189" i="15"/>
  <c r="C189" i="15"/>
  <c r="D189" i="15"/>
  <c r="E189" i="15"/>
  <c r="F189" i="15"/>
  <c r="G189" i="15"/>
  <c r="H189" i="15"/>
  <c r="B190" i="15"/>
  <c r="C190" i="15"/>
  <c r="D190" i="15"/>
  <c r="E190" i="15"/>
  <c r="F190" i="15"/>
  <c r="G190" i="15"/>
  <c r="H190" i="15"/>
  <c r="B191" i="15"/>
  <c r="C191" i="15"/>
  <c r="D191" i="15"/>
  <c r="E191" i="15"/>
  <c r="F191" i="15"/>
  <c r="G191" i="15"/>
  <c r="H191" i="15"/>
  <c r="B192" i="15"/>
  <c r="C192" i="15"/>
  <c r="D192" i="15"/>
  <c r="E192" i="15"/>
  <c r="F192" i="15"/>
  <c r="G192" i="15"/>
  <c r="H192" i="15"/>
  <c r="B193" i="15"/>
  <c r="C193" i="15"/>
  <c r="D193" i="15"/>
  <c r="E193" i="15"/>
  <c r="F193" i="15"/>
  <c r="G193" i="15"/>
  <c r="H193" i="15"/>
  <c r="B194" i="15"/>
  <c r="C194" i="15"/>
  <c r="D194" i="15"/>
  <c r="E194" i="15"/>
  <c r="F194" i="15"/>
  <c r="G194" i="15"/>
  <c r="H194" i="15"/>
  <c r="B195" i="15"/>
  <c r="C195" i="15"/>
  <c r="D195" i="15"/>
  <c r="E195" i="15"/>
  <c r="F195" i="15"/>
  <c r="G195" i="15"/>
  <c r="H195" i="15"/>
  <c r="B196" i="15"/>
  <c r="C196" i="15"/>
  <c r="D196" i="15"/>
  <c r="E196" i="15"/>
  <c r="F196" i="15"/>
  <c r="G196" i="15"/>
  <c r="H196" i="15"/>
  <c r="B197" i="15"/>
  <c r="C197" i="15"/>
  <c r="D197" i="15"/>
  <c r="E197" i="15"/>
  <c r="F197" i="15"/>
  <c r="G197" i="15"/>
  <c r="H197" i="15"/>
  <c r="B198" i="15"/>
  <c r="C198" i="15"/>
  <c r="D198" i="15"/>
  <c r="E198" i="15"/>
  <c r="F198" i="15"/>
  <c r="G198" i="15"/>
  <c r="H198" i="15"/>
  <c r="B199" i="15"/>
  <c r="C199" i="15"/>
  <c r="D199" i="15"/>
  <c r="E199" i="15"/>
  <c r="F199" i="15"/>
  <c r="G199" i="15"/>
  <c r="H199" i="15"/>
  <c r="B200" i="15"/>
  <c r="C200" i="15"/>
  <c r="D200" i="15"/>
  <c r="E200" i="15"/>
  <c r="F200" i="15"/>
  <c r="G200" i="15"/>
  <c r="H200" i="15"/>
  <c r="B201" i="15"/>
  <c r="C201" i="15"/>
  <c r="D201" i="15"/>
  <c r="E201" i="15"/>
  <c r="F201" i="15"/>
  <c r="G201" i="15"/>
  <c r="H201" i="15"/>
  <c r="B202" i="15"/>
  <c r="C202" i="15"/>
  <c r="D202" i="15"/>
  <c r="E202" i="15"/>
  <c r="F202" i="15"/>
  <c r="G202" i="15"/>
  <c r="H202" i="15"/>
  <c r="B203" i="15"/>
  <c r="C203" i="15"/>
  <c r="D203" i="15"/>
  <c r="E203" i="15"/>
  <c r="F203" i="15"/>
  <c r="G203" i="15"/>
  <c r="H203" i="15"/>
  <c r="B204" i="15"/>
  <c r="C204" i="15"/>
  <c r="D204" i="15"/>
  <c r="E204" i="15"/>
  <c r="F204" i="15"/>
  <c r="G204" i="15"/>
  <c r="H204" i="15"/>
  <c r="B205" i="15"/>
  <c r="C205" i="15"/>
  <c r="D205" i="15"/>
  <c r="E205" i="15"/>
  <c r="F205" i="15"/>
  <c r="G205" i="15"/>
  <c r="H205" i="15"/>
  <c r="B206" i="15"/>
  <c r="C206" i="15"/>
  <c r="D206" i="15"/>
  <c r="E206" i="15"/>
  <c r="F206" i="15"/>
  <c r="G206" i="15"/>
  <c r="H206" i="15"/>
  <c r="B207" i="15"/>
  <c r="C207" i="15"/>
  <c r="D207" i="15"/>
  <c r="E207" i="15"/>
  <c r="F207" i="15"/>
  <c r="G207" i="15"/>
  <c r="H207" i="15"/>
  <c r="B208" i="15"/>
  <c r="C208" i="15"/>
  <c r="D208" i="15"/>
  <c r="E208" i="15"/>
  <c r="F208" i="15"/>
  <c r="G208" i="15"/>
  <c r="H208" i="15"/>
  <c r="B209" i="15"/>
  <c r="C209" i="15"/>
  <c r="D209" i="15"/>
  <c r="E209" i="15"/>
  <c r="F209" i="15"/>
  <c r="G209" i="15"/>
  <c r="H209" i="15"/>
  <c r="B210" i="15"/>
  <c r="C210" i="15"/>
  <c r="D210" i="15"/>
  <c r="E210" i="15"/>
  <c r="F210" i="15"/>
  <c r="G210" i="15"/>
  <c r="H210" i="15"/>
  <c r="B211" i="15"/>
  <c r="C211" i="15"/>
  <c r="D211" i="15"/>
  <c r="E211" i="15"/>
  <c r="F211" i="15"/>
  <c r="G211" i="15"/>
  <c r="H211" i="15"/>
  <c r="B212" i="15"/>
  <c r="C212" i="15"/>
  <c r="D212" i="15"/>
  <c r="E212" i="15"/>
  <c r="F212" i="15"/>
  <c r="G212" i="15"/>
  <c r="H212" i="15"/>
  <c r="B213" i="15"/>
  <c r="C213" i="15"/>
  <c r="D213" i="15"/>
  <c r="E213" i="15"/>
  <c r="F213" i="15"/>
  <c r="G213" i="15"/>
  <c r="H213" i="15"/>
  <c r="B214" i="15"/>
  <c r="C214" i="15"/>
  <c r="D214" i="15"/>
  <c r="E214" i="15"/>
  <c r="F214" i="15"/>
  <c r="G214" i="15"/>
  <c r="H214" i="15"/>
  <c r="B215" i="15"/>
  <c r="C215" i="15"/>
  <c r="D215" i="15"/>
  <c r="E215" i="15"/>
  <c r="F215" i="15"/>
  <c r="G215" i="15"/>
  <c r="H215" i="15"/>
  <c r="B216" i="15"/>
  <c r="C216" i="15"/>
  <c r="D216" i="15"/>
  <c r="E216" i="15"/>
  <c r="F216" i="15"/>
  <c r="G216" i="15"/>
  <c r="H216" i="15"/>
  <c r="B217" i="15"/>
  <c r="C217" i="15"/>
  <c r="D217" i="15"/>
  <c r="E217" i="15"/>
  <c r="F217" i="15"/>
  <c r="G217" i="15"/>
  <c r="H217" i="15"/>
  <c r="B218" i="15"/>
  <c r="C218" i="15"/>
  <c r="D218" i="15"/>
  <c r="E218" i="15"/>
  <c r="F218" i="15"/>
  <c r="G218" i="15"/>
  <c r="H218" i="15"/>
  <c r="B219" i="15"/>
  <c r="C219" i="15"/>
  <c r="D219" i="15"/>
  <c r="E219" i="15"/>
  <c r="F219" i="15"/>
  <c r="G219" i="15"/>
  <c r="H219" i="15"/>
  <c r="B220" i="15"/>
  <c r="C220" i="15"/>
  <c r="D220" i="15"/>
  <c r="E220" i="15"/>
  <c r="F220" i="15"/>
  <c r="G220" i="15"/>
  <c r="H220" i="15"/>
  <c r="B221" i="15"/>
  <c r="C221" i="15"/>
  <c r="D221" i="15"/>
  <c r="E221" i="15"/>
  <c r="F221" i="15"/>
  <c r="G221" i="15"/>
  <c r="H221" i="15"/>
  <c r="B222" i="15"/>
  <c r="C222" i="15"/>
  <c r="D222" i="15"/>
  <c r="E222" i="15"/>
  <c r="F222" i="15"/>
  <c r="G222" i="15"/>
  <c r="H222" i="15"/>
  <c r="B223" i="15"/>
  <c r="C223" i="15"/>
  <c r="D223" i="15"/>
  <c r="E223" i="15"/>
  <c r="F223" i="15"/>
  <c r="G223" i="15"/>
  <c r="H223" i="15"/>
  <c r="B224" i="15"/>
  <c r="C224" i="15"/>
  <c r="D224" i="15"/>
  <c r="E224" i="15"/>
  <c r="F224" i="15"/>
  <c r="G224" i="15"/>
  <c r="H224" i="15"/>
  <c r="B225" i="15"/>
  <c r="C225" i="15"/>
  <c r="D225" i="15"/>
  <c r="E225" i="15"/>
  <c r="F225" i="15"/>
  <c r="G225" i="15"/>
  <c r="H225" i="15"/>
  <c r="B226" i="15"/>
  <c r="C226" i="15"/>
  <c r="D226" i="15"/>
  <c r="E226" i="15"/>
  <c r="F226" i="15"/>
  <c r="G226" i="15"/>
  <c r="H226" i="15"/>
  <c r="B227" i="15"/>
  <c r="C227" i="15"/>
  <c r="D227" i="15"/>
  <c r="E227" i="15"/>
  <c r="F227" i="15"/>
  <c r="G227" i="15"/>
  <c r="H227" i="15"/>
  <c r="B228" i="15"/>
  <c r="C228" i="15"/>
  <c r="D228" i="15"/>
  <c r="E228" i="15"/>
  <c r="F228" i="15"/>
  <c r="G228" i="15"/>
  <c r="H228" i="15"/>
  <c r="B229" i="15"/>
  <c r="C229" i="15"/>
  <c r="D229" i="15"/>
  <c r="E229" i="15"/>
  <c r="F229" i="15"/>
  <c r="G229" i="15"/>
  <c r="H229" i="15"/>
  <c r="B230" i="15"/>
  <c r="C230" i="15"/>
  <c r="D230" i="15"/>
  <c r="E230" i="15"/>
  <c r="F230" i="15"/>
  <c r="G230" i="15"/>
  <c r="H230" i="15"/>
  <c r="B231" i="15"/>
  <c r="C231" i="15"/>
  <c r="D231" i="15"/>
  <c r="E231" i="15"/>
  <c r="F231" i="15"/>
  <c r="G231" i="15"/>
  <c r="H231" i="15"/>
  <c r="B232" i="15"/>
  <c r="C232" i="15"/>
  <c r="D232" i="15"/>
  <c r="E232" i="15"/>
  <c r="F232" i="15"/>
  <c r="G232" i="15"/>
  <c r="H232" i="15"/>
  <c r="B233" i="15"/>
  <c r="C233" i="15"/>
  <c r="D233" i="15"/>
  <c r="E233" i="15"/>
  <c r="F233" i="15"/>
  <c r="G233" i="15"/>
  <c r="H233" i="15"/>
  <c r="B234" i="15"/>
  <c r="C234" i="15"/>
  <c r="D234" i="15"/>
  <c r="E234" i="15"/>
  <c r="F234" i="15"/>
  <c r="G234" i="15"/>
  <c r="H234" i="15"/>
  <c r="B235" i="15"/>
  <c r="C235" i="15"/>
  <c r="D235" i="15"/>
  <c r="E235" i="15"/>
  <c r="F235" i="15"/>
  <c r="G235" i="15"/>
  <c r="H235" i="15"/>
  <c r="B236" i="15"/>
  <c r="C236" i="15"/>
  <c r="D236" i="15"/>
  <c r="E236" i="15"/>
  <c r="F236" i="15"/>
  <c r="G236" i="15"/>
  <c r="H236" i="15"/>
  <c r="B237" i="15"/>
  <c r="C237" i="15"/>
  <c r="D237" i="15"/>
  <c r="E237" i="15"/>
  <c r="F237" i="15"/>
  <c r="G237" i="15"/>
  <c r="H237" i="15"/>
  <c r="B238" i="15"/>
  <c r="C238" i="15"/>
  <c r="D238" i="15"/>
  <c r="E238" i="15"/>
  <c r="F238" i="15"/>
  <c r="G238" i="15"/>
  <c r="H238" i="15"/>
  <c r="B239" i="15"/>
  <c r="C239" i="15"/>
  <c r="D239" i="15"/>
  <c r="E239" i="15"/>
  <c r="F239" i="15"/>
  <c r="G239" i="15"/>
  <c r="H239" i="15"/>
  <c r="B240" i="15"/>
  <c r="C240" i="15"/>
  <c r="D240" i="15"/>
  <c r="E240" i="15"/>
  <c r="F240" i="15"/>
  <c r="G240" i="15"/>
  <c r="H240" i="15"/>
  <c r="B241" i="15"/>
  <c r="C241" i="15"/>
  <c r="D241" i="15"/>
  <c r="E241" i="15"/>
  <c r="F241" i="15"/>
  <c r="G241" i="15"/>
  <c r="H241" i="15"/>
  <c r="B242" i="15"/>
  <c r="C242" i="15"/>
  <c r="D242" i="15"/>
  <c r="E242" i="15"/>
  <c r="F242" i="15"/>
  <c r="G242" i="15"/>
  <c r="H242" i="15"/>
  <c r="B243" i="15"/>
  <c r="C243" i="15"/>
  <c r="D243" i="15"/>
  <c r="E243" i="15"/>
  <c r="F243" i="15"/>
  <c r="G243" i="15"/>
  <c r="H243" i="15"/>
  <c r="B244" i="15"/>
  <c r="C244" i="15"/>
  <c r="D244" i="15"/>
  <c r="E244" i="15"/>
  <c r="F244" i="15"/>
  <c r="G244" i="15"/>
  <c r="H244" i="15"/>
  <c r="B245" i="15"/>
  <c r="C245" i="15"/>
  <c r="D245" i="15"/>
  <c r="E245" i="15"/>
  <c r="F245" i="15"/>
  <c r="G245" i="15"/>
  <c r="H245" i="15"/>
  <c r="B246" i="15"/>
  <c r="C246" i="15"/>
  <c r="D246" i="15"/>
  <c r="E246" i="15"/>
  <c r="F246" i="15"/>
  <c r="G246" i="15"/>
  <c r="H246" i="15"/>
  <c r="B247" i="15"/>
  <c r="C247" i="15"/>
  <c r="D247" i="15"/>
  <c r="E247" i="15"/>
  <c r="F247" i="15"/>
  <c r="G247" i="15"/>
  <c r="H247" i="15"/>
  <c r="B248" i="15"/>
  <c r="C248" i="15"/>
  <c r="D248" i="15"/>
  <c r="E248" i="15"/>
  <c r="F248" i="15"/>
  <c r="G248" i="15"/>
  <c r="H248" i="15"/>
  <c r="B249" i="15"/>
  <c r="C249" i="15"/>
  <c r="D249" i="15"/>
  <c r="E249" i="15"/>
  <c r="F249" i="15"/>
  <c r="G249" i="15"/>
  <c r="H249" i="15"/>
  <c r="B250" i="15"/>
  <c r="C250" i="15"/>
  <c r="D250" i="15"/>
  <c r="E250" i="15"/>
  <c r="F250" i="15"/>
  <c r="G250" i="15"/>
  <c r="H250" i="15"/>
  <c r="B251" i="15"/>
  <c r="C251" i="15"/>
  <c r="D251" i="15"/>
  <c r="E251" i="15"/>
  <c r="F251" i="15"/>
  <c r="G251" i="15"/>
  <c r="H251" i="15"/>
  <c r="B252" i="15"/>
  <c r="C252" i="15"/>
  <c r="D252" i="15"/>
  <c r="E252" i="15"/>
  <c r="F252" i="15"/>
  <c r="G252" i="15"/>
  <c r="H252" i="15"/>
  <c r="B253" i="15"/>
  <c r="C253" i="15"/>
  <c r="D253" i="15"/>
  <c r="E253" i="15"/>
  <c r="F253" i="15"/>
  <c r="G253" i="15"/>
  <c r="H253" i="15"/>
  <c r="B254" i="15"/>
  <c r="C254" i="15"/>
  <c r="D254" i="15"/>
  <c r="E254" i="15"/>
  <c r="F254" i="15"/>
  <c r="G254" i="15"/>
  <c r="H254" i="15"/>
  <c r="B255" i="15"/>
  <c r="C255" i="15"/>
  <c r="D255" i="15"/>
  <c r="E255" i="15"/>
  <c r="F255" i="15"/>
  <c r="G255" i="15"/>
  <c r="H255" i="15"/>
  <c r="B256" i="15"/>
  <c r="C256" i="15"/>
  <c r="D256" i="15"/>
  <c r="E256" i="15"/>
  <c r="F256" i="15"/>
  <c r="G256" i="15"/>
  <c r="H256" i="15"/>
  <c r="B257" i="15"/>
  <c r="C257" i="15"/>
  <c r="D257" i="15"/>
  <c r="E257" i="15"/>
  <c r="F257" i="15"/>
  <c r="G257" i="15"/>
  <c r="H257" i="15"/>
  <c r="B258" i="15"/>
  <c r="C258" i="15"/>
  <c r="D258" i="15"/>
  <c r="E258" i="15"/>
  <c r="F258" i="15"/>
  <c r="G258" i="15"/>
  <c r="H258" i="15"/>
  <c r="B259" i="15"/>
  <c r="C259" i="15"/>
  <c r="D259" i="15"/>
  <c r="E259" i="15"/>
  <c r="F259" i="15"/>
  <c r="G259" i="15"/>
  <c r="H259" i="15"/>
  <c r="B260" i="15"/>
  <c r="C260" i="15"/>
  <c r="D260" i="15"/>
  <c r="E260" i="15"/>
  <c r="F260" i="15"/>
  <c r="G260" i="15"/>
  <c r="H260" i="15"/>
  <c r="B261" i="15"/>
  <c r="C261" i="15"/>
  <c r="D261" i="15"/>
  <c r="E261" i="15"/>
  <c r="F261" i="15"/>
  <c r="G261" i="15"/>
  <c r="H261" i="15"/>
  <c r="B262" i="15"/>
  <c r="C262" i="15"/>
  <c r="D262" i="15"/>
  <c r="E262" i="15"/>
  <c r="F262" i="15"/>
  <c r="G262" i="15"/>
  <c r="H262" i="15"/>
  <c r="B263" i="15"/>
  <c r="C263" i="15"/>
  <c r="D263" i="15"/>
  <c r="E263" i="15"/>
  <c r="F263" i="15"/>
  <c r="G263" i="15"/>
  <c r="H263" i="15"/>
  <c r="B264" i="15"/>
  <c r="C264" i="15"/>
  <c r="D264" i="15"/>
  <c r="E264" i="15"/>
  <c r="F264" i="15"/>
  <c r="G264" i="15"/>
  <c r="H264" i="15"/>
  <c r="B265" i="15"/>
  <c r="C265" i="15"/>
  <c r="D265" i="15"/>
  <c r="E265" i="15"/>
  <c r="F265" i="15"/>
  <c r="G265" i="15"/>
  <c r="H265" i="15"/>
  <c r="B266" i="15"/>
  <c r="C266" i="15"/>
  <c r="D266" i="15"/>
  <c r="E266" i="15"/>
  <c r="F266" i="15"/>
  <c r="G266" i="15"/>
  <c r="H266" i="15"/>
  <c r="B267" i="15"/>
  <c r="C267" i="15"/>
  <c r="D267" i="15"/>
  <c r="E267" i="15"/>
  <c r="F267" i="15"/>
  <c r="G267" i="15"/>
  <c r="H267" i="15"/>
  <c r="B268" i="15"/>
  <c r="C268" i="15"/>
  <c r="D268" i="15"/>
  <c r="E268" i="15"/>
  <c r="F268" i="15"/>
  <c r="G268" i="15"/>
  <c r="H268" i="15"/>
  <c r="B269" i="15"/>
  <c r="C269" i="15"/>
  <c r="D269" i="15"/>
  <c r="E269" i="15"/>
  <c r="F269" i="15"/>
  <c r="G269" i="15"/>
  <c r="H269" i="15"/>
  <c r="B270" i="15"/>
  <c r="C270" i="15"/>
  <c r="D270" i="15"/>
  <c r="E270" i="15"/>
  <c r="F270" i="15"/>
  <c r="G270" i="15"/>
  <c r="H270" i="15"/>
  <c r="B271" i="15"/>
  <c r="C271" i="15"/>
  <c r="D271" i="15"/>
  <c r="E271" i="15"/>
  <c r="F271" i="15"/>
  <c r="G271" i="15"/>
  <c r="H271" i="15"/>
  <c r="B272" i="15"/>
  <c r="C272" i="15"/>
  <c r="D272" i="15"/>
  <c r="E272" i="15"/>
  <c r="F272" i="15"/>
  <c r="G272" i="15"/>
  <c r="H272" i="15"/>
  <c r="B273" i="15"/>
  <c r="C273" i="15"/>
  <c r="D273" i="15"/>
  <c r="E273" i="15"/>
  <c r="F273" i="15"/>
  <c r="G273" i="15"/>
  <c r="H273" i="15"/>
  <c r="B274" i="15"/>
  <c r="C274" i="15"/>
  <c r="D274" i="15"/>
  <c r="E274" i="15"/>
  <c r="F274" i="15"/>
  <c r="G274" i="15"/>
  <c r="H274" i="15"/>
  <c r="B275" i="15"/>
  <c r="C275" i="15"/>
  <c r="D275" i="15"/>
  <c r="E275" i="15"/>
  <c r="F275" i="15"/>
  <c r="G275" i="15"/>
  <c r="H275" i="15"/>
  <c r="B276" i="15"/>
  <c r="C276" i="15"/>
  <c r="D276" i="15"/>
  <c r="E276" i="15"/>
  <c r="F276" i="15"/>
  <c r="G276" i="15"/>
  <c r="H276" i="15"/>
  <c r="B277" i="15"/>
  <c r="C277" i="15"/>
  <c r="D277" i="15"/>
  <c r="E277" i="15"/>
  <c r="F277" i="15"/>
  <c r="G277" i="15"/>
  <c r="H277" i="15"/>
  <c r="B278" i="15"/>
  <c r="C278" i="15"/>
  <c r="D278" i="15"/>
  <c r="E278" i="15"/>
  <c r="F278" i="15"/>
  <c r="G278" i="15"/>
  <c r="H278" i="15"/>
  <c r="B279" i="15"/>
  <c r="C279" i="15"/>
  <c r="D279" i="15"/>
  <c r="E279" i="15"/>
  <c r="F279" i="15"/>
  <c r="G279" i="15"/>
  <c r="H279" i="15"/>
  <c r="B280" i="15"/>
  <c r="C280" i="15"/>
  <c r="D280" i="15"/>
  <c r="E280" i="15"/>
  <c r="F280" i="15"/>
  <c r="G280" i="15"/>
  <c r="H280" i="15"/>
  <c r="B281" i="15"/>
  <c r="C281" i="15"/>
  <c r="D281" i="15"/>
  <c r="E281" i="15"/>
  <c r="F281" i="15"/>
  <c r="G281" i="15"/>
  <c r="H281" i="15"/>
  <c r="B282" i="15"/>
  <c r="C282" i="15"/>
  <c r="D282" i="15"/>
  <c r="E282" i="15"/>
  <c r="F282" i="15"/>
  <c r="G282" i="15"/>
  <c r="H282" i="15"/>
  <c r="B283" i="15"/>
  <c r="C283" i="15"/>
  <c r="D283" i="15"/>
  <c r="E283" i="15"/>
  <c r="F283" i="15"/>
  <c r="G283" i="15"/>
  <c r="H283" i="15"/>
  <c r="B284" i="15"/>
  <c r="C284" i="15"/>
  <c r="D284" i="15"/>
  <c r="E284" i="15"/>
  <c r="F284" i="15"/>
  <c r="G284" i="15"/>
  <c r="H284" i="15"/>
  <c r="B285" i="15"/>
  <c r="C285" i="15"/>
  <c r="D285" i="15"/>
  <c r="E285" i="15"/>
  <c r="F285" i="15"/>
  <c r="G285" i="15"/>
  <c r="H285" i="15"/>
  <c r="B286" i="15"/>
  <c r="C286" i="15"/>
  <c r="D286" i="15"/>
  <c r="E286" i="15"/>
  <c r="F286" i="15"/>
  <c r="G286" i="15"/>
  <c r="H286" i="15"/>
  <c r="B287" i="15"/>
  <c r="C287" i="15"/>
  <c r="D287" i="15"/>
  <c r="E287" i="15"/>
  <c r="F287" i="15"/>
  <c r="G287" i="15"/>
  <c r="H287" i="15"/>
  <c r="B288" i="15"/>
  <c r="C288" i="15"/>
  <c r="D288" i="15"/>
  <c r="E288" i="15"/>
  <c r="F288" i="15"/>
  <c r="G288" i="15"/>
  <c r="H288" i="15"/>
  <c r="B289" i="15"/>
  <c r="C289" i="15"/>
  <c r="D289" i="15"/>
  <c r="E289" i="15"/>
  <c r="F289" i="15"/>
  <c r="G289" i="15"/>
  <c r="H289" i="15"/>
  <c r="B290" i="15"/>
  <c r="C290" i="15"/>
  <c r="D290" i="15"/>
  <c r="E290" i="15"/>
  <c r="F290" i="15"/>
  <c r="G290" i="15"/>
  <c r="H290" i="15"/>
  <c r="B291" i="15"/>
  <c r="C291" i="15"/>
  <c r="D291" i="15"/>
  <c r="E291" i="15"/>
  <c r="F291" i="15"/>
  <c r="G291" i="15"/>
  <c r="H291" i="15"/>
  <c r="B292" i="15"/>
  <c r="C292" i="15"/>
  <c r="D292" i="15"/>
  <c r="E292" i="15"/>
  <c r="F292" i="15"/>
  <c r="G292" i="15"/>
  <c r="H292" i="15"/>
  <c r="B293" i="15"/>
  <c r="C293" i="15"/>
  <c r="D293" i="15"/>
  <c r="E293" i="15"/>
  <c r="F293" i="15"/>
  <c r="G293" i="15"/>
  <c r="H293" i="15"/>
  <c r="B294" i="15"/>
  <c r="C294" i="15"/>
  <c r="D294" i="15"/>
  <c r="E294" i="15"/>
  <c r="F294" i="15"/>
  <c r="G294" i="15"/>
  <c r="H294" i="15"/>
  <c r="B295" i="15"/>
  <c r="C295" i="15"/>
  <c r="D295" i="15"/>
  <c r="E295" i="15"/>
  <c r="F295" i="15"/>
  <c r="G295" i="15"/>
  <c r="H295" i="15"/>
  <c r="B296" i="15"/>
  <c r="C296" i="15"/>
  <c r="D296" i="15"/>
  <c r="E296" i="15"/>
  <c r="F296" i="15"/>
  <c r="G296" i="15"/>
  <c r="H296" i="15"/>
  <c r="B297" i="15"/>
  <c r="C297" i="15"/>
  <c r="D297" i="15"/>
  <c r="E297" i="15"/>
  <c r="F297" i="15"/>
  <c r="G297" i="15"/>
  <c r="H297" i="15"/>
  <c r="B298" i="15"/>
  <c r="C298" i="15"/>
  <c r="D298" i="15"/>
  <c r="E298" i="15"/>
  <c r="F298" i="15"/>
  <c r="G298" i="15"/>
  <c r="H298" i="15"/>
  <c r="B299" i="15"/>
  <c r="C299" i="15"/>
  <c r="D299" i="15"/>
  <c r="E299" i="15"/>
  <c r="F299" i="15"/>
  <c r="G299" i="15"/>
  <c r="H299" i="15"/>
  <c r="B300" i="15"/>
  <c r="C300" i="15"/>
  <c r="D300" i="15"/>
  <c r="E300" i="15"/>
  <c r="F300" i="15"/>
  <c r="G300" i="15"/>
  <c r="H300" i="15"/>
  <c r="B301" i="15"/>
  <c r="C301" i="15"/>
  <c r="D301" i="15"/>
  <c r="E301" i="15"/>
  <c r="F301" i="15"/>
  <c r="G301" i="15"/>
  <c r="H301" i="15"/>
  <c r="B302" i="15"/>
  <c r="C302" i="15"/>
  <c r="D302" i="15"/>
  <c r="E302" i="15"/>
  <c r="F302" i="15"/>
  <c r="G302" i="15"/>
  <c r="H302" i="15"/>
  <c r="B303" i="15"/>
  <c r="C303" i="15"/>
  <c r="D303" i="15"/>
  <c r="E303" i="15"/>
  <c r="F303" i="15"/>
  <c r="G303" i="15"/>
  <c r="H303" i="15"/>
  <c r="B304" i="15"/>
  <c r="C304" i="15"/>
  <c r="D304" i="15"/>
  <c r="E304" i="15"/>
  <c r="F304" i="15"/>
  <c r="G304" i="15"/>
  <c r="H304" i="15"/>
  <c r="B305" i="15"/>
  <c r="C305" i="15"/>
  <c r="D305" i="15"/>
  <c r="E305" i="15"/>
  <c r="F305" i="15"/>
  <c r="G305" i="15"/>
  <c r="H305" i="15"/>
  <c r="B306" i="15"/>
  <c r="C306" i="15"/>
  <c r="D306" i="15"/>
  <c r="E306" i="15"/>
  <c r="F306" i="15"/>
  <c r="G306" i="15"/>
  <c r="H306" i="15"/>
  <c r="B307" i="15"/>
  <c r="C307" i="15"/>
  <c r="D307" i="15"/>
  <c r="E307" i="15"/>
  <c r="F307" i="15"/>
  <c r="G307" i="15"/>
  <c r="H307" i="15"/>
  <c r="B308" i="15"/>
  <c r="C308" i="15"/>
  <c r="D308" i="15"/>
  <c r="E308" i="15"/>
  <c r="F308" i="15"/>
  <c r="G308" i="15"/>
  <c r="H308" i="15"/>
  <c r="B309" i="15"/>
  <c r="C309" i="15"/>
  <c r="D309" i="15"/>
  <c r="E309" i="15"/>
  <c r="F309" i="15"/>
  <c r="G309" i="15"/>
  <c r="H309" i="15"/>
  <c r="B310" i="15"/>
  <c r="C310" i="15"/>
  <c r="D310" i="15"/>
  <c r="E310" i="15"/>
  <c r="F310" i="15"/>
  <c r="G310" i="15"/>
  <c r="H310" i="15"/>
  <c r="B311" i="15"/>
  <c r="C311" i="15"/>
  <c r="D311" i="15"/>
  <c r="E311" i="15"/>
  <c r="F311" i="15"/>
  <c r="G311" i="15"/>
  <c r="H311" i="15"/>
  <c r="B312" i="15"/>
  <c r="C312" i="15"/>
  <c r="D312" i="15"/>
  <c r="E312" i="15"/>
  <c r="F312" i="15"/>
  <c r="G312" i="15"/>
  <c r="H312" i="15"/>
  <c r="B313" i="15"/>
  <c r="C313" i="15"/>
  <c r="D313" i="15"/>
  <c r="E313" i="15"/>
  <c r="F313" i="15"/>
  <c r="G313" i="15"/>
  <c r="H313" i="15"/>
  <c r="B314" i="15"/>
  <c r="C314" i="15"/>
  <c r="D314" i="15"/>
  <c r="E314" i="15"/>
  <c r="F314" i="15"/>
  <c r="G314" i="15"/>
  <c r="H314" i="15"/>
  <c r="B315" i="15"/>
  <c r="C315" i="15"/>
  <c r="D315" i="15"/>
  <c r="E315" i="15"/>
  <c r="F315" i="15"/>
  <c r="G315" i="15"/>
  <c r="H315" i="15"/>
  <c r="B316" i="15"/>
  <c r="C316" i="15"/>
  <c r="D316" i="15"/>
  <c r="E316" i="15"/>
  <c r="F316" i="15"/>
  <c r="G316" i="15"/>
  <c r="H316" i="15"/>
  <c r="B317" i="15"/>
  <c r="C317" i="15"/>
  <c r="D317" i="15"/>
  <c r="E317" i="15"/>
  <c r="F317" i="15"/>
  <c r="G317" i="15"/>
  <c r="H317" i="15"/>
  <c r="B318" i="15"/>
  <c r="C318" i="15"/>
  <c r="D318" i="15"/>
  <c r="E318" i="15"/>
  <c r="F318" i="15"/>
  <c r="G318" i="15"/>
  <c r="H318" i="15"/>
  <c r="B319" i="15"/>
  <c r="C319" i="15"/>
  <c r="D319" i="15"/>
  <c r="E319" i="15"/>
  <c r="F319" i="15"/>
  <c r="G319" i="15"/>
  <c r="H319" i="15"/>
  <c r="B320" i="15"/>
  <c r="C320" i="15"/>
  <c r="D320" i="15"/>
  <c r="E320" i="15"/>
  <c r="F320" i="15"/>
  <c r="G320" i="15"/>
  <c r="H320" i="15"/>
  <c r="B321" i="15"/>
  <c r="C321" i="15"/>
  <c r="D321" i="15"/>
  <c r="E321" i="15"/>
  <c r="F321" i="15"/>
  <c r="G321" i="15"/>
  <c r="H321" i="15"/>
  <c r="B322" i="15"/>
  <c r="C322" i="15"/>
  <c r="D322" i="15"/>
  <c r="E322" i="15"/>
  <c r="F322" i="15"/>
  <c r="G322" i="15"/>
  <c r="H322" i="15"/>
  <c r="B323" i="15"/>
  <c r="C323" i="15"/>
  <c r="D323" i="15"/>
  <c r="E323" i="15"/>
  <c r="F323" i="15"/>
  <c r="G323" i="15"/>
  <c r="H323" i="15"/>
  <c r="B324" i="15"/>
  <c r="C324" i="15"/>
  <c r="D324" i="15"/>
  <c r="E324" i="15"/>
  <c r="F324" i="15"/>
  <c r="G324" i="15"/>
  <c r="H324" i="15"/>
  <c r="B325" i="15"/>
  <c r="C325" i="15"/>
  <c r="D325" i="15"/>
  <c r="E325" i="15"/>
  <c r="F325" i="15"/>
  <c r="G325" i="15"/>
  <c r="H325" i="15"/>
  <c r="B326" i="15"/>
  <c r="C326" i="15"/>
  <c r="D326" i="15"/>
  <c r="E326" i="15"/>
  <c r="F326" i="15"/>
  <c r="G326" i="15"/>
  <c r="H326" i="15"/>
  <c r="B327" i="15"/>
  <c r="C327" i="15"/>
  <c r="D327" i="15"/>
  <c r="E327" i="15"/>
  <c r="F327" i="15"/>
  <c r="G327" i="15"/>
  <c r="H327" i="15"/>
  <c r="B328" i="15"/>
  <c r="C328" i="15"/>
  <c r="D328" i="15"/>
  <c r="E328" i="15"/>
  <c r="F328" i="15"/>
  <c r="G328" i="15"/>
  <c r="H328" i="15"/>
  <c r="B329" i="15"/>
  <c r="C329" i="15"/>
  <c r="D329" i="15"/>
  <c r="E329" i="15"/>
  <c r="F329" i="15"/>
  <c r="G329" i="15"/>
  <c r="H329" i="15"/>
  <c r="B330" i="15"/>
  <c r="C330" i="15"/>
  <c r="D330" i="15"/>
  <c r="E330" i="15"/>
  <c r="F330" i="15"/>
  <c r="G330" i="15"/>
  <c r="H330" i="15"/>
  <c r="B331" i="15"/>
  <c r="C331" i="15"/>
  <c r="D331" i="15"/>
  <c r="E331" i="15"/>
  <c r="F331" i="15"/>
  <c r="G331" i="15"/>
  <c r="H331" i="15"/>
  <c r="B332" i="15"/>
  <c r="C332" i="15"/>
  <c r="D332" i="15"/>
  <c r="E332" i="15"/>
  <c r="F332" i="15"/>
  <c r="G332" i="15"/>
  <c r="H332" i="15"/>
  <c r="B333" i="15"/>
  <c r="C333" i="15"/>
  <c r="D333" i="15"/>
  <c r="E333" i="15"/>
  <c r="F333" i="15"/>
  <c r="G333" i="15"/>
  <c r="H333" i="15"/>
  <c r="B334" i="15"/>
  <c r="C334" i="15"/>
  <c r="D334" i="15"/>
  <c r="E334" i="15"/>
  <c r="F334" i="15"/>
  <c r="G334" i="15"/>
  <c r="H334" i="15"/>
  <c r="B335" i="15"/>
  <c r="C335" i="15"/>
  <c r="D335" i="15"/>
  <c r="E335" i="15"/>
  <c r="F335" i="15"/>
  <c r="G335" i="15"/>
  <c r="H335" i="15"/>
  <c r="B336" i="15"/>
  <c r="C336" i="15"/>
  <c r="D336" i="15"/>
  <c r="E336" i="15"/>
  <c r="F336" i="15"/>
  <c r="G336" i="15"/>
  <c r="H336" i="15"/>
  <c r="B337" i="15"/>
  <c r="C337" i="15"/>
  <c r="D337" i="15"/>
  <c r="E337" i="15"/>
  <c r="F337" i="15"/>
  <c r="G337" i="15"/>
  <c r="H337" i="15"/>
  <c r="B338" i="15"/>
  <c r="C338" i="15"/>
  <c r="D338" i="15"/>
  <c r="E338" i="15"/>
  <c r="F338" i="15"/>
  <c r="G338" i="15"/>
  <c r="H338" i="15"/>
  <c r="B339" i="15"/>
  <c r="C339" i="15"/>
  <c r="D339" i="15"/>
  <c r="E339" i="15"/>
  <c r="F339" i="15"/>
  <c r="G339" i="15"/>
  <c r="H339" i="15"/>
  <c r="B340" i="15"/>
  <c r="C340" i="15"/>
  <c r="D340" i="15"/>
  <c r="E340" i="15"/>
  <c r="F340" i="15"/>
  <c r="G340" i="15"/>
  <c r="H340" i="15"/>
  <c r="B341" i="15"/>
  <c r="C341" i="15"/>
  <c r="D341" i="15"/>
  <c r="E341" i="15"/>
  <c r="F341" i="15"/>
  <c r="G341" i="15"/>
  <c r="H341" i="15"/>
  <c r="B342" i="15"/>
  <c r="C342" i="15"/>
  <c r="D342" i="15"/>
  <c r="E342" i="15"/>
  <c r="F342" i="15"/>
  <c r="G342" i="15"/>
  <c r="H342" i="15"/>
  <c r="B343" i="15"/>
  <c r="C343" i="15"/>
  <c r="D343" i="15"/>
  <c r="E343" i="15"/>
  <c r="F343" i="15"/>
  <c r="G343" i="15"/>
  <c r="H343" i="15"/>
  <c r="B344" i="15"/>
  <c r="C344" i="15"/>
  <c r="D344" i="15"/>
  <c r="E344" i="15"/>
  <c r="F344" i="15"/>
  <c r="G344" i="15"/>
  <c r="H344" i="15"/>
  <c r="B345" i="15"/>
  <c r="C345" i="15"/>
  <c r="D345" i="15"/>
  <c r="E345" i="15"/>
  <c r="F345" i="15"/>
  <c r="G345" i="15"/>
  <c r="H345" i="15"/>
  <c r="B346" i="15"/>
  <c r="C346" i="15"/>
  <c r="D346" i="15"/>
  <c r="E346" i="15"/>
  <c r="F346" i="15"/>
  <c r="G346" i="15"/>
  <c r="H346" i="15"/>
  <c r="B347" i="15"/>
  <c r="C347" i="15"/>
  <c r="D347" i="15"/>
  <c r="E347" i="15"/>
  <c r="F347" i="15"/>
  <c r="G347" i="15"/>
  <c r="H347" i="15"/>
  <c r="B348" i="15"/>
  <c r="C348" i="15"/>
  <c r="D348" i="15"/>
  <c r="E348" i="15"/>
  <c r="F348" i="15"/>
  <c r="G348" i="15"/>
  <c r="H348" i="15"/>
  <c r="B349" i="15"/>
  <c r="C349" i="15"/>
  <c r="D349" i="15"/>
  <c r="E349" i="15"/>
  <c r="F349" i="15"/>
  <c r="G349" i="15"/>
  <c r="H349" i="15"/>
  <c r="B350" i="15"/>
  <c r="C350" i="15"/>
  <c r="D350" i="15"/>
  <c r="E350" i="15"/>
  <c r="F350" i="15"/>
  <c r="G350" i="15"/>
  <c r="H350" i="15"/>
  <c r="B351" i="15"/>
  <c r="C351" i="15"/>
  <c r="D351" i="15"/>
  <c r="E351" i="15"/>
  <c r="F351" i="15"/>
  <c r="G351" i="15"/>
  <c r="H351" i="15"/>
  <c r="B352" i="15"/>
  <c r="C352" i="15"/>
  <c r="D352" i="15"/>
  <c r="E352" i="15"/>
  <c r="F352" i="15"/>
  <c r="G352" i="15"/>
  <c r="H352" i="15"/>
  <c r="B353" i="15"/>
  <c r="C353" i="15"/>
  <c r="D353" i="15"/>
  <c r="E353" i="15"/>
  <c r="F353" i="15"/>
  <c r="G353" i="15"/>
  <c r="H353" i="15"/>
  <c r="B354" i="15"/>
  <c r="C354" i="15"/>
  <c r="D354" i="15"/>
  <c r="E354" i="15"/>
  <c r="F354" i="15"/>
  <c r="G354" i="15"/>
  <c r="H354" i="15"/>
  <c r="B355" i="15"/>
  <c r="C355" i="15"/>
  <c r="D355" i="15"/>
  <c r="E355" i="15"/>
  <c r="F355" i="15"/>
  <c r="G355" i="15"/>
  <c r="H355" i="15"/>
  <c r="B356" i="15"/>
  <c r="C356" i="15"/>
  <c r="D356" i="15"/>
  <c r="E356" i="15"/>
  <c r="F356" i="15"/>
  <c r="G356" i="15"/>
  <c r="H356" i="15"/>
  <c r="B357" i="15"/>
  <c r="C357" i="15"/>
  <c r="D357" i="15"/>
  <c r="E357" i="15"/>
  <c r="F357" i="15"/>
  <c r="G357" i="15"/>
  <c r="H357" i="15"/>
  <c r="B358" i="15"/>
  <c r="C358" i="15"/>
  <c r="D358" i="15"/>
  <c r="E358" i="15"/>
  <c r="F358" i="15"/>
  <c r="G358" i="15"/>
  <c r="H358" i="15"/>
  <c r="B359" i="15"/>
  <c r="C359" i="15"/>
  <c r="D359" i="15"/>
  <c r="E359" i="15"/>
  <c r="F359" i="15"/>
  <c r="G359" i="15"/>
  <c r="H359" i="15"/>
  <c r="B360" i="15"/>
  <c r="C360" i="15"/>
  <c r="D360" i="15"/>
  <c r="E360" i="15"/>
  <c r="F360" i="15"/>
  <c r="G360" i="15"/>
  <c r="H360" i="15"/>
  <c r="B361" i="15"/>
  <c r="C361" i="15"/>
  <c r="D361" i="15"/>
  <c r="E361" i="15"/>
  <c r="F361" i="15"/>
  <c r="G361" i="15"/>
  <c r="H361" i="15"/>
  <c r="B362" i="15"/>
  <c r="C362" i="15"/>
  <c r="D362" i="15"/>
  <c r="E362" i="15"/>
  <c r="F362" i="15"/>
  <c r="G362" i="15"/>
  <c r="H362" i="15"/>
  <c r="B363" i="15"/>
  <c r="C363" i="15"/>
  <c r="D363" i="15"/>
  <c r="E363" i="15"/>
  <c r="F363" i="15"/>
  <c r="G363" i="15"/>
  <c r="H363" i="15"/>
  <c r="B364" i="15"/>
  <c r="C364" i="15"/>
  <c r="D364" i="15"/>
  <c r="E364" i="15"/>
  <c r="F364" i="15"/>
  <c r="G364" i="15"/>
  <c r="H364" i="15"/>
  <c r="B365" i="15"/>
  <c r="C365" i="15"/>
  <c r="D365" i="15"/>
  <c r="E365" i="15"/>
  <c r="F365" i="15"/>
  <c r="G365" i="15"/>
  <c r="H365" i="15"/>
  <c r="B366" i="15"/>
  <c r="C366" i="15"/>
  <c r="D366" i="15"/>
  <c r="E366" i="15"/>
  <c r="F366" i="15"/>
  <c r="G366" i="15"/>
  <c r="H366" i="15"/>
  <c r="B367" i="15"/>
  <c r="C367" i="15"/>
  <c r="D367" i="15"/>
  <c r="E367" i="15"/>
  <c r="F367" i="15"/>
  <c r="G367" i="15"/>
  <c r="H367" i="15"/>
  <c r="B368" i="15"/>
  <c r="C368" i="15"/>
  <c r="D368" i="15"/>
  <c r="E368" i="15"/>
  <c r="F368" i="15"/>
  <c r="G368" i="15"/>
  <c r="H368" i="15"/>
  <c r="B369" i="15"/>
  <c r="C369" i="15"/>
  <c r="D369" i="15"/>
  <c r="E369" i="15"/>
  <c r="F369" i="15"/>
  <c r="G369" i="15"/>
  <c r="H369" i="15"/>
  <c r="B370" i="15"/>
  <c r="C370" i="15"/>
  <c r="D370" i="15"/>
  <c r="E370" i="15"/>
  <c r="F370" i="15"/>
  <c r="G370" i="15"/>
  <c r="H370" i="15"/>
  <c r="B371" i="15"/>
  <c r="C371" i="15"/>
  <c r="D371" i="15"/>
  <c r="E371" i="15"/>
  <c r="F371" i="15"/>
  <c r="G371" i="15"/>
  <c r="H371" i="15"/>
  <c r="B372" i="15"/>
  <c r="C372" i="15"/>
  <c r="D372" i="15"/>
  <c r="E372" i="15"/>
  <c r="F372" i="15"/>
  <c r="G372" i="15"/>
  <c r="H372" i="15"/>
  <c r="B373" i="15"/>
  <c r="C373" i="15"/>
  <c r="D373" i="15"/>
  <c r="E373" i="15"/>
  <c r="F373" i="15"/>
  <c r="G373" i="15"/>
  <c r="H373" i="15"/>
  <c r="B374" i="15"/>
  <c r="C374" i="15"/>
  <c r="D374" i="15"/>
  <c r="E374" i="15"/>
  <c r="F374" i="15"/>
  <c r="G374" i="15"/>
  <c r="H374" i="15"/>
  <c r="B375" i="15"/>
  <c r="C375" i="15"/>
  <c r="D375" i="15"/>
  <c r="E375" i="15"/>
  <c r="F375" i="15"/>
  <c r="G375" i="15"/>
  <c r="H375" i="15"/>
  <c r="B376" i="15"/>
  <c r="C376" i="15"/>
  <c r="D376" i="15"/>
  <c r="E376" i="15"/>
  <c r="F376" i="15"/>
  <c r="G376" i="15"/>
  <c r="H376" i="15"/>
  <c r="B377" i="15"/>
  <c r="C377" i="15"/>
  <c r="D377" i="15"/>
  <c r="E377" i="15"/>
  <c r="F377" i="15"/>
  <c r="G377" i="15"/>
  <c r="H377" i="15"/>
  <c r="B378" i="15"/>
  <c r="C378" i="15"/>
  <c r="D378" i="15"/>
  <c r="E378" i="15"/>
  <c r="F378" i="15"/>
  <c r="G378" i="15"/>
  <c r="H378" i="15"/>
  <c r="B379" i="15"/>
  <c r="C379" i="15"/>
  <c r="D379" i="15"/>
  <c r="E379" i="15"/>
  <c r="F379" i="15"/>
  <c r="G379" i="15"/>
  <c r="H379" i="15"/>
  <c r="B380" i="15"/>
  <c r="C380" i="15"/>
  <c r="D380" i="15"/>
  <c r="E380" i="15"/>
  <c r="F380" i="15"/>
  <c r="G380" i="15"/>
  <c r="H380" i="15"/>
  <c r="B381" i="15"/>
  <c r="C381" i="15"/>
  <c r="D381" i="15"/>
  <c r="E381" i="15"/>
  <c r="F381" i="15"/>
  <c r="G381" i="15"/>
  <c r="H381" i="15"/>
  <c r="B382" i="15"/>
  <c r="C382" i="15"/>
  <c r="D382" i="15"/>
  <c r="E382" i="15"/>
  <c r="F382" i="15"/>
  <c r="G382" i="15"/>
  <c r="H382" i="15"/>
  <c r="B383" i="15"/>
  <c r="C383" i="15"/>
  <c r="D383" i="15"/>
  <c r="E383" i="15"/>
  <c r="F383" i="15"/>
  <c r="G383" i="15"/>
  <c r="H383" i="15"/>
  <c r="B384" i="15"/>
  <c r="C384" i="15"/>
  <c r="D384" i="15"/>
  <c r="E384" i="15"/>
  <c r="F384" i="15"/>
  <c r="G384" i="15"/>
  <c r="H384" i="15"/>
  <c r="B385" i="15"/>
  <c r="C385" i="15"/>
  <c r="D385" i="15"/>
  <c r="E385" i="15"/>
  <c r="F385" i="15"/>
  <c r="G385" i="15"/>
  <c r="H385" i="15"/>
  <c r="B386" i="15"/>
  <c r="C386" i="15"/>
  <c r="D386" i="15"/>
  <c r="E386" i="15"/>
  <c r="F386" i="15"/>
  <c r="G386" i="15"/>
  <c r="H386" i="15"/>
  <c r="B387" i="15"/>
  <c r="C387" i="15"/>
  <c r="D387" i="15"/>
  <c r="E387" i="15"/>
  <c r="F387" i="15"/>
  <c r="G387" i="15"/>
  <c r="H387" i="15"/>
  <c r="B388" i="15"/>
  <c r="C388" i="15"/>
  <c r="D388" i="15"/>
  <c r="E388" i="15"/>
  <c r="F388" i="15"/>
  <c r="G388" i="15"/>
  <c r="H388" i="15"/>
  <c r="B389" i="15"/>
  <c r="C389" i="15"/>
  <c r="D389" i="15"/>
  <c r="E389" i="15"/>
  <c r="F389" i="15"/>
  <c r="G389" i="15"/>
  <c r="H389" i="15"/>
  <c r="B390" i="15"/>
  <c r="C390" i="15"/>
  <c r="D390" i="15"/>
  <c r="E390" i="15"/>
  <c r="F390" i="15"/>
  <c r="G390" i="15"/>
  <c r="H390" i="15"/>
  <c r="B391" i="15"/>
  <c r="C391" i="15"/>
  <c r="D391" i="15"/>
  <c r="E391" i="15"/>
  <c r="F391" i="15"/>
  <c r="G391" i="15"/>
  <c r="H391" i="15"/>
  <c r="B392" i="15"/>
  <c r="C392" i="15"/>
  <c r="D392" i="15"/>
  <c r="E392" i="15"/>
  <c r="F392" i="15"/>
  <c r="G392" i="15"/>
  <c r="H392" i="15"/>
  <c r="B393" i="15"/>
  <c r="C393" i="15"/>
  <c r="D393" i="15"/>
  <c r="E393" i="15"/>
  <c r="F393" i="15"/>
  <c r="G393" i="15"/>
  <c r="H393" i="15"/>
  <c r="B394" i="15"/>
  <c r="C394" i="15"/>
  <c r="D394" i="15"/>
  <c r="E394" i="15"/>
  <c r="F394" i="15"/>
  <c r="G394" i="15"/>
  <c r="H394" i="15"/>
  <c r="B395" i="15"/>
  <c r="C395" i="15"/>
  <c r="D395" i="15"/>
  <c r="E395" i="15"/>
  <c r="F395" i="15"/>
  <c r="G395" i="15"/>
  <c r="H395" i="15"/>
  <c r="B396" i="15"/>
  <c r="C396" i="15"/>
  <c r="D396" i="15"/>
  <c r="E396" i="15"/>
  <c r="F396" i="15"/>
  <c r="G396" i="15"/>
  <c r="H396" i="15"/>
  <c r="B397" i="15"/>
  <c r="C397" i="15"/>
  <c r="D397" i="15"/>
  <c r="E397" i="15"/>
  <c r="F397" i="15"/>
  <c r="G397" i="15"/>
  <c r="H397" i="15"/>
  <c r="B398" i="15"/>
  <c r="C398" i="15"/>
  <c r="D398" i="15"/>
  <c r="E398" i="15"/>
  <c r="F398" i="15"/>
  <c r="G398" i="15"/>
  <c r="H398" i="15"/>
  <c r="B399" i="15"/>
  <c r="C399" i="15"/>
  <c r="D399" i="15"/>
  <c r="E399" i="15"/>
  <c r="F399" i="15"/>
  <c r="G399" i="15"/>
  <c r="H399" i="15"/>
  <c r="B400" i="15"/>
  <c r="C400" i="15"/>
  <c r="D400" i="15"/>
  <c r="E400" i="15"/>
  <c r="F400" i="15"/>
  <c r="G400" i="15"/>
  <c r="H400" i="15"/>
  <c r="B401" i="15"/>
  <c r="C401" i="15"/>
  <c r="D401" i="15"/>
  <c r="E401" i="15"/>
  <c r="F401" i="15"/>
  <c r="G401" i="15"/>
  <c r="H401" i="15"/>
  <c r="B402" i="15"/>
  <c r="C402" i="15"/>
  <c r="D402" i="15"/>
  <c r="E402" i="15"/>
  <c r="F402" i="15"/>
  <c r="G402" i="15"/>
  <c r="H402" i="15"/>
  <c r="B403" i="15"/>
  <c r="C403" i="15"/>
  <c r="D403" i="15"/>
  <c r="E403" i="15"/>
  <c r="F403" i="15"/>
  <c r="G403" i="15"/>
  <c r="H403" i="15"/>
  <c r="B404" i="15"/>
  <c r="C404" i="15"/>
  <c r="D404" i="15"/>
  <c r="E404" i="15"/>
  <c r="F404" i="15"/>
  <c r="G404" i="15"/>
  <c r="H404" i="15"/>
  <c r="B405" i="15"/>
  <c r="C405" i="15"/>
  <c r="D405" i="15"/>
  <c r="E405" i="15"/>
  <c r="F405" i="15"/>
  <c r="G405" i="15"/>
  <c r="H405" i="15"/>
  <c r="B406" i="15"/>
  <c r="C406" i="15"/>
  <c r="D406" i="15"/>
  <c r="E406" i="15"/>
  <c r="F406" i="15"/>
  <c r="G406" i="15"/>
  <c r="H406" i="15"/>
  <c r="B407" i="15"/>
  <c r="C407" i="15"/>
  <c r="D407" i="15"/>
  <c r="E407" i="15"/>
  <c r="F407" i="15"/>
  <c r="G407" i="15"/>
  <c r="H407" i="15"/>
  <c r="B408" i="15"/>
  <c r="C408" i="15"/>
  <c r="D408" i="15"/>
  <c r="E408" i="15"/>
  <c r="F408" i="15"/>
  <c r="G408" i="15"/>
  <c r="H408" i="15"/>
  <c r="B409" i="15"/>
  <c r="C409" i="15"/>
  <c r="D409" i="15"/>
  <c r="E409" i="15"/>
  <c r="F409" i="15"/>
  <c r="G409" i="15"/>
  <c r="H409" i="15"/>
  <c r="B410" i="15"/>
  <c r="C410" i="15"/>
  <c r="D410" i="15"/>
  <c r="E410" i="15"/>
  <c r="F410" i="15"/>
  <c r="H410" i="15"/>
  <c r="B411" i="15"/>
  <c r="C411" i="15"/>
  <c r="D411" i="15"/>
  <c r="E411" i="15"/>
  <c r="F411" i="15"/>
  <c r="G411" i="15"/>
  <c r="H411" i="15"/>
  <c r="B412" i="15"/>
  <c r="C412" i="15"/>
  <c r="D412" i="15"/>
  <c r="E412" i="15"/>
  <c r="F412" i="15"/>
  <c r="G412" i="15"/>
  <c r="H412" i="15"/>
  <c r="B413" i="15"/>
  <c r="C413" i="15"/>
  <c r="D413" i="15"/>
  <c r="E413" i="15"/>
  <c r="F413" i="15"/>
  <c r="G413" i="15"/>
  <c r="H413" i="15"/>
  <c r="B414" i="15"/>
  <c r="C414" i="15"/>
  <c r="D414" i="15"/>
  <c r="E414" i="15"/>
  <c r="F414" i="15"/>
  <c r="G414" i="15"/>
  <c r="H414" i="15"/>
  <c r="B415" i="15"/>
  <c r="C415" i="15"/>
  <c r="D415" i="15"/>
  <c r="E415" i="15"/>
  <c r="F415" i="15"/>
  <c r="G415" i="15"/>
  <c r="H415" i="15"/>
  <c r="B416" i="15"/>
  <c r="C416" i="15"/>
  <c r="D416" i="15"/>
  <c r="E416" i="15"/>
  <c r="F416" i="15"/>
  <c r="G416" i="15"/>
  <c r="H416" i="15"/>
  <c r="B417" i="15"/>
  <c r="C417" i="15"/>
  <c r="D417" i="15"/>
  <c r="E417" i="15"/>
  <c r="F417" i="15"/>
  <c r="G417" i="15"/>
  <c r="H417" i="15"/>
  <c r="B418" i="15"/>
  <c r="C418" i="15"/>
  <c r="D418" i="15"/>
  <c r="E418" i="15"/>
  <c r="F418" i="15"/>
  <c r="G418" i="15"/>
  <c r="H418" i="15"/>
  <c r="B419" i="15"/>
  <c r="C419" i="15"/>
  <c r="D419" i="15"/>
  <c r="E419" i="15"/>
  <c r="F419" i="15"/>
  <c r="G419" i="15"/>
  <c r="H419" i="15"/>
  <c r="B420" i="15"/>
  <c r="C420" i="15"/>
  <c r="D420" i="15"/>
  <c r="E420" i="15"/>
  <c r="F420" i="15"/>
  <c r="G420" i="15"/>
  <c r="H420" i="15"/>
  <c r="B421" i="15"/>
  <c r="C421" i="15"/>
  <c r="D421" i="15"/>
  <c r="E421" i="15"/>
  <c r="F421" i="15"/>
  <c r="G421" i="15"/>
  <c r="H421" i="15"/>
  <c r="B422" i="15"/>
  <c r="C422" i="15"/>
  <c r="D422" i="15"/>
  <c r="E422" i="15"/>
  <c r="F422" i="15"/>
  <c r="G422" i="15"/>
  <c r="H422" i="15"/>
  <c r="B423" i="15"/>
  <c r="C423" i="15"/>
  <c r="D423" i="15"/>
  <c r="E423" i="15"/>
  <c r="F423" i="15"/>
  <c r="G423" i="15"/>
  <c r="H423" i="15"/>
  <c r="B424" i="15"/>
  <c r="C424" i="15"/>
  <c r="D424" i="15"/>
  <c r="E424" i="15"/>
  <c r="F424" i="15"/>
  <c r="G424" i="15"/>
  <c r="H424" i="15"/>
  <c r="B425" i="15"/>
  <c r="C425" i="15"/>
  <c r="D425" i="15"/>
  <c r="E425" i="15"/>
  <c r="F425" i="15"/>
  <c r="G425" i="15"/>
  <c r="H425" i="15"/>
  <c r="B426" i="15"/>
  <c r="C426" i="15"/>
  <c r="D426" i="15"/>
  <c r="E426" i="15"/>
  <c r="F426" i="15"/>
  <c r="G426" i="15"/>
  <c r="H426" i="15"/>
  <c r="B427" i="15"/>
  <c r="C427" i="15"/>
  <c r="D427" i="15"/>
  <c r="E427" i="15"/>
  <c r="F427" i="15"/>
  <c r="G427" i="15"/>
  <c r="H427" i="15"/>
  <c r="B428" i="15"/>
  <c r="C428" i="15"/>
  <c r="D428" i="15"/>
  <c r="E428" i="15"/>
  <c r="F428" i="15"/>
  <c r="G428" i="15"/>
  <c r="H428" i="15"/>
  <c r="B429" i="15"/>
  <c r="C429" i="15"/>
  <c r="D429" i="15"/>
  <c r="E429" i="15"/>
  <c r="F429" i="15"/>
  <c r="G429" i="15"/>
  <c r="H429" i="15"/>
  <c r="B430" i="15"/>
  <c r="C430" i="15"/>
  <c r="D430" i="15"/>
  <c r="E430" i="15"/>
  <c r="F430" i="15"/>
  <c r="G430" i="15"/>
  <c r="H430" i="15"/>
  <c r="B431" i="15"/>
  <c r="C431" i="15"/>
  <c r="D431" i="15"/>
  <c r="E431" i="15"/>
  <c r="F431" i="15"/>
  <c r="G431" i="15"/>
  <c r="H431" i="15"/>
  <c r="B432" i="15"/>
  <c r="C432" i="15"/>
  <c r="D432" i="15"/>
  <c r="E432" i="15"/>
  <c r="F432" i="15"/>
  <c r="G432" i="15"/>
  <c r="H432" i="15"/>
  <c r="B433" i="15"/>
  <c r="C433" i="15"/>
  <c r="D433" i="15"/>
  <c r="E433" i="15"/>
  <c r="F433" i="15"/>
  <c r="G433" i="15"/>
  <c r="H433" i="15"/>
  <c r="B434" i="15"/>
  <c r="C434" i="15"/>
  <c r="D434" i="15"/>
  <c r="E434" i="15"/>
  <c r="F434" i="15"/>
  <c r="G434" i="15"/>
  <c r="H434" i="15"/>
  <c r="B435" i="15"/>
  <c r="C435" i="15"/>
  <c r="D435" i="15"/>
  <c r="E435" i="15"/>
  <c r="F435" i="15"/>
  <c r="G435" i="15"/>
  <c r="H435" i="15"/>
  <c r="B436" i="15"/>
  <c r="C436" i="15"/>
  <c r="D436" i="15"/>
  <c r="E436" i="15"/>
  <c r="F436" i="15"/>
  <c r="G436" i="15"/>
  <c r="H436" i="15"/>
  <c r="B437" i="15"/>
  <c r="C437" i="15"/>
  <c r="D437" i="15"/>
  <c r="E437" i="15"/>
  <c r="F437" i="15"/>
  <c r="G437" i="15"/>
  <c r="H437" i="15"/>
  <c r="B438" i="15"/>
  <c r="C438" i="15"/>
  <c r="D438" i="15"/>
  <c r="E438" i="15"/>
  <c r="F438" i="15"/>
  <c r="G438" i="15"/>
  <c r="H438" i="15"/>
  <c r="B439" i="15"/>
  <c r="C439" i="15"/>
  <c r="D439" i="15"/>
  <c r="E439" i="15"/>
  <c r="F439" i="15"/>
  <c r="G439" i="15"/>
  <c r="H439" i="15"/>
  <c r="B440" i="15"/>
  <c r="C440" i="15"/>
  <c r="D440" i="15"/>
  <c r="E440" i="15"/>
  <c r="F440" i="15"/>
  <c r="G440" i="15"/>
  <c r="H440" i="15"/>
  <c r="B441" i="15"/>
  <c r="C441" i="15"/>
  <c r="D441" i="15"/>
  <c r="E441" i="15"/>
  <c r="F441" i="15"/>
  <c r="G441" i="15"/>
  <c r="H441" i="15"/>
  <c r="B442" i="15"/>
  <c r="C442" i="15"/>
  <c r="D442" i="15"/>
  <c r="E442" i="15"/>
  <c r="F442" i="15"/>
  <c r="G442" i="15"/>
  <c r="H442" i="15"/>
  <c r="B443" i="15"/>
  <c r="C443" i="15"/>
  <c r="D443" i="15"/>
  <c r="E443" i="15"/>
  <c r="F443" i="15"/>
  <c r="G443" i="15"/>
  <c r="H443" i="15"/>
  <c r="B444" i="15"/>
  <c r="C444" i="15"/>
  <c r="D444" i="15"/>
  <c r="E444" i="15"/>
  <c r="F444" i="15"/>
  <c r="G444" i="15"/>
  <c r="H444" i="15"/>
  <c r="B445" i="15"/>
  <c r="C445" i="15"/>
  <c r="D445" i="15"/>
  <c r="E445" i="15"/>
  <c r="F445" i="15"/>
  <c r="G445" i="15"/>
  <c r="H445" i="15"/>
  <c r="B446" i="15"/>
  <c r="C446" i="15"/>
  <c r="D446" i="15"/>
  <c r="E446" i="15"/>
  <c r="F446" i="15"/>
  <c r="G446" i="15"/>
  <c r="H446" i="15"/>
  <c r="B447" i="15"/>
  <c r="C447" i="15"/>
  <c r="D447" i="15"/>
  <c r="E447" i="15"/>
  <c r="F447" i="15"/>
  <c r="G447" i="15"/>
  <c r="H447" i="15"/>
  <c r="B448" i="15"/>
  <c r="C448" i="15"/>
  <c r="D448" i="15"/>
  <c r="E448" i="15"/>
  <c r="F448" i="15"/>
  <c r="G448" i="15"/>
  <c r="H448" i="15"/>
  <c r="B449" i="15"/>
  <c r="C449" i="15"/>
  <c r="D449" i="15"/>
  <c r="E449" i="15"/>
  <c r="F449" i="15"/>
  <c r="G449" i="15"/>
  <c r="H449" i="15"/>
  <c r="B450" i="15"/>
  <c r="C450" i="15"/>
  <c r="D450" i="15"/>
  <c r="E450" i="15"/>
  <c r="F450" i="15"/>
  <c r="G450" i="15"/>
  <c r="H450" i="15"/>
  <c r="B451" i="15"/>
  <c r="C451" i="15"/>
  <c r="D451" i="15"/>
  <c r="E451" i="15"/>
  <c r="F451" i="15"/>
  <c r="G451" i="15"/>
  <c r="H451" i="15"/>
  <c r="B452" i="15"/>
  <c r="C452" i="15"/>
  <c r="D452" i="15"/>
  <c r="E452" i="15"/>
  <c r="F452" i="15"/>
  <c r="G452" i="15"/>
  <c r="H452" i="15"/>
  <c r="B453" i="15"/>
  <c r="C453" i="15"/>
  <c r="D453" i="15"/>
  <c r="E453" i="15"/>
  <c r="F453" i="15"/>
  <c r="G453" i="15"/>
  <c r="H453" i="15"/>
  <c r="B454" i="15"/>
  <c r="C454" i="15"/>
  <c r="D454" i="15"/>
  <c r="E454" i="15"/>
  <c r="F454" i="15"/>
  <c r="G454" i="15"/>
  <c r="H454" i="15"/>
  <c r="B455" i="15"/>
  <c r="C455" i="15"/>
  <c r="D455" i="15"/>
  <c r="E455" i="15"/>
  <c r="F455" i="15"/>
  <c r="G455" i="15"/>
  <c r="H455" i="15"/>
  <c r="B456" i="15"/>
  <c r="C456" i="15"/>
  <c r="D456" i="15"/>
  <c r="E456" i="15"/>
  <c r="F456" i="15"/>
  <c r="G456" i="15"/>
  <c r="H456" i="15"/>
  <c r="B457" i="15"/>
  <c r="C457" i="15"/>
  <c r="D457" i="15"/>
  <c r="E457" i="15"/>
  <c r="F457" i="15"/>
  <c r="G457" i="15"/>
  <c r="H457" i="15"/>
  <c r="B458" i="15"/>
  <c r="C458" i="15"/>
  <c r="D458" i="15"/>
  <c r="E458" i="15"/>
  <c r="F458" i="15"/>
  <c r="G458" i="15"/>
  <c r="H458" i="15"/>
  <c r="B459" i="15"/>
  <c r="C459" i="15"/>
  <c r="D459" i="15"/>
  <c r="E459" i="15"/>
  <c r="F459" i="15"/>
  <c r="G459" i="15"/>
  <c r="H459" i="15"/>
  <c r="B460" i="15"/>
  <c r="C460" i="15"/>
  <c r="D460" i="15"/>
  <c r="E460" i="15"/>
  <c r="F460" i="15"/>
  <c r="G460" i="15"/>
  <c r="H460" i="15"/>
  <c r="B461" i="15"/>
  <c r="C461" i="15"/>
  <c r="D461" i="15"/>
  <c r="E461" i="15"/>
  <c r="F461" i="15"/>
  <c r="G461" i="15"/>
  <c r="H461" i="15"/>
  <c r="B462" i="15"/>
  <c r="C462" i="15"/>
  <c r="D462" i="15"/>
  <c r="E462" i="15"/>
  <c r="F462" i="15"/>
  <c r="G462" i="15"/>
  <c r="H462" i="15"/>
  <c r="B463" i="15"/>
  <c r="C463" i="15"/>
  <c r="D463" i="15"/>
  <c r="E463" i="15"/>
  <c r="F463" i="15"/>
  <c r="G463" i="15"/>
  <c r="H463" i="15"/>
  <c r="B464" i="15"/>
  <c r="C464" i="15"/>
  <c r="D464" i="15"/>
  <c r="E464" i="15"/>
  <c r="F464" i="15"/>
  <c r="G464" i="15"/>
  <c r="H464" i="15"/>
  <c r="B465" i="15"/>
  <c r="C465" i="15"/>
  <c r="D465" i="15"/>
  <c r="E465" i="15"/>
  <c r="F465" i="15"/>
  <c r="G465" i="15"/>
  <c r="H465" i="15"/>
  <c r="B466" i="15"/>
  <c r="C466" i="15"/>
  <c r="D466" i="15"/>
  <c r="E466" i="15"/>
  <c r="F466" i="15"/>
  <c r="G466" i="15"/>
  <c r="H466" i="15"/>
  <c r="B467" i="15"/>
  <c r="C467" i="15"/>
  <c r="D467" i="15"/>
  <c r="E467" i="15"/>
  <c r="F467" i="15"/>
  <c r="G467" i="15"/>
  <c r="H467" i="15"/>
  <c r="B468" i="15"/>
  <c r="C468" i="15"/>
  <c r="D468" i="15"/>
  <c r="E468" i="15"/>
  <c r="F468" i="15"/>
  <c r="G468" i="15"/>
  <c r="H468" i="15"/>
  <c r="B469" i="15"/>
  <c r="C469" i="15"/>
  <c r="D469" i="15"/>
  <c r="E469" i="15"/>
  <c r="F469" i="15"/>
  <c r="G469" i="15"/>
  <c r="H469" i="15"/>
  <c r="B470" i="15"/>
  <c r="C470" i="15"/>
  <c r="D470" i="15"/>
  <c r="E470" i="15"/>
  <c r="F470" i="15"/>
  <c r="G470" i="15"/>
  <c r="H470" i="15"/>
  <c r="B471" i="15"/>
  <c r="C471" i="15"/>
  <c r="D471" i="15"/>
  <c r="E471" i="15"/>
  <c r="F471" i="15"/>
  <c r="G471" i="15"/>
  <c r="H471" i="15"/>
  <c r="B472" i="15"/>
  <c r="C472" i="15"/>
  <c r="D472" i="15"/>
  <c r="E472" i="15"/>
  <c r="F472" i="15"/>
  <c r="G472" i="15"/>
  <c r="H472" i="15"/>
  <c r="B473" i="15"/>
  <c r="C473" i="15"/>
  <c r="D473" i="15"/>
  <c r="E473" i="15"/>
  <c r="F473" i="15"/>
  <c r="G473" i="15"/>
  <c r="H473" i="15"/>
  <c r="B474" i="15"/>
  <c r="C474" i="15"/>
  <c r="D474" i="15"/>
  <c r="E474" i="15"/>
  <c r="F474" i="15"/>
  <c r="G474" i="15"/>
  <c r="H474" i="15"/>
  <c r="B475" i="15"/>
  <c r="C475" i="15"/>
  <c r="D475" i="15"/>
  <c r="E475" i="15"/>
  <c r="F475" i="15"/>
  <c r="G475" i="15"/>
  <c r="H475" i="15"/>
  <c r="B476" i="15"/>
  <c r="C476" i="15"/>
  <c r="D476" i="15"/>
  <c r="E476" i="15"/>
  <c r="F476" i="15"/>
  <c r="G476" i="15"/>
  <c r="H476" i="15"/>
  <c r="B477" i="15"/>
  <c r="C477" i="15"/>
  <c r="D477" i="15"/>
  <c r="E477" i="15"/>
  <c r="F477" i="15"/>
  <c r="G477" i="15"/>
  <c r="H477" i="15"/>
  <c r="B478" i="15"/>
  <c r="C478" i="15"/>
  <c r="D478" i="15"/>
  <c r="E478" i="15"/>
  <c r="F478" i="15"/>
  <c r="G478" i="15"/>
  <c r="H478" i="15"/>
  <c r="B479" i="15"/>
  <c r="C479" i="15"/>
  <c r="D479" i="15"/>
  <c r="E479" i="15"/>
  <c r="F479" i="15"/>
  <c r="G479" i="15"/>
  <c r="H479" i="15"/>
  <c r="B480" i="15"/>
  <c r="C480" i="15"/>
  <c r="D480" i="15"/>
  <c r="E480" i="15"/>
  <c r="F480" i="15"/>
  <c r="G480" i="15"/>
  <c r="H480" i="15"/>
  <c r="B481" i="15"/>
  <c r="C481" i="15"/>
  <c r="D481" i="15"/>
  <c r="E481" i="15"/>
  <c r="F481" i="15"/>
  <c r="G481" i="15"/>
  <c r="H481" i="15"/>
  <c r="B482" i="15"/>
  <c r="C482" i="15"/>
  <c r="D482" i="15"/>
  <c r="E482" i="15"/>
  <c r="F482" i="15"/>
  <c r="G482" i="15"/>
  <c r="H482" i="15"/>
  <c r="B483" i="15"/>
  <c r="C483" i="15"/>
  <c r="D483" i="15"/>
  <c r="E483" i="15"/>
  <c r="F483" i="15"/>
  <c r="G483" i="15"/>
  <c r="H483" i="15"/>
  <c r="B484" i="15"/>
  <c r="C484" i="15"/>
  <c r="D484" i="15"/>
  <c r="E484" i="15"/>
  <c r="F484" i="15"/>
  <c r="G484" i="15"/>
  <c r="H484" i="15"/>
  <c r="B485" i="15"/>
  <c r="C485" i="15"/>
  <c r="D485" i="15"/>
  <c r="E485" i="15"/>
  <c r="F485" i="15"/>
  <c r="G485" i="15"/>
  <c r="H485" i="15"/>
  <c r="B486" i="15"/>
  <c r="C486" i="15"/>
  <c r="D486" i="15"/>
  <c r="E486" i="15"/>
  <c r="F486" i="15"/>
  <c r="G486" i="15"/>
  <c r="H486" i="15"/>
  <c r="B487" i="15"/>
  <c r="C487" i="15"/>
  <c r="D487" i="15"/>
  <c r="E487" i="15"/>
  <c r="F487" i="15"/>
  <c r="G487" i="15"/>
  <c r="H487" i="15"/>
  <c r="B488" i="15"/>
  <c r="C488" i="15"/>
  <c r="D488" i="15"/>
  <c r="E488" i="15"/>
  <c r="F488" i="15"/>
  <c r="G488" i="15"/>
  <c r="H488" i="15"/>
  <c r="B489" i="15"/>
  <c r="C489" i="15"/>
  <c r="D489" i="15"/>
  <c r="E489" i="15"/>
  <c r="F489" i="15"/>
  <c r="G489" i="15"/>
  <c r="H489" i="15"/>
  <c r="B490" i="15"/>
  <c r="C490" i="15"/>
  <c r="D490" i="15"/>
  <c r="E490" i="15"/>
  <c r="F490" i="15"/>
  <c r="G490" i="15"/>
  <c r="H490" i="15"/>
  <c r="B491" i="15"/>
  <c r="C491" i="15"/>
  <c r="D491" i="15"/>
  <c r="E491" i="15"/>
  <c r="F491" i="15"/>
  <c r="G491" i="15"/>
  <c r="H491" i="15"/>
  <c r="B492" i="15"/>
  <c r="C492" i="15"/>
  <c r="D492" i="15"/>
  <c r="E492" i="15"/>
  <c r="F492" i="15"/>
  <c r="G492" i="15"/>
  <c r="H492" i="15"/>
  <c r="B493" i="15"/>
  <c r="C493" i="15"/>
  <c r="D493" i="15"/>
  <c r="E493" i="15"/>
  <c r="F493" i="15"/>
  <c r="G493" i="15"/>
  <c r="H493" i="15"/>
  <c r="B494" i="15"/>
  <c r="C494" i="15"/>
  <c r="D494" i="15"/>
  <c r="E494" i="15"/>
  <c r="F494" i="15"/>
  <c r="G494" i="15"/>
  <c r="H494" i="15"/>
  <c r="B495" i="15"/>
  <c r="C495" i="15"/>
  <c r="D495" i="15"/>
  <c r="E495" i="15"/>
  <c r="F495" i="15"/>
  <c r="G495" i="15"/>
  <c r="H495" i="15"/>
  <c r="B496" i="15"/>
  <c r="C496" i="15"/>
  <c r="D496" i="15"/>
  <c r="E496" i="15"/>
  <c r="F496" i="15"/>
  <c r="G496" i="15"/>
  <c r="H496" i="15"/>
  <c r="B497" i="15"/>
  <c r="C497" i="15"/>
  <c r="D497" i="15"/>
  <c r="E497" i="15"/>
  <c r="F497" i="15"/>
  <c r="G497" i="15"/>
  <c r="H497" i="15"/>
  <c r="B498" i="15"/>
  <c r="C498" i="15"/>
  <c r="D498" i="15"/>
  <c r="E498" i="15"/>
  <c r="F498" i="15"/>
  <c r="G498" i="15"/>
  <c r="H498" i="15"/>
  <c r="B499" i="15"/>
  <c r="C499" i="15"/>
  <c r="D499" i="15"/>
  <c r="E499" i="15"/>
  <c r="F499" i="15"/>
  <c r="G499" i="15"/>
  <c r="H499" i="15"/>
  <c r="B500" i="15"/>
  <c r="C500" i="15"/>
  <c r="D500" i="15"/>
  <c r="E500" i="15"/>
  <c r="F500" i="15"/>
  <c r="G500" i="15"/>
  <c r="H500" i="15"/>
  <c r="B501" i="15"/>
  <c r="C501" i="15"/>
  <c r="D501" i="15"/>
  <c r="E501" i="15"/>
  <c r="F501" i="15"/>
  <c r="G501" i="15"/>
  <c r="H501" i="15"/>
  <c r="B502" i="15"/>
  <c r="C502" i="15"/>
  <c r="D502" i="15"/>
  <c r="E502" i="15"/>
  <c r="F502" i="15"/>
  <c r="G502" i="15"/>
  <c r="H502" i="15"/>
  <c r="B503" i="15"/>
  <c r="C503" i="15"/>
  <c r="D503" i="15"/>
  <c r="E503" i="15"/>
  <c r="F503" i="15"/>
  <c r="G503" i="15"/>
  <c r="H503" i="15"/>
  <c r="B504" i="15"/>
  <c r="C504" i="15"/>
  <c r="D504" i="15"/>
  <c r="E504" i="15"/>
  <c r="F504" i="15"/>
  <c r="G504" i="15"/>
  <c r="H504" i="15"/>
  <c r="B505" i="15"/>
  <c r="C505" i="15"/>
  <c r="D505" i="15"/>
  <c r="E505" i="15"/>
  <c r="F505" i="15"/>
  <c r="G505" i="15"/>
  <c r="H505" i="15"/>
  <c r="B506" i="15"/>
  <c r="C506" i="15"/>
  <c r="D506" i="15"/>
  <c r="E506" i="15"/>
  <c r="F506" i="15"/>
  <c r="G506" i="15"/>
  <c r="H506" i="15"/>
  <c r="B507" i="15"/>
  <c r="C507" i="15"/>
  <c r="D507" i="15"/>
  <c r="E507" i="15"/>
  <c r="F507" i="15"/>
  <c r="G507" i="15"/>
  <c r="H507" i="15"/>
  <c r="B508" i="15"/>
  <c r="C508" i="15"/>
  <c r="D508" i="15"/>
  <c r="E508" i="15"/>
  <c r="F508" i="15"/>
  <c r="G508" i="15"/>
  <c r="H508" i="15"/>
  <c r="B509" i="15"/>
  <c r="C509" i="15"/>
  <c r="D509" i="15"/>
  <c r="E509" i="15"/>
  <c r="F509" i="15"/>
  <c r="G509" i="15"/>
  <c r="H509" i="15"/>
  <c r="B510" i="15"/>
  <c r="C510" i="15"/>
  <c r="D510" i="15"/>
  <c r="E510" i="15"/>
  <c r="F510" i="15"/>
  <c r="G510" i="15"/>
  <c r="H510" i="15"/>
  <c r="B511" i="15"/>
  <c r="C511" i="15"/>
  <c r="D511" i="15"/>
  <c r="E511" i="15"/>
  <c r="F511" i="15"/>
  <c r="G511" i="15"/>
  <c r="H511" i="15"/>
  <c r="B512" i="15"/>
  <c r="C512" i="15"/>
  <c r="D512" i="15"/>
  <c r="E512" i="15"/>
  <c r="F512" i="15"/>
  <c r="G512" i="15"/>
  <c r="H512" i="15"/>
  <c r="B513" i="15"/>
  <c r="C513" i="15"/>
  <c r="D513" i="15"/>
  <c r="E513" i="15"/>
  <c r="F513" i="15"/>
  <c r="G513" i="15"/>
  <c r="H513" i="15"/>
  <c r="B514" i="15"/>
  <c r="C514" i="15"/>
  <c r="D514" i="15"/>
  <c r="E514" i="15"/>
  <c r="F514" i="15"/>
  <c r="G514" i="15"/>
  <c r="H514" i="15"/>
  <c r="B515" i="15"/>
  <c r="C515" i="15"/>
  <c r="D515" i="15"/>
  <c r="E515" i="15"/>
  <c r="F515" i="15"/>
  <c r="G515" i="15"/>
  <c r="H515" i="15"/>
  <c r="B516" i="15"/>
  <c r="C516" i="15"/>
  <c r="D516" i="15"/>
  <c r="E516" i="15"/>
  <c r="F516" i="15"/>
  <c r="G516" i="15"/>
  <c r="H516" i="15"/>
  <c r="B517" i="15"/>
  <c r="C517" i="15"/>
  <c r="D517" i="15"/>
  <c r="E517" i="15"/>
  <c r="F517" i="15"/>
  <c r="G517" i="15"/>
  <c r="H517" i="15"/>
  <c r="B518" i="15"/>
  <c r="C518" i="15"/>
  <c r="D518" i="15"/>
  <c r="E518" i="15"/>
  <c r="F518" i="15"/>
  <c r="G518" i="15"/>
  <c r="H518" i="15"/>
  <c r="B519" i="15"/>
  <c r="C519" i="15"/>
  <c r="D519" i="15"/>
  <c r="E519" i="15"/>
  <c r="F519" i="15"/>
  <c r="G519" i="15"/>
  <c r="H519" i="15"/>
  <c r="B520" i="15"/>
  <c r="C520" i="15"/>
  <c r="D520" i="15"/>
  <c r="E520" i="15"/>
  <c r="F520" i="15"/>
  <c r="G520" i="15"/>
  <c r="H520" i="15"/>
  <c r="B521" i="15"/>
  <c r="C521" i="15"/>
  <c r="D521" i="15"/>
  <c r="E521" i="15"/>
  <c r="F521" i="15"/>
  <c r="G521" i="15"/>
  <c r="H521" i="15"/>
  <c r="B522" i="15"/>
  <c r="C522" i="15"/>
  <c r="D522" i="15"/>
  <c r="E522" i="15"/>
  <c r="F522" i="15"/>
  <c r="G522" i="15"/>
  <c r="H522" i="15"/>
  <c r="B523" i="15"/>
  <c r="C523" i="15"/>
  <c r="D523" i="15"/>
  <c r="E523" i="15"/>
  <c r="F523" i="15"/>
  <c r="G523" i="15"/>
  <c r="H523" i="15"/>
  <c r="B524" i="15"/>
  <c r="C524" i="15"/>
  <c r="D524" i="15"/>
  <c r="E524" i="15"/>
  <c r="F524" i="15"/>
  <c r="G524" i="15"/>
  <c r="H524" i="15"/>
  <c r="B525" i="15"/>
  <c r="C525" i="15"/>
  <c r="D525" i="15"/>
  <c r="E525" i="15"/>
  <c r="F525" i="15"/>
  <c r="G525" i="15"/>
  <c r="H525" i="15"/>
  <c r="B526" i="15"/>
  <c r="C526" i="15"/>
  <c r="D526" i="15"/>
  <c r="E526" i="15"/>
  <c r="F526" i="15"/>
  <c r="G526" i="15"/>
  <c r="H526" i="15"/>
  <c r="B527" i="15"/>
  <c r="C527" i="15"/>
  <c r="D527" i="15"/>
  <c r="E527" i="15"/>
  <c r="F527" i="15"/>
  <c r="G527" i="15"/>
  <c r="H527" i="15"/>
  <c r="B528" i="15"/>
  <c r="C528" i="15"/>
  <c r="D528" i="15"/>
  <c r="E528" i="15"/>
  <c r="F528" i="15"/>
  <c r="G528" i="15"/>
  <c r="H528" i="15"/>
  <c r="B529" i="15"/>
  <c r="C529" i="15"/>
  <c r="D529" i="15"/>
  <c r="E529" i="15"/>
  <c r="F529" i="15"/>
  <c r="G529" i="15"/>
  <c r="H529" i="15"/>
  <c r="B530" i="15"/>
  <c r="C530" i="15"/>
  <c r="D530" i="15"/>
  <c r="E530" i="15"/>
  <c r="F530" i="15"/>
  <c r="G530" i="15"/>
  <c r="H530" i="15"/>
  <c r="B531" i="15"/>
  <c r="C531" i="15"/>
  <c r="D531" i="15"/>
  <c r="E531" i="15"/>
  <c r="F531" i="15"/>
  <c r="G531" i="15"/>
  <c r="H531" i="15"/>
  <c r="B532" i="15"/>
  <c r="C532" i="15"/>
  <c r="D532" i="15"/>
  <c r="E532" i="15"/>
  <c r="F532" i="15"/>
  <c r="G532" i="15"/>
  <c r="H532" i="15"/>
  <c r="B533" i="15"/>
  <c r="C533" i="15"/>
  <c r="D533" i="15"/>
  <c r="E533" i="15"/>
  <c r="F533" i="15"/>
  <c r="G533" i="15"/>
  <c r="H533" i="15"/>
  <c r="B534" i="15"/>
  <c r="C534" i="15"/>
  <c r="D534" i="15"/>
  <c r="E534" i="15"/>
  <c r="F534" i="15"/>
  <c r="G534" i="15"/>
  <c r="H534" i="15"/>
  <c r="B535" i="15"/>
  <c r="C535" i="15"/>
  <c r="D535" i="15"/>
  <c r="E535" i="15"/>
  <c r="F535" i="15"/>
  <c r="G535" i="15"/>
  <c r="H535" i="15"/>
  <c r="B536" i="15"/>
  <c r="C536" i="15"/>
  <c r="D536" i="15"/>
  <c r="E536" i="15"/>
  <c r="F536" i="15"/>
  <c r="G536" i="15"/>
  <c r="H536" i="15"/>
  <c r="B537" i="15"/>
  <c r="C537" i="15"/>
  <c r="D537" i="15"/>
  <c r="E537" i="15"/>
  <c r="F537" i="15"/>
  <c r="G537" i="15"/>
  <c r="H537" i="15"/>
  <c r="B538" i="15"/>
  <c r="C538" i="15"/>
  <c r="D538" i="15"/>
  <c r="E538" i="15"/>
  <c r="F538" i="15"/>
  <c r="G538" i="15"/>
  <c r="H538" i="15"/>
  <c r="B539" i="15"/>
  <c r="C539" i="15"/>
  <c r="D539" i="15"/>
  <c r="E539" i="15"/>
  <c r="F539" i="15"/>
  <c r="G539" i="15"/>
  <c r="H539" i="15"/>
  <c r="B540" i="15"/>
  <c r="C540" i="15"/>
  <c r="D540" i="15"/>
  <c r="E540" i="15"/>
  <c r="F540" i="15"/>
  <c r="G540" i="15"/>
  <c r="H540" i="15"/>
  <c r="B541" i="15"/>
  <c r="C541" i="15"/>
  <c r="D541" i="15"/>
  <c r="E541" i="15"/>
  <c r="F541" i="15"/>
  <c r="G541" i="15"/>
  <c r="H541" i="15"/>
  <c r="B542" i="15"/>
  <c r="C542" i="15"/>
  <c r="D542" i="15"/>
  <c r="E542" i="15"/>
  <c r="F542" i="15"/>
  <c r="G542" i="15"/>
  <c r="H542" i="15"/>
  <c r="B543" i="15"/>
  <c r="C543" i="15"/>
  <c r="D543" i="15"/>
  <c r="E543" i="15"/>
  <c r="F543" i="15"/>
  <c r="G543" i="15"/>
  <c r="H543" i="15"/>
  <c r="B544" i="15"/>
  <c r="C544" i="15"/>
  <c r="D544" i="15"/>
  <c r="E544" i="15"/>
  <c r="F544" i="15"/>
  <c r="G544" i="15"/>
  <c r="H544" i="15"/>
  <c r="B545" i="15"/>
  <c r="C545" i="15"/>
  <c r="D545" i="15"/>
  <c r="E545" i="15"/>
  <c r="F545" i="15"/>
  <c r="G545" i="15"/>
  <c r="H545" i="15"/>
  <c r="B546" i="15"/>
  <c r="C546" i="15"/>
  <c r="D546" i="15"/>
  <c r="E546" i="15"/>
  <c r="F546" i="15"/>
  <c r="G546" i="15"/>
  <c r="H546" i="15"/>
  <c r="B547" i="15"/>
  <c r="C547" i="15"/>
  <c r="D547" i="15"/>
  <c r="E547" i="15"/>
  <c r="F547" i="15"/>
  <c r="G547" i="15"/>
  <c r="H547" i="15"/>
  <c r="B548" i="15"/>
  <c r="C548" i="15"/>
  <c r="D548" i="15"/>
  <c r="E548" i="15"/>
  <c r="F548" i="15"/>
  <c r="G548" i="15"/>
  <c r="H548" i="15"/>
  <c r="B549" i="15"/>
  <c r="C549" i="15"/>
  <c r="D549" i="15"/>
  <c r="E549" i="15"/>
  <c r="F549" i="15"/>
  <c r="G549" i="15"/>
  <c r="H549" i="15"/>
  <c r="B550" i="15"/>
  <c r="C550" i="15"/>
  <c r="D550" i="15"/>
  <c r="E550" i="15"/>
  <c r="F550" i="15"/>
  <c r="G550" i="15"/>
  <c r="H550" i="15"/>
  <c r="B551" i="15"/>
  <c r="C551" i="15"/>
  <c r="D551" i="15"/>
  <c r="E551" i="15"/>
  <c r="F551" i="15"/>
  <c r="G551" i="15"/>
  <c r="H551" i="15"/>
  <c r="B552" i="15"/>
  <c r="C552" i="15"/>
  <c r="D552" i="15"/>
  <c r="E552" i="15"/>
  <c r="F552" i="15"/>
  <c r="G552" i="15"/>
  <c r="H552" i="15"/>
  <c r="B553" i="15"/>
  <c r="C553" i="15"/>
  <c r="D553" i="15"/>
  <c r="E553" i="15"/>
  <c r="F553" i="15"/>
  <c r="G553" i="15"/>
  <c r="H553" i="15"/>
  <c r="B554" i="15"/>
  <c r="C554" i="15"/>
  <c r="D554" i="15"/>
  <c r="E554" i="15"/>
  <c r="F554" i="15"/>
  <c r="G554" i="15"/>
  <c r="H554" i="15"/>
  <c r="B555" i="15"/>
  <c r="C555" i="15"/>
  <c r="D555" i="15"/>
  <c r="E555" i="15"/>
  <c r="F555" i="15"/>
  <c r="G555" i="15"/>
  <c r="H555" i="15"/>
  <c r="B556" i="15"/>
  <c r="C556" i="15"/>
  <c r="D556" i="15"/>
  <c r="E556" i="15"/>
  <c r="F556" i="15"/>
  <c r="G556" i="15"/>
  <c r="H556" i="15"/>
  <c r="B557" i="15"/>
  <c r="C557" i="15"/>
  <c r="D557" i="15"/>
  <c r="E557" i="15"/>
  <c r="F557" i="15"/>
  <c r="G557" i="15"/>
  <c r="H557" i="15"/>
  <c r="B558" i="15"/>
  <c r="C558" i="15"/>
  <c r="D558" i="15"/>
  <c r="E558" i="15"/>
  <c r="F558" i="15"/>
  <c r="G558" i="15"/>
  <c r="H558" i="15"/>
  <c r="B559" i="15"/>
  <c r="C559" i="15"/>
  <c r="D559" i="15"/>
  <c r="E559" i="15"/>
  <c r="F559" i="15"/>
  <c r="G559" i="15"/>
  <c r="H559" i="15"/>
  <c r="B560" i="15"/>
  <c r="C560" i="15"/>
  <c r="D560" i="15"/>
  <c r="E560" i="15"/>
  <c r="F560" i="15"/>
  <c r="G560" i="15"/>
  <c r="H560" i="15"/>
  <c r="B561" i="15"/>
  <c r="C561" i="15"/>
  <c r="D561" i="15"/>
  <c r="E561" i="15"/>
  <c r="F561" i="15"/>
  <c r="G561" i="15"/>
  <c r="H561" i="15"/>
  <c r="B562" i="15"/>
  <c r="C562" i="15"/>
  <c r="D562" i="15"/>
  <c r="E562" i="15"/>
  <c r="F562" i="15"/>
  <c r="G562" i="15"/>
  <c r="H562" i="15"/>
  <c r="B563" i="15"/>
  <c r="C563" i="15"/>
  <c r="D563" i="15"/>
  <c r="E563" i="15"/>
  <c r="F563" i="15"/>
  <c r="G563" i="15"/>
  <c r="H563" i="15"/>
  <c r="B564" i="15"/>
  <c r="C564" i="15"/>
  <c r="D564" i="15"/>
  <c r="E564" i="15"/>
  <c r="F564" i="15"/>
  <c r="G564" i="15"/>
  <c r="H564" i="15"/>
  <c r="B565" i="15"/>
  <c r="C565" i="15"/>
  <c r="D565" i="15"/>
  <c r="E565" i="15"/>
  <c r="F565" i="15"/>
  <c r="G565" i="15"/>
  <c r="H565" i="15"/>
  <c r="B566" i="15"/>
  <c r="C566" i="15"/>
  <c r="D566" i="15"/>
  <c r="E566" i="15"/>
  <c r="F566" i="15"/>
  <c r="G566" i="15"/>
  <c r="H566" i="15"/>
  <c r="B567" i="15"/>
  <c r="C567" i="15"/>
  <c r="D567" i="15"/>
  <c r="E567" i="15"/>
  <c r="F567" i="15"/>
  <c r="G567" i="15"/>
  <c r="H567" i="15"/>
  <c r="B568" i="15"/>
  <c r="C568" i="15"/>
  <c r="D568" i="15"/>
  <c r="E568" i="15"/>
  <c r="F568" i="15"/>
  <c r="G568" i="15"/>
  <c r="H568" i="15"/>
  <c r="B569" i="15"/>
  <c r="C569" i="15"/>
  <c r="D569" i="15"/>
  <c r="E569" i="15"/>
  <c r="F569" i="15"/>
  <c r="G569" i="15"/>
  <c r="H569" i="15"/>
  <c r="B570" i="15"/>
  <c r="C570" i="15"/>
  <c r="D570" i="15"/>
  <c r="E570" i="15"/>
  <c r="F570" i="15"/>
  <c r="G570" i="15"/>
  <c r="H570" i="15"/>
  <c r="B571" i="15"/>
  <c r="C571" i="15"/>
  <c r="D571" i="15"/>
  <c r="E571" i="15"/>
  <c r="F571" i="15"/>
  <c r="G571" i="15"/>
  <c r="H571" i="15"/>
  <c r="B572" i="15"/>
  <c r="C572" i="15"/>
  <c r="D572" i="15"/>
  <c r="E572" i="15"/>
  <c r="F572" i="15"/>
  <c r="G572" i="15"/>
  <c r="H572" i="15"/>
  <c r="B573" i="15"/>
  <c r="C573" i="15"/>
  <c r="D573" i="15"/>
  <c r="E573" i="15"/>
  <c r="F573" i="15"/>
  <c r="G573" i="15"/>
  <c r="H573" i="15"/>
  <c r="B574" i="15"/>
  <c r="C574" i="15"/>
  <c r="D574" i="15"/>
  <c r="E574" i="15"/>
  <c r="F574" i="15"/>
  <c r="G574" i="15"/>
  <c r="H574" i="15"/>
  <c r="B575" i="15"/>
  <c r="C575" i="15"/>
  <c r="D575" i="15"/>
  <c r="E575" i="15"/>
  <c r="F575" i="15"/>
  <c r="G575" i="15"/>
  <c r="H575" i="15"/>
  <c r="B576" i="15"/>
  <c r="C576" i="15"/>
  <c r="D576" i="15"/>
  <c r="E576" i="15"/>
  <c r="F576" i="15"/>
  <c r="G576" i="15"/>
  <c r="H576" i="15"/>
  <c r="B577" i="15"/>
  <c r="C577" i="15"/>
  <c r="D577" i="15"/>
  <c r="E577" i="15"/>
  <c r="F577" i="15"/>
  <c r="G577" i="15"/>
  <c r="H577" i="15"/>
  <c r="B578" i="15"/>
  <c r="C578" i="15"/>
  <c r="D578" i="15"/>
  <c r="E578" i="15"/>
  <c r="F578" i="15"/>
  <c r="G578" i="15"/>
  <c r="H578" i="15"/>
  <c r="B579" i="15"/>
  <c r="C579" i="15"/>
  <c r="D579" i="15"/>
  <c r="E579" i="15"/>
  <c r="F579" i="15"/>
  <c r="G579" i="15"/>
  <c r="H579" i="15"/>
  <c r="B580" i="15"/>
  <c r="C580" i="15"/>
  <c r="D580" i="15"/>
  <c r="E580" i="15"/>
  <c r="F580" i="15"/>
  <c r="G580" i="15"/>
  <c r="H580" i="15"/>
  <c r="B581" i="15"/>
  <c r="C581" i="15"/>
  <c r="D581" i="15"/>
  <c r="E581" i="15"/>
  <c r="F581" i="15"/>
  <c r="G581" i="15"/>
  <c r="H581" i="15"/>
  <c r="B582" i="15"/>
  <c r="C582" i="15"/>
  <c r="D582" i="15"/>
  <c r="E582" i="15"/>
  <c r="F582" i="15"/>
  <c r="G582" i="15"/>
  <c r="H582" i="15"/>
  <c r="B583" i="15"/>
  <c r="C583" i="15"/>
  <c r="D583" i="15"/>
  <c r="E583" i="15"/>
  <c r="F583" i="15"/>
  <c r="G583" i="15"/>
  <c r="H583" i="15"/>
  <c r="B584" i="15"/>
  <c r="C584" i="15"/>
  <c r="D584" i="15"/>
  <c r="E584" i="15"/>
  <c r="F584" i="15"/>
  <c r="G584" i="15"/>
  <c r="H584" i="15"/>
  <c r="B585" i="15"/>
  <c r="C585" i="15"/>
  <c r="D585" i="15"/>
  <c r="E585" i="15"/>
  <c r="F585" i="15"/>
  <c r="G585" i="15"/>
  <c r="H585" i="15"/>
  <c r="B586" i="15"/>
  <c r="C586" i="15"/>
  <c r="D586" i="15"/>
  <c r="E586" i="15"/>
  <c r="F586" i="15"/>
  <c r="G586" i="15"/>
  <c r="H586" i="15"/>
  <c r="B587" i="15"/>
  <c r="C587" i="15"/>
  <c r="D587" i="15"/>
  <c r="E587" i="15"/>
  <c r="F587" i="15"/>
  <c r="G587" i="15"/>
  <c r="H587" i="15"/>
  <c r="B588" i="15"/>
  <c r="C588" i="15"/>
  <c r="D588" i="15"/>
  <c r="E588" i="15"/>
  <c r="F588" i="15"/>
  <c r="G588" i="15"/>
  <c r="H588" i="15"/>
  <c r="B589" i="15"/>
  <c r="C589" i="15"/>
  <c r="D589" i="15"/>
  <c r="E589" i="15"/>
  <c r="F589" i="15"/>
  <c r="G589" i="15"/>
  <c r="H589" i="15"/>
  <c r="B590" i="15"/>
  <c r="C590" i="15"/>
  <c r="D590" i="15"/>
  <c r="E590" i="15"/>
  <c r="F590" i="15"/>
  <c r="G590" i="15"/>
  <c r="H590" i="15"/>
  <c r="B591" i="15"/>
  <c r="C591" i="15"/>
  <c r="D591" i="15"/>
  <c r="E591" i="15"/>
  <c r="F591" i="15"/>
  <c r="G591" i="15"/>
  <c r="H591" i="15"/>
  <c r="B592" i="15"/>
  <c r="C592" i="15"/>
  <c r="D592" i="15"/>
  <c r="E592" i="15"/>
  <c r="F592" i="15"/>
  <c r="G592" i="15"/>
  <c r="H592" i="15"/>
  <c r="B593" i="15"/>
  <c r="C593" i="15"/>
  <c r="D593" i="15"/>
  <c r="E593" i="15"/>
  <c r="F593" i="15"/>
  <c r="G593" i="15"/>
  <c r="H593" i="15"/>
  <c r="B594" i="15"/>
  <c r="C594" i="15"/>
  <c r="D594" i="15"/>
  <c r="E594" i="15"/>
  <c r="F594" i="15"/>
  <c r="G594" i="15"/>
  <c r="H594" i="15"/>
  <c r="B595" i="15"/>
  <c r="C595" i="15"/>
  <c r="D595" i="15"/>
  <c r="E595" i="15"/>
  <c r="F595" i="15"/>
  <c r="G595" i="15"/>
  <c r="H595" i="15"/>
  <c r="B596" i="15"/>
  <c r="C596" i="15"/>
  <c r="D596" i="15"/>
  <c r="E596" i="15"/>
  <c r="F596" i="15"/>
  <c r="G596" i="15"/>
  <c r="H596" i="15"/>
  <c r="B597" i="15"/>
  <c r="C597" i="15"/>
  <c r="D597" i="15"/>
  <c r="E597" i="15"/>
  <c r="F597" i="15"/>
  <c r="G597" i="15"/>
  <c r="H597" i="15"/>
  <c r="B598" i="15"/>
  <c r="C598" i="15"/>
  <c r="D598" i="15"/>
  <c r="E598" i="15"/>
  <c r="F598" i="15"/>
  <c r="G598" i="15"/>
  <c r="H598" i="15"/>
  <c r="B599" i="15"/>
  <c r="C599" i="15"/>
  <c r="D599" i="15"/>
  <c r="E599" i="15"/>
  <c r="F599" i="15"/>
  <c r="G599" i="15"/>
  <c r="H599" i="15"/>
  <c r="B600" i="15"/>
  <c r="C600" i="15"/>
  <c r="D600" i="15"/>
  <c r="E600" i="15"/>
  <c r="F600" i="15"/>
  <c r="G600" i="15"/>
  <c r="H600" i="15"/>
  <c r="B601" i="15"/>
  <c r="C601" i="15"/>
  <c r="D601" i="15"/>
  <c r="E601" i="15"/>
  <c r="F601" i="15"/>
  <c r="G601" i="15"/>
  <c r="H601" i="15"/>
  <c r="B602" i="15"/>
  <c r="C602" i="15"/>
  <c r="D602" i="15"/>
  <c r="E602" i="15"/>
  <c r="F602" i="15"/>
  <c r="G602" i="15"/>
  <c r="H602" i="15"/>
  <c r="B603" i="15"/>
  <c r="C603" i="15"/>
  <c r="D603" i="15"/>
  <c r="E603" i="15"/>
  <c r="F603" i="15"/>
  <c r="G603" i="15"/>
  <c r="H603" i="15"/>
  <c r="B604" i="15"/>
  <c r="C604" i="15"/>
  <c r="D604" i="15"/>
  <c r="E604" i="15"/>
  <c r="F604" i="15"/>
  <c r="G604" i="15"/>
  <c r="H604" i="15"/>
  <c r="B605" i="15"/>
  <c r="C605" i="15"/>
  <c r="D605" i="15"/>
  <c r="E605" i="15"/>
  <c r="F605" i="15"/>
  <c r="G605" i="15"/>
  <c r="H605" i="15"/>
  <c r="B606" i="15"/>
  <c r="C606" i="15"/>
  <c r="D606" i="15"/>
  <c r="E606" i="15"/>
  <c r="F606" i="15"/>
  <c r="G606" i="15"/>
  <c r="H606" i="15"/>
  <c r="B607" i="15"/>
  <c r="C607" i="15"/>
  <c r="D607" i="15"/>
  <c r="E607" i="15"/>
  <c r="F607" i="15"/>
  <c r="G607" i="15"/>
  <c r="H607" i="15"/>
  <c r="B608" i="15"/>
  <c r="C608" i="15"/>
  <c r="D608" i="15"/>
  <c r="E608" i="15"/>
  <c r="F608" i="15"/>
  <c r="G608" i="15"/>
  <c r="H608" i="15"/>
  <c r="B609" i="15"/>
  <c r="C609" i="15"/>
  <c r="D609" i="15"/>
  <c r="E609" i="15"/>
  <c r="F609" i="15"/>
  <c r="G609" i="15"/>
  <c r="H609" i="15"/>
  <c r="B610" i="15"/>
  <c r="C610" i="15"/>
  <c r="D610" i="15"/>
  <c r="E610" i="15"/>
  <c r="F610" i="15"/>
  <c r="G610" i="15"/>
  <c r="H610" i="15"/>
  <c r="B611" i="15"/>
  <c r="C611" i="15"/>
  <c r="D611" i="15"/>
  <c r="E611" i="15"/>
  <c r="F611" i="15"/>
  <c r="G611" i="15"/>
  <c r="H611" i="15"/>
  <c r="B612" i="15"/>
  <c r="C612" i="15"/>
  <c r="D612" i="15"/>
  <c r="E612" i="15"/>
  <c r="F612" i="15"/>
  <c r="G612" i="15"/>
  <c r="H612" i="15"/>
  <c r="B613" i="15"/>
  <c r="C613" i="15"/>
  <c r="D613" i="15"/>
  <c r="E613" i="15"/>
  <c r="F613" i="15"/>
  <c r="G613" i="15"/>
  <c r="H613" i="15"/>
  <c r="B614" i="15"/>
  <c r="C614" i="15"/>
  <c r="D614" i="15"/>
  <c r="E614" i="15"/>
  <c r="F614" i="15"/>
  <c r="G614" i="15"/>
  <c r="H614" i="15"/>
  <c r="B615" i="15"/>
  <c r="C615" i="15"/>
  <c r="D615" i="15"/>
  <c r="E615" i="15"/>
  <c r="F615" i="15"/>
  <c r="G615" i="15"/>
  <c r="H615" i="15"/>
  <c r="B616" i="15"/>
  <c r="C616" i="15"/>
  <c r="D616" i="15"/>
  <c r="E616" i="15"/>
  <c r="F616" i="15"/>
  <c r="G616" i="15"/>
  <c r="H616" i="15"/>
  <c r="B617" i="15"/>
  <c r="C617" i="15"/>
  <c r="D617" i="15"/>
  <c r="E617" i="15"/>
  <c r="F617" i="15"/>
  <c r="G617" i="15"/>
  <c r="H617" i="15"/>
  <c r="B618" i="15"/>
  <c r="C618" i="15"/>
  <c r="D618" i="15"/>
  <c r="E618" i="15"/>
  <c r="F618" i="15"/>
  <c r="G618" i="15"/>
  <c r="H618" i="15"/>
  <c r="B619" i="15"/>
  <c r="C619" i="15"/>
  <c r="D619" i="15"/>
  <c r="E619" i="15"/>
  <c r="F619" i="15"/>
  <c r="G619" i="15"/>
  <c r="H619" i="15"/>
  <c r="B620" i="15"/>
  <c r="C620" i="15"/>
  <c r="D620" i="15"/>
  <c r="E620" i="15"/>
  <c r="F620" i="15"/>
  <c r="G620" i="15"/>
  <c r="H620" i="15"/>
  <c r="B621" i="15"/>
  <c r="C621" i="15"/>
  <c r="D621" i="15"/>
  <c r="E621" i="15"/>
  <c r="F621" i="15"/>
  <c r="G621" i="15"/>
  <c r="H621" i="15"/>
  <c r="B622" i="15"/>
  <c r="C622" i="15"/>
  <c r="D622" i="15"/>
  <c r="E622" i="15"/>
  <c r="F622" i="15"/>
  <c r="G622" i="15"/>
  <c r="H622" i="15"/>
  <c r="B623" i="15"/>
  <c r="C623" i="15"/>
  <c r="D623" i="15"/>
  <c r="E623" i="15"/>
  <c r="F623" i="15"/>
  <c r="G623" i="15"/>
  <c r="H623" i="15"/>
  <c r="B624" i="15"/>
  <c r="C624" i="15"/>
  <c r="D624" i="15"/>
  <c r="E624" i="15"/>
  <c r="F624" i="15"/>
  <c r="G624" i="15"/>
  <c r="H624" i="15"/>
  <c r="B625" i="15"/>
  <c r="C625" i="15"/>
  <c r="D625" i="15"/>
  <c r="E625" i="15"/>
  <c r="F625" i="15"/>
  <c r="G625" i="15"/>
  <c r="H625" i="15"/>
  <c r="B626" i="15"/>
  <c r="C626" i="15"/>
  <c r="D626" i="15"/>
  <c r="E626" i="15"/>
  <c r="F626" i="15"/>
  <c r="G626" i="15"/>
  <c r="H626" i="15"/>
  <c r="B627" i="15"/>
  <c r="C627" i="15"/>
  <c r="D627" i="15"/>
  <c r="E627" i="15"/>
  <c r="F627" i="15"/>
  <c r="G627" i="15"/>
  <c r="H627" i="15"/>
  <c r="B628" i="15"/>
  <c r="C628" i="15"/>
  <c r="D628" i="15"/>
  <c r="E628" i="15"/>
  <c r="F628" i="15"/>
  <c r="G628" i="15"/>
  <c r="H628" i="15"/>
  <c r="B629" i="15"/>
  <c r="C629" i="15"/>
  <c r="D629" i="15"/>
  <c r="E629" i="15"/>
  <c r="F629" i="15"/>
  <c r="G629" i="15"/>
  <c r="H629" i="15"/>
  <c r="B630" i="15"/>
  <c r="C630" i="15"/>
  <c r="D630" i="15"/>
  <c r="E630" i="15"/>
  <c r="F630" i="15"/>
  <c r="G630" i="15"/>
  <c r="H630" i="15"/>
  <c r="B631" i="15"/>
  <c r="C631" i="15"/>
  <c r="D631" i="15"/>
  <c r="E631" i="15"/>
  <c r="F631" i="15"/>
  <c r="G631" i="15"/>
  <c r="H631" i="15"/>
  <c r="B632" i="15"/>
  <c r="C632" i="15"/>
  <c r="D632" i="15"/>
  <c r="E632" i="15"/>
  <c r="F632" i="15"/>
  <c r="G632" i="15"/>
  <c r="H632" i="15"/>
  <c r="B633" i="15"/>
  <c r="C633" i="15"/>
  <c r="D633" i="15"/>
  <c r="E633" i="15"/>
  <c r="F633" i="15"/>
  <c r="G633" i="15"/>
  <c r="H633" i="15"/>
  <c r="B634" i="15"/>
  <c r="C634" i="15"/>
  <c r="D634" i="15"/>
  <c r="E634" i="15"/>
  <c r="F634" i="15"/>
  <c r="G634" i="15"/>
  <c r="H634" i="15"/>
  <c r="B635" i="15"/>
  <c r="C635" i="15"/>
  <c r="D635" i="15"/>
  <c r="E635" i="15"/>
  <c r="F635" i="15"/>
  <c r="G635" i="15"/>
  <c r="H635" i="15"/>
  <c r="B636" i="15"/>
  <c r="C636" i="15"/>
  <c r="D636" i="15"/>
  <c r="E636" i="15"/>
  <c r="F636" i="15"/>
  <c r="G636" i="15"/>
  <c r="H636" i="15"/>
  <c r="B637" i="15"/>
  <c r="C637" i="15"/>
  <c r="D637" i="15"/>
  <c r="E637" i="15"/>
  <c r="F637" i="15"/>
  <c r="G637" i="15"/>
  <c r="H637" i="15"/>
  <c r="B638" i="15"/>
  <c r="C638" i="15"/>
  <c r="D638" i="15"/>
  <c r="E638" i="15"/>
  <c r="F638" i="15"/>
  <c r="G638" i="15"/>
  <c r="H638" i="15"/>
  <c r="B639" i="15"/>
  <c r="C639" i="15"/>
  <c r="D639" i="15"/>
  <c r="E639" i="15"/>
  <c r="F639" i="15"/>
  <c r="G639" i="15"/>
  <c r="H639" i="15"/>
  <c r="B640" i="15"/>
  <c r="C640" i="15"/>
  <c r="D640" i="15"/>
  <c r="E640" i="15"/>
  <c r="F640" i="15"/>
  <c r="G640" i="15"/>
  <c r="H640" i="15"/>
  <c r="B641" i="15"/>
  <c r="C641" i="15"/>
  <c r="D641" i="15"/>
  <c r="E641" i="15"/>
  <c r="F641" i="15"/>
  <c r="G641" i="15"/>
  <c r="H641" i="15"/>
  <c r="B642" i="15"/>
  <c r="C642" i="15"/>
  <c r="D642" i="15"/>
  <c r="E642" i="15"/>
  <c r="F642" i="15"/>
  <c r="G642" i="15"/>
  <c r="H642" i="15"/>
  <c r="B643" i="15"/>
  <c r="C643" i="15"/>
  <c r="D643" i="15"/>
  <c r="E643" i="15"/>
  <c r="F643" i="15"/>
  <c r="G643" i="15"/>
  <c r="H643" i="15"/>
  <c r="B644" i="15"/>
  <c r="C644" i="15"/>
  <c r="D644" i="15"/>
  <c r="E644" i="15"/>
  <c r="F644" i="15"/>
  <c r="G644" i="15"/>
  <c r="H644" i="15"/>
  <c r="B645" i="15"/>
  <c r="C645" i="15"/>
  <c r="D645" i="15"/>
  <c r="E645" i="15"/>
  <c r="F645" i="15"/>
  <c r="G645" i="15"/>
  <c r="H645" i="15"/>
  <c r="B646" i="15"/>
  <c r="C646" i="15"/>
  <c r="D646" i="15"/>
  <c r="E646" i="15"/>
  <c r="F646" i="15"/>
  <c r="G646" i="15"/>
  <c r="H646" i="15"/>
  <c r="B647" i="15"/>
  <c r="C647" i="15"/>
  <c r="D647" i="15"/>
  <c r="E647" i="15"/>
  <c r="F647" i="15"/>
  <c r="G647" i="15"/>
  <c r="H647" i="15"/>
  <c r="B648" i="15"/>
  <c r="C648" i="15"/>
  <c r="D648" i="15"/>
  <c r="E648" i="15"/>
  <c r="F648" i="15"/>
  <c r="G648" i="15"/>
  <c r="H648" i="15"/>
  <c r="B649" i="15"/>
  <c r="C649" i="15"/>
  <c r="D649" i="15"/>
  <c r="E649" i="15"/>
  <c r="F649" i="15"/>
  <c r="G649" i="15"/>
  <c r="H649" i="15"/>
  <c r="B650" i="15"/>
  <c r="C650" i="15"/>
  <c r="D650" i="15"/>
  <c r="E650" i="15"/>
  <c r="F650" i="15"/>
  <c r="G650" i="15"/>
  <c r="H650" i="15"/>
  <c r="B651" i="15"/>
  <c r="C651" i="15"/>
  <c r="D651" i="15"/>
  <c r="E651" i="15"/>
  <c r="F651" i="15"/>
  <c r="G651" i="15"/>
  <c r="H651" i="15"/>
  <c r="B652" i="15"/>
  <c r="C652" i="15"/>
  <c r="D652" i="15"/>
  <c r="E652" i="15"/>
  <c r="F652" i="15"/>
  <c r="G652" i="15"/>
  <c r="H652" i="15"/>
  <c r="B653" i="15"/>
  <c r="C653" i="15"/>
  <c r="D653" i="15"/>
  <c r="E653" i="15"/>
  <c r="F653" i="15"/>
  <c r="G653" i="15"/>
  <c r="H653" i="15"/>
  <c r="B654" i="15"/>
  <c r="C654" i="15"/>
  <c r="D654" i="15"/>
  <c r="E654" i="15"/>
  <c r="F654" i="15"/>
  <c r="G654" i="15"/>
  <c r="H654" i="15"/>
  <c r="B655" i="15"/>
  <c r="C655" i="15"/>
  <c r="D655" i="15"/>
  <c r="E655" i="15"/>
  <c r="F655" i="15"/>
  <c r="G655" i="15"/>
  <c r="H655" i="15"/>
  <c r="B656" i="15"/>
  <c r="C656" i="15"/>
  <c r="D656" i="15"/>
  <c r="E656" i="15"/>
  <c r="F656" i="15"/>
  <c r="G656" i="15"/>
  <c r="H656" i="15"/>
  <c r="B657" i="15"/>
  <c r="C657" i="15"/>
  <c r="D657" i="15"/>
  <c r="E657" i="15"/>
  <c r="F657" i="15"/>
  <c r="G657" i="15"/>
  <c r="H657" i="15"/>
  <c r="B658" i="15"/>
  <c r="C658" i="15"/>
  <c r="D658" i="15"/>
  <c r="E658" i="15"/>
  <c r="F658" i="15"/>
  <c r="G658" i="15"/>
  <c r="H658" i="15"/>
  <c r="B659" i="15"/>
  <c r="C659" i="15"/>
  <c r="D659" i="15"/>
  <c r="E659" i="15"/>
  <c r="F659" i="15"/>
  <c r="G659" i="15"/>
  <c r="H659" i="15"/>
  <c r="B660" i="15"/>
  <c r="C660" i="15"/>
  <c r="D660" i="15"/>
  <c r="E660" i="15"/>
  <c r="F660" i="15"/>
  <c r="G660" i="15"/>
  <c r="H660" i="15"/>
  <c r="B661" i="15"/>
  <c r="C661" i="15"/>
  <c r="D661" i="15"/>
  <c r="E661" i="15"/>
  <c r="F661" i="15"/>
  <c r="G661" i="15"/>
  <c r="H661" i="15"/>
  <c r="B662" i="15"/>
  <c r="C662" i="15"/>
  <c r="D662" i="15"/>
  <c r="E662" i="15"/>
  <c r="F662" i="15"/>
  <c r="G662" i="15"/>
  <c r="H662" i="15"/>
  <c r="B663" i="15"/>
  <c r="C663" i="15"/>
  <c r="D663" i="15"/>
  <c r="E663" i="15"/>
  <c r="F663" i="15"/>
  <c r="G663" i="15"/>
  <c r="H663" i="15"/>
  <c r="B664" i="15"/>
  <c r="C664" i="15"/>
  <c r="D664" i="15"/>
  <c r="E664" i="15"/>
  <c r="F664" i="15"/>
  <c r="G664" i="15"/>
  <c r="H664" i="15"/>
  <c r="B665" i="15"/>
  <c r="C665" i="15"/>
  <c r="D665" i="15"/>
  <c r="E665" i="15"/>
  <c r="F665" i="15"/>
  <c r="G665" i="15"/>
  <c r="H665" i="15"/>
  <c r="B666" i="15"/>
  <c r="C666" i="15"/>
  <c r="D666" i="15"/>
  <c r="E666" i="15"/>
  <c r="F666" i="15"/>
  <c r="G666" i="15"/>
  <c r="H666" i="15"/>
  <c r="B667" i="15"/>
  <c r="C667" i="15"/>
  <c r="D667" i="15"/>
  <c r="E667" i="15"/>
  <c r="F667" i="15"/>
  <c r="G667" i="15"/>
  <c r="H667" i="15"/>
  <c r="B668" i="15"/>
  <c r="C668" i="15"/>
  <c r="D668" i="15"/>
  <c r="E668" i="15"/>
  <c r="F668" i="15"/>
  <c r="G668" i="15"/>
  <c r="H668" i="15"/>
  <c r="B669" i="15"/>
  <c r="C669" i="15"/>
  <c r="D669" i="15"/>
  <c r="E669" i="15"/>
  <c r="F669" i="15"/>
  <c r="G669" i="15"/>
  <c r="H669" i="15"/>
  <c r="B670" i="15"/>
  <c r="C670" i="15"/>
  <c r="D670" i="15"/>
  <c r="E670" i="15"/>
  <c r="F670" i="15"/>
  <c r="G670" i="15"/>
  <c r="H670" i="15"/>
  <c r="B671" i="15"/>
  <c r="C671" i="15"/>
  <c r="D671" i="15"/>
  <c r="E671" i="15"/>
  <c r="F671" i="15"/>
  <c r="G671" i="15"/>
  <c r="H671" i="15"/>
  <c r="B672" i="15"/>
  <c r="C672" i="15"/>
  <c r="D672" i="15"/>
  <c r="E672" i="15"/>
  <c r="F672" i="15"/>
  <c r="G672" i="15"/>
  <c r="H672" i="15"/>
  <c r="B673" i="15"/>
  <c r="C673" i="15"/>
  <c r="D673" i="15"/>
  <c r="E673" i="15"/>
  <c r="F673" i="15"/>
  <c r="G673" i="15"/>
  <c r="H673" i="15"/>
  <c r="B674" i="15"/>
  <c r="C674" i="15"/>
  <c r="D674" i="15"/>
  <c r="E674" i="15"/>
  <c r="F674" i="15"/>
  <c r="G674" i="15"/>
  <c r="H674" i="15"/>
  <c r="B675" i="15"/>
  <c r="C675" i="15"/>
  <c r="D675" i="15"/>
  <c r="E675" i="15"/>
  <c r="F675" i="15"/>
  <c r="G675" i="15"/>
  <c r="H675" i="15"/>
  <c r="B676" i="15"/>
  <c r="C676" i="15"/>
  <c r="D676" i="15"/>
  <c r="E676" i="15"/>
  <c r="F676" i="15"/>
  <c r="G676" i="15"/>
  <c r="H676" i="15"/>
  <c r="B677" i="15"/>
  <c r="C677" i="15"/>
  <c r="D677" i="15"/>
  <c r="E677" i="15"/>
  <c r="F677" i="15"/>
  <c r="G677" i="15"/>
  <c r="H677" i="15"/>
  <c r="B678" i="15"/>
  <c r="C678" i="15"/>
  <c r="D678" i="15"/>
  <c r="E678" i="15"/>
  <c r="F678" i="15"/>
  <c r="G678" i="15"/>
  <c r="H678" i="15"/>
  <c r="B679" i="15"/>
  <c r="C679" i="15"/>
  <c r="D679" i="15"/>
  <c r="E679" i="15"/>
  <c r="F679" i="15"/>
  <c r="G679" i="15"/>
  <c r="H679" i="15"/>
  <c r="B680" i="15"/>
  <c r="C680" i="15"/>
  <c r="D680" i="15"/>
  <c r="E680" i="15"/>
  <c r="F680" i="15"/>
  <c r="G680" i="15"/>
  <c r="H680" i="15"/>
  <c r="B681" i="15"/>
  <c r="C681" i="15"/>
  <c r="D681" i="15"/>
  <c r="E681" i="15"/>
  <c r="F681" i="15"/>
  <c r="G681" i="15"/>
  <c r="H681" i="15"/>
  <c r="B682" i="15"/>
  <c r="C682" i="15"/>
  <c r="D682" i="15"/>
  <c r="E682" i="15"/>
  <c r="F682" i="15"/>
  <c r="G682" i="15"/>
  <c r="H682" i="15"/>
  <c r="B683" i="15"/>
  <c r="C683" i="15"/>
  <c r="D683" i="15"/>
  <c r="E683" i="15"/>
  <c r="F683" i="15"/>
  <c r="G683" i="15"/>
  <c r="H683" i="15"/>
  <c r="B684" i="15"/>
  <c r="C684" i="15"/>
  <c r="D684" i="15"/>
  <c r="E684" i="15"/>
  <c r="F684" i="15"/>
  <c r="G684" i="15"/>
  <c r="H684" i="15"/>
  <c r="B685" i="15"/>
  <c r="C685" i="15"/>
  <c r="D685" i="15"/>
  <c r="E685" i="15"/>
  <c r="F685" i="15"/>
  <c r="G685" i="15"/>
  <c r="H685" i="15"/>
  <c r="B686" i="15"/>
  <c r="C686" i="15"/>
  <c r="D686" i="15"/>
  <c r="E686" i="15"/>
  <c r="F686" i="15"/>
  <c r="G686" i="15"/>
  <c r="H686" i="15"/>
  <c r="B687" i="15"/>
  <c r="C687" i="15"/>
  <c r="D687" i="15"/>
  <c r="E687" i="15"/>
  <c r="F687" i="15"/>
  <c r="G687" i="15"/>
  <c r="H687" i="15"/>
  <c r="B688" i="15"/>
  <c r="C688" i="15"/>
  <c r="D688" i="15"/>
  <c r="E688" i="15"/>
  <c r="F688" i="15"/>
  <c r="G688" i="15"/>
  <c r="H688" i="15"/>
  <c r="B689" i="15"/>
  <c r="C689" i="15"/>
  <c r="D689" i="15"/>
  <c r="E689" i="15"/>
  <c r="F689" i="15"/>
  <c r="G689" i="15"/>
  <c r="H689" i="15"/>
  <c r="B690" i="15"/>
  <c r="C690" i="15"/>
  <c r="D690" i="15"/>
  <c r="E690" i="15"/>
  <c r="F690" i="15"/>
  <c r="G690" i="15"/>
  <c r="H690" i="15"/>
  <c r="B691" i="15"/>
  <c r="C691" i="15"/>
  <c r="D691" i="15"/>
  <c r="E691" i="15"/>
  <c r="F691" i="15"/>
  <c r="G691" i="15"/>
  <c r="H691" i="15"/>
  <c r="B692" i="15"/>
  <c r="C692" i="15"/>
  <c r="D692" i="15"/>
  <c r="E692" i="15"/>
  <c r="F692" i="15"/>
  <c r="G692" i="15"/>
  <c r="H692" i="15"/>
  <c r="B693" i="15"/>
  <c r="C693" i="15"/>
  <c r="D693" i="15"/>
  <c r="E693" i="15"/>
  <c r="F693" i="15"/>
  <c r="G693" i="15"/>
  <c r="H693" i="15"/>
  <c r="B694" i="15"/>
  <c r="C694" i="15"/>
  <c r="D694" i="15"/>
  <c r="E694" i="15"/>
  <c r="F694" i="15"/>
  <c r="G694" i="15"/>
  <c r="H694" i="15"/>
  <c r="B695" i="15"/>
  <c r="C695" i="15"/>
  <c r="D695" i="15"/>
  <c r="E695" i="15"/>
  <c r="F695" i="15"/>
  <c r="G695" i="15"/>
  <c r="H695" i="15"/>
  <c r="B696" i="15"/>
  <c r="C696" i="15"/>
  <c r="D696" i="15"/>
  <c r="E696" i="15"/>
  <c r="F696" i="15"/>
  <c r="G696" i="15"/>
  <c r="H696" i="15"/>
  <c r="B697" i="15"/>
  <c r="C697" i="15"/>
  <c r="D697" i="15"/>
  <c r="E697" i="15"/>
  <c r="F697" i="15"/>
  <c r="G697" i="15"/>
  <c r="H697" i="15"/>
  <c r="B698" i="15"/>
  <c r="C698" i="15"/>
  <c r="D698" i="15"/>
  <c r="E698" i="15"/>
  <c r="F698" i="15"/>
  <c r="G698" i="15"/>
  <c r="H698" i="15"/>
  <c r="B699" i="15"/>
  <c r="C699" i="15"/>
  <c r="D699" i="15"/>
  <c r="E699" i="15"/>
  <c r="F699" i="15"/>
  <c r="G699" i="15"/>
  <c r="H699" i="15"/>
  <c r="B700" i="15"/>
  <c r="C700" i="15"/>
  <c r="D700" i="15"/>
  <c r="E700" i="15"/>
  <c r="F700" i="15"/>
  <c r="G700" i="15"/>
  <c r="H700" i="15"/>
  <c r="B701" i="15"/>
  <c r="C701" i="15"/>
  <c r="D701" i="15"/>
  <c r="E701" i="15"/>
  <c r="F701" i="15"/>
  <c r="G701" i="15"/>
  <c r="H701" i="15"/>
  <c r="B702" i="15"/>
  <c r="C702" i="15"/>
  <c r="D702" i="15"/>
  <c r="E702" i="15"/>
  <c r="F702" i="15"/>
  <c r="G702" i="15"/>
  <c r="H702" i="15"/>
  <c r="B703" i="15"/>
  <c r="C703" i="15"/>
  <c r="D703" i="15"/>
  <c r="E703" i="15"/>
  <c r="F703" i="15"/>
  <c r="G703" i="15"/>
  <c r="H703" i="15"/>
  <c r="B704" i="15"/>
  <c r="C704" i="15"/>
  <c r="D704" i="15"/>
  <c r="E704" i="15"/>
  <c r="F704" i="15"/>
  <c r="G704" i="15"/>
  <c r="H704" i="15"/>
  <c r="B705" i="15"/>
  <c r="C705" i="15"/>
  <c r="D705" i="15"/>
  <c r="E705" i="15"/>
  <c r="F705" i="15"/>
  <c r="G705" i="15"/>
  <c r="H705" i="15"/>
  <c r="B706" i="15"/>
  <c r="C706" i="15"/>
  <c r="D706" i="15"/>
  <c r="E706" i="15"/>
  <c r="F706" i="15"/>
  <c r="G706" i="15"/>
  <c r="H706" i="15"/>
  <c r="B707" i="15"/>
  <c r="C707" i="15"/>
  <c r="D707" i="15"/>
  <c r="E707" i="15"/>
  <c r="F707" i="15"/>
  <c r="G707" i="15"/>
  <c r="H707" i="15"/>
  <c r="B708" i="15"/>
  <c r="C708" i="15"/>
  <c r="D708" i="15"/>
  <c r="E708" i="15"/>
  <c r="F708" i="15"/>
  <c r="G708" i="15"/>
  <c r="H708" i="15"/>
  <c r="A9" i="13"/>
  <c r="A4" i="15" s="1"/>
  <c r="A423" i="13"/>
  <c r="A410" i="15" s="1"/>
  <c r="G3" i="15"/>
  <c r="G2" i="15"/>
  <c r="C47" i="12"/>
  <c r="AA587" i="13"/>
  <c r="T587" i="13"/>
  <c r="A587" i="13"/>
  <c r="A574" i="15" s="1"/>
  <c r="AA586" i="13"/>
  <c r="A586" i="13"/>
  <c r="A573" i="15" s="1"/>
  <c r="AA585" i="13"/>
  <c r="T585" i="13"/>
  <c r="A585" i="13"/>
  <c r="A572" i="15" s="1"/>
  <c r="AA584" i="13"/>
  <c r="T584" i="13"/>
  <c r="AA583" i="13"/>
  <c r="T583" i="13"/>
  <c r="A583" i="13"/>
  <c r="A570" i="15" s="1"/>
  <c r="AA582" i="13"/>
  <c r="T582" i="13"/>
  <c r="A582" i="13"/>
  <c r="A569" i="15" s="1"/>
  <c r="AA581" i="13"/>
  <c r="A581" i="13"/>
  <c r="A568" i="15" s="1"/>
  <c r="AA580" i="13"/>
  <c r="T580" i="13"/>
  <c r="A580" i="13"/>
  <c r="A567" i="15" s="1"/>
  <c r="AA579" i="13"/>
  <c r="T579" i="13"/>
  <c r="A579" i="13"/>
  <c r="A566" i="15" s="1"/>
  <c r="AA578" i="13"/>
  <c r="T578" i="13"/>
  <c r="A578" i="13"/>
  <c r="A565" i="15" s="1"/>
  <c r="AA577" i="13"/>
  <c r="T577" i="13"/>
  <c r="A577" i="13"/>
  <c r="A564" i="15" s="1"/>
  <c r="AA576" i="13"/>
  <c r="T576" i="13"/>
  <c r="A576" i="13"/>
  <c r="A563" i="15" s="1"/>
  <c r="AA575" i="13"/>
  <c r="T575" i="13"/>
  <c r="A575" i="13"/>
  <c r="A562" i="15" s="1"/>
  <c r="AA574" i="13"/>
  <c r="T574" i="13"/>
  <c r="A574" i="13"/>
  <c r="A561" i="15" s="1"/>
  <c r="AA573" i="13"/>
  <c r="T573" i="13"/>
  <c r="A573" i="13"/>
  <c r="A560" i="15" s="1"/>
  <c r="AA572" i="13"/>
  <c r="T572" i="13"/>
  <c r="A572" i="13"/>
  <c r="A559" i="15" s="1"/>
  <c r="AA571" i="13"/>
  <c r="T571" i="13"/>
  <c r="A571" i="13"/>
  <c r="A558" i="15" s="1"/>
  <c r="AA570" i="13"/>
  <c r="T570" i="13"/>
  <c r="A570" i="13"/>
  <c r="A557" i="15" s="1"/>
  <c r="AA569" i="13"/>
  <c r="T569" i="13"/>
  <c r="A569" i="13"/>
  <c r="A556" i="15" s="1"/>
  <c r="AA568" i="13"/>
  <c r="T568" i="13"/>
  <c r="A568" i="13"/>
  <c r="A555" i="15" s="1"/>
  <c r="AA567" i="13"/>
  <c r="T567" i="13"/>
  <c r="A567" i="13"/>
  <c r="A554" i="15" s="1"/>
  <c r="AA566" i="13"/>
  <c r="T566" i="13"/>
  <c r="A566" i="13"/>
  <c r="A553" i="15" s="1"/>
  <c r="AA565" i="13"/>
  <c r="T565" i="13"/>
  <c r="A565" i="13"/>
  <c r="A552" i="15" s="1"/>
  <c r="AA564" i="13"/>
  <c r="T564" i="13"/>
  <c r="A564" i="13"/>
  <c r="A551" i="15" s="1"/>
  <c r="AA563" i="13"/>
  <c r="T563" i="13"/>
  <c r="A563" i="13"/>
  <c r="A550" i="15" s="1"/>
  <c r="AA562" i="13"/>
  <c r="T562" i="13"/>
  <c r="A562" i="13"/>
  <c r="A549" i="15" s="1"/>
  <c r="AA561" i="13"/>
  <c r="T561" i="13"/>
  <c r="A561" i="13"/>
  <c r="A548" i="15" s="1"/>
  <c r="AA560" i="13"/>
  <c r="T560" i="13"/>
  <c r="A560" i="13"/>
  <c r="A547" i="15" s="1"/>
  <c r="AA559" i="13"/>
  <c r="T559" i="13"/>
  <c r="A559" i="13"/>
  <c r="A546" i="15" s="1"/>
  <c r="AA558" i="13"/>
  <c r="T558" i="13"/>
  <c r="A558" i="13"/>
  <c r="A545" i="15" s="1"/>
  <c r="AA557" i="13"/>
  <c r="T557" i="13"/>
  <c r="A557" i="13"/>
  <c r="A544" i="15" s="1"/>
  <c r="AA556" i="13"/>
  <c r="T556" i="13"/>
  <c r="A556" i="13"/>
  <c r="A543" i="15" s="1"/>
  <c r="AA555" i="13"/>
  <c r="T555" i="13"/>
  <c r="A555" i="13"/>
  <c r="A542" i="15" s="1"/>
  <c r="AA554" i="13"/>
  <c r="T554" i="13"/>
  <c r="A554" i="13"/>
  <c r="A541" i="15" s="1"/>
  <c r="AA553" i="13"/>
  <c r="T553" i="13"/>
  <c r="A553" i="13"/>
  <c r="A540" i="15" s="1"/>
  <c r="AA552" i="13"/>
  <c r="T552" i="13"/>
  <c r="A552" i="13"/>
  <c r="A539" i="15" s="1"/>
  <c r="AA551" i="13"/>
  <c r="T551" i="13"/>
  <c r="A551" i="13"/>
  <c r="A538" i="15" s="1"/>
  <c r="AA550" i="13"/>
  <c r="T550" i="13"/>
  <c r="A550" i="13"/>
  <c r="A537" i="15" s="1"/>
  <c r="AA549" i="13"/>
  <c r="T549" i="13"/>
  <c r="A549" i="13"/>
  <c r="A536" i="15" s="1"/>
  <c r="AA548" i="13"/>
  <c r="T548" i="13"/>
  <c r="A548" i="13"/>
  <c r="A535" i="15" s="1"/>
  <c r="AA547" i="13"/>
  <c r="T547" i="13"/>
  <c r="A547" i="13"/>
  <c r="A534" i="15" s="1"/>
  <c r="AA546" i="13"/>
  <c r="A546" i="13"/>
  <c r="A533" i="15" s="1"/>
  <c r="AA545" i="13"/>
  <c r="T545" i="13"/>
  <c r="A545" i="13"/>
  <c r="A532" i="15" s="1"/>
  <c r="AA544" i="13"/>
  <c r="T544" i="13"/>
  <c r="A544" i="13"/>
  <c r="A531" i="15" s="1"/>
  <c r="AA543" i="13"/>
  <c r="T543" i="13"/>
  <c r="A543" i="13"/>
  <c r="A530" i="15" s="1"/>
  <c r="AA542" i="13"/>
  <c r="A542" i="13"/>
  <c r="A529" i="15" s="1"/>
  <c r="AA541" i="13"/>
  <c r="A541" i="13"/>
  <c r="A528" i="15" s="1"/>
  <c r="AA540" i="13"/>
  <c r="T540" i="13"/>
  <c r="A540" i="13"/>
  <c r="A527" i="15" s="1"/>
  <c r="AA539" i="13"/>
  <c r="T539" i="13"/>
  <c r="A539" i="13"/>
  <c r="A526" i="15" s="1"/>
  <c r="AA538" i="13"/>
  <c r="A538" i="13"/>
  <c r="A525" i="15" s="1"/>
  <c r="AA537" i="13"/>
  <c r="T537" i="13"/>
  <c r="A537" i="13"/>
  <c r="A524" i="15" s="1"/>
  <c r="AA536" i="13"/>
  <c r="T536" i="13"/>
  <c r="A536" i="13"/>
  <c r="A523" i="15" s="1"/>
  <c r="AA535" i="13"/>
  <c r="T535" i="13"/>
  <c r="A535" i="13"/>
  <c r="A522" i="15" s="1"/>
  <c r="AA534" i="13"/>
  <c r="T534" i="13"/>
  <c r="A534" i="13"/>
  <c r="A521" i="15" s="1"/>
  <c r="AA533" i="13"/>
  <c r="T533" i="13"/>
  <c r="A533" i="13"/>
  <c r="A520" i="15" s="1"/>
  <c r="AA532" i="13"/>
  <c r="T532" i="13"/>
  <c r="A519" i="15"/>
  <c r="AA531" i="13"/>
  <c r="T531" i="13"/>
  <c r="A531" i="13"/>
  <c r="A518" i="15" s="1"/>
  <c r="AA530" i="13"/>
  <c r="T530" i="13"/>
  <c r="A530" i="13"/>
  <c r="A517" i="15" s="1"/>
  <c r="AA529" i="13"/>
  <c r="T529" i="13"/>
  <c r="A529" i="13"/>
  <c r="A516" i="15" s="1"/>
  <c r="AA528" i="13"/>
  <c r="T528" i="13"/>
  <c r="A528" i="13"/>
  <c r="A515" i="15" s="1"/>
  <c r="AA527" i="13"/>
  <c r="T527" i="13"/>
  <c r="A527" i="13"/>
  <c r="A514" i="15" s="1"/>
  <c r="AA526" i="13"/>
  <c r="T526" i="13"/>
  <c r="A526" i="13"/>
  <c r="A513" i="15" s="1"/>
  <c r="AA525" i="13"/>
  <c r="T525" i="13"/>
  <c r="A525" i="13"/>
  <c r="A512" i="15" s="1"/>
  <c r="AA524" i="13"/>
  <c r="T524" i="13"/>
  <c r="A524" i="13"/>
  <c r="A511" i="15" s="1"/>
  <c r="AA523" i="13"/>
  <c r="A523" i="13"/>
  <c r="A510" i="15" s="1"/>
  <c r="AA522" i="13"/>
  <c r="A522" i="13"/>
  <c r="A509" i="15" s="1"/>
  <c r="AA521" i="13"/>
  <c r="T521" i="13"/>
  <c r="A521" i="13"/>
  <c r="A508" i="15" s="1"/>
  <c r="AA520" i="13"/>
  <c r="T520" i="13"/>
  <c r="A520" i="13"/>
  <c r="A507" i="15" s="1"/>
  <c r="AA519" i="13"/>
  <c r="T519" i="13"/>
  <c r="A519" i="13"/>
  <c r="A506" i="15" s="1"/>
  <c r="AA518" i="13"/>
  <c r="T518" i="13"/>
  <c r="A518" i="13"/>
  <c r="A505" i="15" s="1"/>
  <c r="AA517" i="13"/>
  <c r="T517" i="13"/>
  <c r="A517" i="13"/>
  <c r="A504" i="15" s="1"/>
  <c r="AA516" i="13"/>
  <c r="T516" i="13"/>
  <c r="A516" i="13"/>
  <c r="A503" i="15" s="1"/>
  <c r="AA515" i="13"/>
  <c r="T515" i="13"/>
  <c r="A515" i="13"/>
  <c r="A502" i="15" s="1"/>
  <c r="AA514" i="13"/>
  <c r="T514" i="13"/>
  <c r="A514" i="13"/>
  <c r="A501" i="15" s="1"/>
  <c r="T513" i="13"/>
  <c r="A513" i="13"/>
  <c r="A500" i="15" s="1"/>
  <c r="AA512" i="13"/>
  <c r="T512" i="13"/>
  <c r="A512" i="13"/>
  <c r="A499" i="15" s="1"/>
  <c r="T511" i="13"/>
  <c r="A511" i="13"/>
  <c r="A498" i="15" s="1"/>
  <c r="AA510" i="13"/>
  <c r="T510" i="13"/>
  <c r="A510" i="13"/>
  <c r="A497" i="15" s="1"/>
  <c r="AA509" i="13"/>
  <c r="A509" i="13"/>
  <c r="A496" i="15" s="1"/>
  <c r="AA507" i="13"/>
  <c r="T507" i="13"/>
  <c r="A507" i="13"/>
  <c r="A494" i="15" s="1"/>
  <c r="AA506" i="13"/>
  <c r="T506" i="13"/>
  <c r="A506" i="13"/>
  <c r="A493" i="15" s="1"/>
  <c r="AA505" i="13"/>
  <c r="T505" i="13"/>
  <c r="A505" i="13"/>
  <c r="A492" i="15" s="1"/>
  <c r="AA504" i="13"/>
  <c r="A504" i="13"/>
  <c r="A491" i="15" s="1"/>
  <c r="AA503" i="13"/>
  <c r="A503" i="13"/>
  <c r="A490" i="15" s="1"/>
  <c r="AA502" i="13"/>
  <c r="A502" i="13"/>
  <c r="A489" i="15" s="1"/>
  <c r="AA501" i="13"/>
  <c r="T501" i="13"/>
  <c r="AA500" i="13"/>
  <c r="T500" i="13"/>
  <c r="A500" i="13"/>
  <c r="A487" i="15" s="1"/>
  <c r="AA499" i="13"/>
  <c r="T499" i="13"/>
  <c r="A499" i="13"/>
  <c r="A486" i="15" s="1"/>
  <c r="AA498" i="13"/>
  <c r="T498" i="13"/>
  <c r="A498" i="13"/>
  <c r="A485" i="15" s="1"/>
  <c r="AA497" i="13"/>
  <c r="T497" i="13"/>
  <c r="A497" i="13"/>
  <c r="A484" i="15" s="1"/>
  <c r="AA496" i="13"/>
  <c r="T496" i="13"/>
  <c r="A496" i="13"/>
  <c r="A483" i="15" s="1"/>
  <c r="AA495" i="13"/>
  <c r="T495" i="13"/>
  <c r="A495" i="13"/>
  <c r="A482" i="15" s="1"/>
  <c r="AA494" i="13"/>
  <c r="T494" i="13"/>
  <c r="A494" i="13"/>
  <c r="A481" i="15" s="1"/>
  <c r="AA493" i="13"/>
  <c r="T493" i="13"/>
  <c r="A493" i="13"/>
  <c r="A480" i="15" s="1"/>
  <c r="AA492" i="13"/>
  <c r="A492" i="13"/>
  <c r="A479" i="15" s="1"/>
  <c r="AA491" i="13"/>
  <c r="T491" i="13"/>
  <c r="A491" i="13"/>
  <c r="A478" i="15" s="1"/>
  <c r="AA490" i="13"/>
  <c r="T490" i="13"/>
  <c r="AA489" i="13"/>
  <c r="A489" i="13"/>
  <c r="A476" i="15" s="1"/>
  <c r="AA488" i="13"/>
  <c r="T488" i="13"/>
  <c r="A488" i="13"/>
  <c r="A475" i="15" s="1"/>
  <c r="AA487" i="13"/>
  <c r="T487" i="13"/>
  <c r="A487" i="13"/>
  <c r="A474" i="15" s="1"/>
  <c r="AA486" i="13"/>
  <c r="T486" i="13"/>
  <c r="A486" i="13"/>
  <c r="A473" i="15" s="1"/>
  <c r="AA485" i="13"/>
  <c r="T485" i="13"/>
  <c r="A485" i="13"/>
  <c r="A472" i="15" s="1"/>
  <c r="AA484" i="13"/>
  <c r="T484" i="13"/>
  <c r="A484" i="13"/>
  <c r="A471" i="15" s="1"/>
  <c r="AA483" i="13"/>
  <c r="T483" i="13"/>
  <c r="A483" i="13"/>
  <c r="A470" i="15" s="1"/>
  <c r="AA482" i="13"/>
  <c r="A482" i="13"/>
  <c r="A469" i="15" s="1"/>
  <c r="AA481" i="13"/>
  <c r="T481" i="13"/>
  <c r="A481" i="13"/>
  <c r="A468" i="15" s="1"/>
  <c r="AA480" i="13"/>
  <c r="A480" i="13"/>
  <c r="A467" i="15" s="1"/>
  <c r="AA479" i="13"/>
  <c r="T479" i="13"/>
  <c r="A479" i="13"/>
  <c r="A466" i="15" s="1"/>
  <c r="AA478" i="13"/>
  <c r="A478" i="13"/>
  <c r="A465" i="15" s="1"/>
  <c r="AA477" i="13"/>
  <c r="A477" i="13"/>
  <c r="A464" i="15" s="1"/>
  <c r="AA476" i="13"/>
  <c r="T476" i="13"/>
  <c r="A476" i="13"/>
  <c r="A463" i="15" s="1"/>
  <c r="AA475" i="13"/>
  <c r="T475" i="13"/>
  <c r="A475" i="13"/>
  <c r="A462" i="15" s="1"/>
  <c r="AA474" i="13"/>
  <c r="T474" i="13"/>
  <c r="A474" i="13"/>
  <c r="A461" i="15" s="1"/>
  <c r="AA473" i="13"/>
  <c r="T473" i="13"/>
  <c r="A473" i="13"/>
  <c r="A460" i="15" s="1"/>
  <c r="AA472" i="13"/>
  <c r="A472" i="13"/>
  <c r="A459" i="15" s="1"/>
  <c r="AA471" i="13"/>
  <c r="A471" i="13"/>
  <c r="A458" i="15" s="1"/>
  <c r="AA470" i="13"/>
  <c r="A470" i="13"/>
  <c r="A457" i="15" s="1"/>
  <c r="AA469" i="13"/>
  <c r="T469" i="13"/>
  <c r="A469" i="13"/>
  <c r="A456" i="15" s="1"/>
  <c r="AA468" i="13"/>
  <c r="T468" i="13"/>
  <c r="A468" i="13"/>
  <c r="A455" i="15" s="1"/>
  <c r="AA467" i="13"/>
  <c r="T467" i="13"/>
  <c r="A467" i="13"/>
  <c r="A454" i="15" s="1"/>
  <c r="AA466" i="13"/>
  <c r="T466" i="13"/>
  <c r="A466" i="13"/>
  <c r="A453" i="15" s="1"/>
  <c r="AA465" i="13"/>
  <c r="T465" i="13"/>
  <c r="A465" i="13"/>
  <c r="A452" i="15" s="1"/>
  <c r="AA464" i="13"/>
  <c r="A464" i="13"/>
  <c r="A451" i="15" s="1"/>
  <c r="AA463" i="13"/>
  <c r="T463" i="13"/>
  <c r="A463" i="13"/>
  <c r="A450" i="15" s="1"/>
  <c r="AA462" i="13"/>
  <c r="A462" i="13"/>
  <c r="A449" i="15" s="1"/>
  <c r="AA461" i="13"/>
  <c r="A461" i="13"/>
  <c r="A448" i="15" s="1"/>
  <c r="AA460" i="13"/>
  <c r="A460" i="13"/>
  <c r="A447" i="15" s="1"/>
  <c r="AA459" i="13"/>
  <c r="A459" i="13"/>
  <c r="A446" i="15" s="1"/>
  <c r="AA458" i="13"/>
  <c r="T458" i="13"/>
  <c r="A458" i="13"/>
  <c r="A445" i="15" s="1"/>
  <c r="AA457" i="13"/>
  <c r="T457" i="13"/>
  <c r="A457" i="13"/>
  <c r="A444" i="15" s="1"/>
  <c r="AA456" i="13"/>
  <c r="A456" i="13"/>
  <c r="A443" i="15" s="1"/>
  <c r="AA455" i="13"/>
  <c r="T455" i="13"/>
  <c r="A455" i="13"/>
  <c r="A442" i="15" s="1"/>
  <c r="AA454" i="13"/>
  <c r="T454" i="13"/>
  <c r="A454" i="13"/>
  <c r="A441" i="15" s="1"/>
  <c r="AA453" i="13"/>
  <c r="T453" i="13"/>
  <c r="A453" i="13"/>
  <c r="A440" i="15" s="1"/>
  <c r="AA452" i="13"/>
  <c r="T452" i="13"/>
  <c r="A452" i="13"/>
  <c r="A439" i="15" s="1"/>
  <c r="AA451" i="13"/>
  <c r="T451" i="13"/>
  <c r="A451" i="13"/>
  <c r="A438" i="15" s="1"/>
  <c r="AA450" i="13"/>
  <c r="T450" i="13"/>
  <c r="A450" i="13"/>
  <c r="A437" i="15" s="1"/>
  <c r="AA449" i="13"/>
  <c r="T449" i="13"/>
  <c r="A449" i="13"/>
  <c r="A436" i="15" s="1"/>
  <c r="AA448" i="13"/>
  <c r="T448" i="13"/>
  <c r="A448" i="13"/>
  <c r="A435" i="15" s="1"/>
  <c r="AA447" i="13"/>
  <c r="T447" i="13"/>
  <c r="A447" i="13"/>
  <c r="A434" i="15" s="1"/>
  <c r="AA446" i="13"/>
  <c r="T446" i="13"/>
  <c r="A446" i="13"/>
  <c r="A433" i="15" s="1"/>
  <c r="AA445" i="13"/>
  <c r="A445" i="13"/>
  <c r="A432" i="15" s="1"/>
  <c r="AA444" i="13"/>
  <c r="A444" i="13"/>
  <c r="A431" i="15" s="1"/>
  <c r="AA443" i="13"/>
  <c r="T443" i="13"/>
  <c r="A443" i="13"/>
  <c r="A430" i="15" s="1"/>
  <c r="AA442" i="13"/>
  <c r="T442" i="13"/>
  <c r="A442" i="13"/>
  <c r="A429" i="15" s="1"/>
  <c r="T441" i="13"/>
  <c r="A441" i="13"/>
  <c r="A428" i="15" s="1"/>
  <c r="T440" i="13"/>
  <c r="A440" i="13"/>
  <c r="A427" i="15" s="1"/>
  <c r="T439" i="13"/>
  <c r="A439" i="13"/>
  <c r="A426" i="15" s="1"/>
  <c r="T438" i="13"/>
  <c r="A438" i="13"/>
  <c r="A425" i="15" s="1"/>
  <c r="T437" i="13"/>
  <c r="A437" i="13"/>
  <c r="A424" i="15" s="1"/>
  <c r="AA436" i="13"/>
  <c r="T436" i="13"/>
  <c r="A436" i="13"/>
  <c r="A423" i="15" s="1"/>
  <c r="AA435" i="13"/>
  <c r="T435" i="13"/>
  <c r="A435" i="13"/>
  <c r="A422" i="15" s="1"/>
  <c r="AA434" i="13"/>
  <c r="T434" i="13"/>
  <c r="A434" i="13"/>
  <c r="A421" i="15" s="1"/>
  <c r="AA433" i="13"/>
  <c r="A433" i="13"/>
  <c r="A420" i="15" s="1"/>
  <c r="AA432" i="13"/>
  <c r="T432" i="13"/>
  <c r="A432" i="13"/>
  <c r="A419" i="15" s="1"/>
  <c r="AA431" i="13"/>
  <c r="T431" i="13"/>
  <c r="A431" i="13"/>
  <c r="A418" i="15" s="1"/>
  <c r="AA430" i="13"/>
  <c r="T430" i="13"/>
  <c r="A430" i="13"/>
  <c r="A417" i="15" s="1"/>
  <c r="AA429" i="13"/>
  <c r="A429" i="13"/>
  <c r="A416" i="15" s="1"/>
  <c r="AA428" i="13"/>
  <c r="A428" i="13"/>
  <c r="A415" i="15" s="1"/>
  <c r="AA427" i="13"/>
  <c r="T427" i="13"/>
  <c r="A427" i="13"/>
  <c r="A414" i="15" s="1"/>
  <c r="T426" i="13"/>
  <c r="A426" i="13"/>
  <c r="A413" i="15" s="1"/>
  <c r="AA425" i="13"/>
  <c r="T425" i="13"/>
  <c r="A425" i="13"/>
  <c r="A412" i="15" s="1"/>
  <c r="AA424" i="13"/>
  <c r="T424" i="13"/>
  <c r="A424" i="13"/>
  <c r="A411" i="15" s="1"/>
  <c r="AA423" i="13"/>
  <c r="T423" i="13"/>
  <c r="AA422" i="13"/>
  <c r="T422" i="13"/>
  <c r="A422" i="13"/>
  <c r="A409" i="15" s="1"/>
  <c r="AA421" i="13"/>
  <c r="T421" i="13"/>
  <c r="A421" i="13"/>
  <c r="A408" i="15" s="1"/>
  <c r="AA420" i="13"/>
  <c r="A420" i="13"/>
  <c r="A407" i="15" s="1"/>
  <c r="AA419" i="13"/>
  <c r="A419" i="13"/>
  <c r="A406" i="15" s="1"/>
  <c r="AA418" i="13"/>
  <c r="T418" i="13"/>
  <c r="A418" i="13"/>
  <c r="A405" i="15" s="1"/>
  <c r="T417" i="13"/>
  <c r="A417" i="13"/>
  <c r="A404" i="15" s="1"/>
  <c r="AA416" i="13"/>
  <c r="T416" i="13"/>
  <c r="A416" i="13"/>
  <c r="A403" i="15" s="1"/>
  <c r="AA415" i="13"/>
  <c r="T415" i="13"/>
  <c r="A415" i="13"/>
  <c r="A402" i="15" s="1"/>
  <c r="AA414" i="13"/>
  <c r="T414" i="13"/>
  <c r="A414" i="13"/>
  <c r="A401" i="15" s="1"/>
  <c r="AA413" i="13"/>
  <c r="T413" i="13"/>
  <c r="A413" i="13"/>
  <c r="A400" i="15" s="1"/>
  <c r="AA412" i="13"/>
  <c r="T412" i="13"/>
  <c r="A412" i="13"/>
  <c r="A399" i="15" s="1"/>
  <c r="AA411" i="13"/>
  <c r="T411" i="13"/>
  <c r="A411" i="13"/>
  <c r="A398" i="15" s="1"/>
  <c r="AA410" i="13"/>
  <c r="T410" i="13"/>
  <c r="A410" i="13"/>
  <c r="A397" i="15" s="1"/>
  <c r="AA409" i="13"/>
  <c r="T409" i="13"/>
  <c r="A409" i="13"/>
  <c r="A396" i="15" s="1"/>
  <c r="AA408" i="13"/>
  <c r="T408" i="13"/>
  <c r="A408" i="13"/>
  <c r="A395" i="15" s="1"/>
  <c r="AA407" i="13"/>
  <c r="A407" i="13"/>
  <c r="A394" i="15" s="1"/>
  <c r="AA406" i="13"/>
  <c r="T406" i="13"/>
  <c r="A406" i="13"/>
  <c r="A393" i="15" s="1"/>
  <c r="AA405" i="13"/>
  <c r="T405" i="13"/>
  <c r="A405" i="13"/>
  <c r="A392" i="15" s="1"/>
  <c r="AA404" i="13"/>
  <c r="T404" i="13"/>
  <c r="A404" i="13"/>
  <c r="A391" i="15" s="1"/>
  <c r="AA403" i="13"/>
  <c r="T403" i="13"/>
  <c r="A403" i="13"/>
  <c r="A390" i="15" s="1"/>
  <c r="AA402" i="13"/>
  <c r="T402" i="13"/>
  <c r="A402" i="13"/>
  <c r="A389" i="15" s="1"/>
  <c r="AA401" i="13"/>
  <c r="T401" i="13"/>
  <c r="A401" i="13"/>
  <c r="A388" i="15" s="1"/>
  <c r="AA400" i="13"/>
  <c r="T400" i="13"/>
  <c r="A400" i="13"/>
  <c r="A387" i="15" s="1"/>
  <c r="AA399" i="13"/>
  <c r="T399" i="13"/>
  <c r="A399" i="13"/>
  <c r="A386" i="15" s="1"/>
  <c r="AA398" i="13"/>
  <c r="T398" i="13"/>
  <c r="A398" i="13"/>
  <c r="A385" i="15" s="1"/>
  <c r="AA397" i="13"/>
  <c r="T397" i="13"/>
  <c r="A397" i="13"/>
  <c r="A384" i="15" s="1"/>
  <c r="AA396" i="13"/>
  <c r="T396" i="13"/>
  <c r="A396" i="13"/>
  <c r="A383" i="15" s="1"/>
  <c r="AA395" i="13"/>
  <c r="A395" i="13"/>
  <c r="A382" i="15" s="1"/>
  <c r="AA394" i="13"/>
  <c r="T394" i="13"/>
  <c r="A394" i="13"/>
  <c r="A381" i="15" s="1"/>
  <c r="AA393" i="13"/>
  <c r="T393" i="13"/>
  <c r="A393" i="13"/>
  <c r="A380" i="15" s="1"/>
  <c r="T392" i="13"/>
  <c r="A392" i="13"/>
  <c r="A379" i="15" s="1"/>
  <c r="AA391" i="13"/>
  <c r="T391" i="13"/>
  <c r="A391" i="13"/>
  <c r="A378" i="15" s="1"/>
  <c r="AA390" i="13"/>
  <c r="T390" i="13"/>
  <c r="A390" i="13"/>
  <c r="A377" i="15" s="1"/>
  <c r="AA389" i="13"/>
  <c r="T389" i="13"/>
  <c r="A389" i="13"/>
  <c r="A376" i="15" s="1"/>
  <c r="AA388" i="13"/>
  <c r="T388" i="13"/>
  <c r="A388" i="13"/>
  <c r="A375" i="15" s="1"/>
  <c r="AA387" i="13"/>
  <c r="T387" i="13"/>
  <c r="A387" i="13"/>
  <c r="A374" i="15" s="1"/>
  <c r="AA386" i="13"/>
  <c r="T386" i="13"/>
  <c r="A386" i="13"/>
  <c r="A373" i="15" s="1"/>
  <c r="AA385" i="13"/>
  <c r="T385" i="13"/>
  <c r="A385" i="13"/>
  <c r="A372" i="15" s="1"/>
  <c r="AA384" i="13"/>
  <c r="T384" i="13"/>
  <c r="A384" i="13"/>
  <c r="A371" i="15" s="1"/>
  <c r="AA383" i="13"/>
  <c r="T383" i="13"/>
  <c r="A383" i="13"/>
  <c r="A370" i="15" s="1"/>
  <c r="AA382" i="13"/>
  <c r="T382" i="13"/>
  <c r="A382" i="13"/>
  <c r="A369" i="15" s="1"/>
  <c r="AA381" i="13"/>
  <c r="T381" i="13"/>
  <c r="A381" i="13"/>
  <c r="A368" i="15" s="1"/>
  <c r="AA380" i="13"/>
  <c r="S380" i="13"/>
  <c r="T380" i="13" s="1"/>
  <c r="A380" i="13"/>
  <c r="A367" i="15" s="1"/>
  <c r="AA379" i="13"/>
  <c r="T379" i="13"/>
  <c r="A379" i="13"/>
  <c r="A366" i="15" s="1"/>
  <c r="AA378" i="13"/>
  <c r="T378" i="13"/>
  <c r="A378" i="13"/>
  <c r="A365" i="15" s="1"/>
  <c r="AA377" i="13"/>
  <c r="A377" i="13"/>
  <c r="A364" i="15" s="1"/>
  <c r="AA376" i="13"/>
  <c r="T376" i="13"/>
  <c r="A376" i="13"/>
  <c r="A363" i="15" s="1"/>
  <c r="AA375" i="13"/>
  <c r="T375" i="13"/>
  <c r="A375" i="13"/>
  <c r="A362" i="15" s="1"/>
  <c r="AA374" i="13"/>
  <c r="T374" i="13"/>
  <c r="A374" i="13"/>
  <c r="A361" i="15" s="1"/>
  <c r="AA373" i="13"/>
  <c r="T373" i="13"/>
  <c r="A373" i="13"/>
  <c r="A360" i="15" s="1"/>
  <c r="AA372" i="13"/>
  <c r="T372" i="13"/>
  <c r="A372" i="13"/>
  <c r="A359" i="15" s="1"/>
  <c r="AA371" i="13"/>
  <c r="S371" i="13"/>
  <c r="T371" i="13" s="1"/>
  <c r="A371" i="13"/>
  <c r="A358" i="15" s="1"/>
  <c r="AA370" i="13"/>
  <c r="A370" i="13"/>
  <c r="A357" i="15" s="1"/>
  <c r="AA369" i="13"/>
  <c r="A369" i="13"/>
  <c r="A356" i="15" s="1"/>
  <c r="AA368" i="13"/>
  <c r="T368" i="13"/>
  <c r="A368" i="13"/>
  <c r="A355" i="15" s="1"/>
  <c r="T367" i="13"/>
  <c r="A367" i="13"/>
  <c r="A354" i="15" s="1"/>
  <c r="AA366" i="13"/>
  <c r="T366" i="13"/>
  <c r="A366" i="13"/>
  <c r="A353" i="15" s="1"/>
  <c r="AA365" i="13"/>
  <c r="T365" i="13"/>
  <c r="A365" i="13"/>
  <c r="A352" i="15" s="1"/>
  <c r="AA364" i="13"/>
  <c r="S364" i="13"/>
  <c r="T364" i="13" s="1"/>
  <c r="A364" i="13"/>
  <c r="A351" i="15" s="1"/>
  <c r="AA363" i="13"/>
  <c r="T363" i="13"/>
  <c r="A363" i="13"/>
  <c r="A350" i="15" s="1"/>
  <c r="AA362" i="13"/>
  <c r="T362" i="13"/>
  <c r="A362" i="13"/>
  <c r="A349" i="15" s="1"/>
  <c r="AA361" i="13"/>
  <c r="T361" i="13"/>
  <c r="A361" i="13"/>
  <c r="A348" i="15" s="1"/>
  <c r="AA360" i="13"/>
  <c r="T360" i="13"/>
  <c r="A360" i="13"/>
  <c r="A347" i="15" s="1"/>
  <c r="AA359" i="13"/>
  <c r="T359" i="13"/>
  <c r="A359" i="13"/>
  <c r="A346" i="15" s="1"/>
  <c r="AA358" i="13"/>
  <c r="T358" i="13"/>
  <c r="A358" i="13"/>
  <c r="A345" i="15" s="1"/>
  <c r="AA357" i="13"/>
  <c r="S357" i="13"/>
  <c r="T357" i="13" s="1"/>
  <c r="A357" i="13"/>
  <c r="A344" i="15" s="1"/>
  <c r="AA356" i="13"/>
  <c r="T356" i="13"/>
  <c r="A356" i="13"/>
  <c r="A343" i="15" s="1"/>
  <c r="AA355" i="13"/>
  <c r="A355" i="13"/>
  <c r="A342" i="15" s="1"/>
  <c r="AA354" i="13"/>
  <c r="T354" i="13"/>
  <c r="A354" i="13"/>
  <c r="A341" i="15" s="1"/>
  <c r="AA353" i="13"/>
  <c r="T353" i="13"/>
  <c r="A353" i="13"/>
  <c r="A340" i="15" s="1"/>
  <c r="AA352" i="13"/>
  <c r="T352" i="13"/>
  <c r="A352" i="13"/>
  <c r="A339" i="15" s="1"/>
  <c r="AA351" i="13"/>
  <c r="T351" i="13"/>
  <c r="A351" i="13"/>
  <c r="A338" i="15" s="1"/>
  <c r="AA350" i="13"/>
  <c r="T350" i="13"/>
  <c r="A350" i="13"/>
  <c r="A337" i="15" s="1"/>
  <c r="AA349" i="13"/>
  <c r="T349" i="13"/>
  <c r="A349" i="13"/>
  <c r="A336" i="15" s="1"/>
  <c r="AA348" i="13"/>
  <c r="T348" i="13"/>
  <c r="A348" i="13"/>
  <c r="A335" i="15" s="1"/>
  <c r="AA347" i="13"/>
  <c r="T347" i="13"/>
  <c r="A347" i="13"/>
  <c r="A334" i="15" s="1"/>
  <c r="AA346" i="13"/>
  <c r="T346" i="13"/>
  <c r="A346" i="13"/>
  <c r="A333" i="15" s="1"/>
  <c r="AA345" i="13"/>
  <c r="T345" i="13"/>
  <c r="A345" i="13"/>
  <c r="A332" i="15" s="1"/>
  <c r="AA344" i="13"/>
  <c r="T344" i="13"/>
  <c r="A344" i="13"/>
  <c r="A331" i="15" s="1"/>
  <c r="AA343" i="13"/>
  <c r="T343" i="13"/>
  <c r="A343" i="13"/>
  <c r="A330" i="15" s="1"/>
  <c r="AA342" i="13"/>
  <c r="T342" i="13"/>
  <c r="A342" i="13"/>
  <c r="A329" i="15" s="1"/>
  <c r="AA341" i="13"/>
  <c r="T341" i="13"/>
  <c r="A341" i="13"/>
  <c r="A328" i="15" s="1"/>
  <c r="AA340" i="13"/>
  <c r="T340" i="13"/>
  <c r="A340" i="13"/>
  <c r="A327" i="15" s="1"/>
  <c r="AA339" i="13"/>
  <c r="T339" i="13"/>
  <c r="A339" i="13"/>
  <c r="A326" i="15" s="1"/>
  <c r="AA338" i="13"/>
  <c r="T338" i="13"/>
  <c r="A338" i="13"/>
  <c r="A325" i="15" s="1"/>
  <c r="AA337" i="13"/>
  <c r="T337" i="13"/>
  <c r="A337" i="13"/>
  <c r="A324" i="15" s="1"/>
  <c r="AA336" i="13"/>
  <c r="T336" i="13"/>
  <c r="AA334" i="13"/>
  <c r="S334" i="13"/>
  <c r="T334" i="13" s="1"/>
  <c r="A334" i="13"/>
  <c r="A322" i="15" s="1"/>
  <c r="AA333" i="13"/>
  <c r="S333" i="13"/>
  <c r="T333" i="13" s="1"/>
  <c r="A333" i="13"/>
  <c r="A321" i="15" s="1"/>
  <c r="AA332" i="13"/>
  <c r="S332" i="13"/>
  <c r="T332" i="13" s="1"/>
  <c r="A332" i="13"/>
  <c r="A320" i="15" s="1"/>
  <c r="AA331" i="13"/>
  <c r="T331" i="13"/>
  <c r="A331" i="13"/>
  <c r="A319" i="15" s="1"/>
  <c r="AA330" i="13"/>
  <c r="S330" i="13"/>
  <c r="T330" i="13" s="1"/>
  <c r="A330" i="13"/>
  <c r="A318" i="15" s="1"/>
  <c r="AA329" i="13"/>
  <c r="T329" i="13"/>
  <c r="A329" i="13"/>
  <c r="A317" i="15" s="1"/>
  <c r="AA328" i="13"/>
  <c r="A328" i="13"/>
  <c r="A316" i="15" s="1"/>
  <c r="AA327" i="13"/>
  <c r="T327" i="13"/>
  <c r="A327" i="13"/>
  <c r="A315" i="15" s="1"/>
  <c r="AA326" i="13"/>
  <c r="T326" i="13"/>
  <c r="A326" i="13"/>
  <c r="A314" i="15" s="1"/>
  <c r="AA325" i="13"/>
  <c r="T325" i="13"/>
  <c r="A325" i="13"/>
  <c r="A313" i="15" s="1"/>
  <c r="AA324" i="13"/>
  <c r="T324" i="13"/>
  <c r="A324" i="13"/>
  <c r="A312" i="15" s="1"/>
  <c r="AA323" i="13"/>
  <c r="T323" i="13"/>
  <c r="A323" i="13"/>
  <c r="A311" i="15" s="1"/>
  <c r="AA322" i="13"/>
  <c r="A322" i="13"/>
  <c r="A310" i="15" s="1"/>
  <c r="AA321" i="13"/>
  <c r="T321" i="13"/>
  <c r="A321" i="13"/>
  <c r="A309" i="15" s="1"/>
  <c r="AA320" i="13"/>
  <c r="T320" i="13"/>
  <c r="A320" i="13"/>
  <c r="A308" i="15" s="1"/>
  <c r="AA319" i="13"/>
  <c r="T319" i="13"/>
  <c r="A319" i="13"/>
  <c r="A307" i="15" s="1"/>
  <c r="AA318" i="13"/>
  <c r="T318" i="13"/>
  <c r="A318" i="13"/>
  <c r="A306" i="15" s="1"/>
  <c r="AA317" i="13"/>
  <c r="T317" i="13"/>
  <c r="A317" i="13"/>
  <c r="A305" i="15" s="1"/>
  <c r="AA316" i="13"/>
  <c r="T316" i="13"/>
  <c r="A316" i="13"/>
  <c r="A304" i="15" s="1"/>
  <c r="AA315" i="13"/>
  <c r="T315" i="13"/>
  <c r="A315" i="13"/>
  <c r="A303" i="15" s="1"/>
  <c r="AA314" i="13"/>
  <c r="T314" i="13"/>
  <c r="A314" i="13"/>
  <c r="A302" i="15" s="1"/>
  <c r="AA313" i="13"/>
  <c r="T313" i="13"/>
  <c r="A313" i="13"/>
  <c r="A301" i="15" s="1"/>
  <c r="AA312" i="13"/>
  <c r="T312" i="13"/>
  <c r="A312" i="13"/>
  <c r="A300" i="15" s="1"/>
  <c r="AA311" i="13"/>
  <c r="T311" i="13"/>
  <c r="A311" i="13"/>
  <c r="A299" i="15" s="1"/>
  <c r="AA310" i="13"/>
  <c r="T310" i="13"/>
  <c r="A310" i="13"/>
  <c r="A298" i="15" s="1"/>
  <c r="AA309" i="13"/>
  <c r="T309" i="13"/>
  <c r="A309" i="13"/>
  <c r="A297" i="15" s="1"/>
  <c r="AA308" i="13"/>
  <c r="T308" i="13"/>
  <c r="A308" i="13"/>
  <c r="A296" i="15" s="1"/>
  <c r="AA307" i="13"/>
  <c r="T307" i="13"/>
  <c r="A307" i="13"/>
  <c r="A295" i="15" s="1"/>
  <c r="AA306" i="13"/>
  <c r="T306" i="13"/>
  <c r="A306" i="13"/>
  <c r="A294" i="15" s="1"/>
  <c r="AA305" i="13"/>
  <c r="T305" i="13"/>
  <c r="A305" i="13"/>
  <c r="A293" i="15" s="1"/>
  <c r="AA304" i="13"/>
  <c r="T304" i="13"/>
  <c r="A304" i="13"/>
  <c r="A292" i="15" s="1"/>
  <c r="AA303" i="13"/>
  <c r="T303" i="13"/>
  <c r="A303" i="13"/>
  <c r="A291" i="15" s="1"/>
  <c r="AA302" i="13"/>
  <c r="T302" i="13"/>
  <c r="A302" i="13"/>
  <c r="A290" i="15" s="1"/>
  <c r="AA301" i="13"/>
  <c r="A301" i="13"/>
  <c r="A289" i="15" s="1"/>
  <c r="AA300" i="13"/>
  <c r="T300" i="13"/>
  <c r="A300" i="13"/>
  <c r="A288" i="15" s="1"/>
  <c r="AA299" i="13"/>
  <c r="T299" i="13"/>
  <c r="A299" i="13"/>
  <c r="A287" i="15" s="1"/>
  <c r="AA298" i="13"/>
  <c r="T298" i="13"/>
  <c r="A298" i="13"/>
  <c r="A286" i="15" s="1"/>
  <c r="AA297" i="13"/>
  <c r="T297" i="13"/>
  <c r="A297" i="13"/>
  <c r="A285" i="15" s="1"/>
  <c r="AA296" i="13"/>
  <c r="A296" i="13"/>
  <c r="A284" i="15" s="1"/>
  <c r="AA295" i="13"/>
  <c r="T295" i="13"/>
  <c r="A295" i="13"/>
  <c r="A283" i="15" s="1"/>
  <c r="AA294" i="13"/>
  <c r="T294" i="13"/>
  <c r="A294" i="13"/>
  <c r="A282" i="15" s="1"/>
  <c r="AA293" i="13"/>
  <c r="T293" i="13"/>
  <c r="A293" i="13"/>
  <c r="A281" i="15" s="1"/>
  <c r="AA292" i="13"/>
  <c r="T292" i="13"/>
  <c r="A292" i="13"/>
  <c r="A280" i="15" s="1"/>
  <c r="AA291" i="13"/>
  <c r="T291" i="13"/>
  <c r="A291" i="13"/>
  <c r="A279" i="15" s="1"/>
  <c r="AA290" i="13"/>
  <c r="T290" i="13"/>
  <c r="A290" i="13"/>
  <c r="A278" i="15" s="1"/>
  <c r="AA289" i="13"/>
  <c r="T289" i="13"/>
  <c r="A289" i="13"/>
  <c r="A277" i="15" s="1"/>
  <c r="AA288" i="13"/>
  <c r="T288" i="13"/>
  <c r="A288" i="13"/>
  <c r="A276" i="15" s="1"/>
  <c r="AA287" i="13"/>
  <c r="T287" i="13"/>
  <c r="A287" i="13"/>
  <c r="A275" i="15" s="1"/>
  <c r="AA286" i="13"/>
  <c r="T286" i="13"/>
  <c r="A286" i="13"/>
  <c r="A274" i="15" s="1"/>
  <c r="AA285" i="13"/>
  <c r="T285" i="13"/>
  <c r="A285" i="13"/>
  <c r="A273" i="15" s="1"/>
  <c r="AA284" i="13"/>
  <c r="T284" i="13"/>
  <c r="A284" i="13"/>
  <c r="A272" i="15" s="1"/>
  <c r="AA283" i="13"/>
  <c r="T283" i="13"/>
  <c r="A283" i="13"/>
  <c r="A271" i="15" s="1"/>
  <c r="AA282" i="13"/>
  <c r="T282" i="13"/>
  <c r="A282" i="13"/>
  <c r="A270" i="15" s="1"/>
  <c r="AA281" i="13"/>
  <c r="S281" i="13"/>
  <c r="T281" i="13" s="1"/>
  <c r="A281" i="13"/>
  <c r="A269" i="15" s="1"/>
  <c r="AA280" i="13"/>
  <c r="T280" i="13"/>
  <c r="A280" i="13"/>
  <c r="A268" i="15" s="1"/>
  <c r="AA279" i="13"/>
  <c r="T279" i="13"/>
  <c r="A279" i="13"/>
  <c r="A267" i="15" s="1"/>
  <c r="AA278" i="13"/>
  <c r="T278" i="13"/>
  <c r="A278" i="13"/>
  <c r="A266" i="15" s="1"/>
  <c r="AA277" i="13"/>
  <c r="T277" i="13"/>
  <c r="A277" i="13"/>
  <c r="A265" i="15" s="1"/>
  <c r="AA276" i="13"/>
  <c r="T276" i="13"/>
  <c r="A276" i="13"/>
  <c r="A264" i="15" s="1"/>
  <c r="AA275" i="13"/>
  <c r="A275" i="13"/>
  <c r="A263" i="15" s="1"/>
  <c r="AA274" i="13"/>
  <c r="T274" i="13"/>
  <c r="A274" i="13"/>
  <c r="A262" i="15" s="1"/>
  <c r="AA273" i="13"/>
  <c r="T273" i="13"/>
  <c r="A273" i="13"/>
  <c r="A261" i="15" s="1"/>
  <c r="AA272" i="13"/>
  <c r="T272" i="13"/>
  <c r="A272" i="13"/>
  <c r="A260" i="15" s="1"/>
  <c r="AA271" i="13"/>
  <c r="T271" i="13"/>
  <c r="A271" i="13"/>
  <c r="A259" i="15" s="1"/>
  <c r="AA270" i="13"/>
  <c r="T270" i="13"/>
  <c r="A270" i="13"/>
  <c r="A258" i="15" s="1"/>
  <c r="AA269" i="13"/>
  <c r="T269" i="13"/>
  <c r="A269" i="13"/>
  <c r="A257" i="15" s="1"/>
  <c r="AA268" i="13"/>
  <c r="T268" i="13"/>
  <c r="A268" i="13"/>
  <c r="A256" i="15" s="1"/>
  <c r="AA267" i="13"/>
  <c r="S267" i="13"/>
  <c r="T267" i="13" s="1"/>
  <c r="A267" i="13"/>
  <c r="A255" i="15" s="1"/>
  <c r="A266" i="13"/>
  <c r="A254" i="15" s="1"/>
  <c r="AA265" i="13"/>
  <c r="T265" i="13"/>
  <c r="A265" i="13"/>
  <c r="A253" i="15" s="1"/>
  <c r="AA264" i="13"/>
  <c r="A264" i="13"/>
  <c r="A252" i="15" s="1"/>
  <c r="AA263" i="13"/>
  <c r="T263" i="13"/>
  <c r="A263" i="13"/>
  <c r="A251" i="15" s="1"/>
  <c r="AA262" i="13"/>
  <c r="T262" i="13"/>
  <c r="A262" i="13"/>
  <c r="A250" i="15" s="1"/>
  <c r="AA261" i="13"/>
  <c r="T261" i="13"/>
  <c r="A261" i="13"/>
  <c r="A249" i="15" s="1"/>
  <c r="AA260" i="13"/>
  <c r="T260" i="13"/>
  <c r="A260" i="13"/>
  <c r="A248" i="15" s="1"/>
  <c r="AA259" i="13"/>
  <c r="T259" i="13"/>
  <c r="A259" i="13"/>
  <c r="A247" i="15" s="1"/>
  <c r="AA258" i="13"/>
  <c r="T258" i="13"/>
  <c r="A258" i="13"/>
  <c r="A246" i="15" s="1"/>
  <c r="AA257" i="13"/>
  <c r="T257" i="13"/>
  <c r="A257" i="13"/>
  <c r="A245" i="15" s="1"/>
  <c r="AA256" i="13"/>
  <c r="T256" i="13"/>
  <c r="A256" i="13"/>
  <c r="A244" i="15" s="1"/>
  <c r="AA255" i="13"/>
  <c r="S255" i="13"/>
  <c r="T255" i="13" s="1"/>
  <c r="A255" i="13"/>
  <c r="A243" i="15" s="1"/>
  <c r="AA254" i="13"/>
  <c r="S254" i="13"/>
  <c r="T254" i="13" s="1"/>
  <c r="A254" i="13"/>
  <c r="A242" i="15" s="1"/>
  <c r="AA253" i="13"/>
  <c r="S253" i="13"/>
  <c r="T253" i="13" s="1"/>
  <c r="A253" i="13"/>
  <c r="A241" i="15" s="1"/>
  <c r="AA252" i="13"/>
  <c r="A252" i="13"/>
  <c r="A240" i="15" s="1"/>
  <c r="AA251" i="13"/>
  <c r="S251" i="13"/>
  <c r="T251" i="13" s="1"/>
  <c r="A251" i="13"/>
  <c r="A239" i="15" s="1"/>
  <c r="AA250" i="13"/>
  <c r="T250" i="13"/>
  <c r="A250" i="13"/>
  <c r="A238" i="15" s="1"/>
  <c r="AA249" i="13"/>
  <c r="T249" i="13"/>
  <c r="A249" i="13"/>
  <c r="A237" i="15" s="1"/>
  <c r="AA248" i="13"/>
  <c r="S248" i="13"/>
  <c r="T248" i="13" s="1"/>
  <c r="A248" i="13"/>
  <c r="A236" i="15" s="1"/>
  <c r="AA247" i="13"/>
  <c r="T247" i="13"/>
  <c r="A247" i="13"/>
  <c r="A235" i="15" s="1"/>
  <c r="AA246" i="13"/>
  <c r="T246" i="13"/>
  <c r="A246" i="13"/>
  <c r="A234" i="15" s="1"/>
  <c r="AA245" i="13"/>
  <c r="T245" i="13"/>
  <c r="A245" i="13"/>
  <c r="A233" i="15" s="1"/>
  <c r="AA244" i="13"/>
  <c r="T244" i="13"/>
  <c r="A244" i="13"/>
  <c r="A232" i="15" s="1"/>
  <c r="AA243" i="13"/>
  <c r="A243" i="13"/>
  <c r="A231" i="15" s="1"/>
  <c r="AA242" i="13"/>
  <c r="S242" i="13"/>
  <c r="T242" i="13" s="1"/>
  <c r="A242" i="13"/>
  <c r="A230" i="15" s="1"/>
  <c r="AA241" i="13"/>
  <c r="S241" i="13"/>
  <c r="T241" i="13" s="1"/>
  <c r="A241" i="13"/>
  <c r="A229" i="15" s="1"/>
  <c r="AA240" i="13"/>
  <c r="A240" i="13"/>
  <c r="A228" i="15" s="1"/>
  <c r="AA239" i="13"/>
  <c r="T239" i="13"/>
  <c r="A239" i="13"/>
  <c r="A227" i="15" s="1"/>
  <c r="AA238" i="13"/>
  <c r="T238" i="13"/>
  <c r="A238" i="13"/>
  <c r="A226" i="15" s="1"/>
  <c r="AA237" i="13"/>
  <c r="S237" i="13"/>
  <c r="T237" i="13" s="1"/>
  <c r="A237" i="13"/>
  <c r="A225" i="15" s="1"/>
  <c r="AA236" i="13"/>
  <c r="S236" i="13"/>
  <c r="T236" i="13" s="1"/>
  <c r="A236" i="13"/>
  <c r="A224" i="15" s="1"/>
  <c r="AA235" i="13"/>
  <c r="S235" i="13"/>
  <c r="T235" i="13" s="1"/>
  <c r="A235" i="13"/>
  <c r="A223" i="15" s="1"/>
  <c r="AA234" i="13"/>
  <c r="T234" i="13"/>
  <c r="A234" i="13"/>
  <c r="A222" i="15" s="1"/>
  <c r="AA233" i="13"/>
  <c r="A233" i="13"/>
  <c r="A221" i="15" s="1"/>
  <c r="AA232" i="13"/>
  <c r="A232" i="13"/>
  <c r="A220" i="15" s="1"/>
  <c r="AA231" i="13"/>
  <c r="S231" i="13"/>
  <c r="T231" i="13" s="1"/>
  <c r="A231" i="13"/>
  <c r="A219" i="15" s="1"/>
  <c r="AA230" i="13"/>
  <c r="S230" i="13"/>
  <c r="T230" i="13" s="1"/>
  <c r="A230" i="13"/>
  <c r="A218" i="15" s="1"/>
  <c r="AA229" i="13"/>
  <c r="T229" i="13"/>
  <c r="A229" i="13"/>
  <c r="A217" i="15" s="1"/>
  <c r="AA228" i="13"/>
  <c r="T228" i="13"/>
  <c r="A228" i="13"/>
  <c r="A216" i="15" s="1"/>
  <c r="AA227" i="13"/>
  <c r="T227" i="13"/>
  <c r="A227" i="13"/>
  <c r="A215" i="15" s="1"/>
  <c r="AA226" i="13"/>
  <c r="T226" i="13"/>
  <c r="A226" i="13"/>
  <c r="A214" i="15" s="1"/>
  <c r="AA225" i="13"/>
  <c r="T225" i="13"/>
  <c r="A225" i="13"/>
  <c r="A213" i="15" s="1"/>
  <c r="AA224" i="13"/>
  <c r="T224" i="13"/>
  <c r="A224" i="13"/>
  <c r="A212" i="15" s="1"/>
  <c r="AA223" i="13"/>
  <c r="T223" i="13"/>
  <c r="A223" i="13"/>
  <c r="A211" i="15" s="1"/>
  <c r="AA222" i="13"/>
  <c r="T222" i="13"/>
  <c r="A222" i="13"/>
  <c r="A210" i="15" s="1"/>
  <c r="AA221" i="13"/>
  <c r="S221" i="13"/>
  <c r="T221" i="13" s="1"/>
  <c r="A221" i="13"/>
  <c r="A209" i="15" s="1"/>
  <c r="AA220" i="13"/>
  <c r="T220" i="13"/>
  <c r="A220" i="13"/>
  <c r="A208" i="15" s="1"/>
  <c r="AA219" i="13"/>
  <c r="S219" i="13"/>
  <c r="T219" i="13" s="1"/>
  <c r="A219" i="13"/>
  <c r="A207" i="15" s="1"/>
  <c r="AA218" i="13"/>
  <c r="T218" i="13"/>
  <c r="A218" i="13"/>
  <c r="A206" i="15" s="1"/>
  <c r="AA217" i="13"/>
  <c r="T217" i="13"/>
  <c r="A217" i="13"/>
  <c r="A205" i="15" s="1"/>
  <c r="AA216" i="13"/>
  <c r="T216" i="13"/>
  <c r="A216" i="13"/>
  <c r="A204" i="15" s="1"/>
  <c r="AA215" i="13"/>
  <c r="T215" i="13"/>
  <c r="A215" i="13"/>
  <c r="A203" i="15" s="1"/>
  <c r="AA214" i="13"/>
  <c r="T214" i="13"/>
  <c r="A214" i="13"/>
  <c r="A202" i="15" s="1"/>
  <c r="AA213" i="13"/>
  <c r="T213" i="13"/>
  <c r="A213" i="13"/>
  <c r="A201" i="15" s="1"/>
  <c r="AA212" i="13"/>
  <c r="T212" i="13"/>
  <c r="A212" i="13"/>
  <c r="A200" i="15" s="1"/>
  <c r="AA211" i="13"/>
  <c r="T211" i="13"/>
  <c r="A211" i="13"/>
  <c r="A199" i="15" s="1"/>
  <c r="AA210" i="13"/>
  <c r="T210" i="13"/>
  <c r="A210" i="13"/>
  <c r="A198" i="15" s="1"/>
  <c r="AA209" i="13"/>
  <c r="T209" i="13"/>
  <c r="A209" i="13"/>
  <c r="A197" i="15" s="1"/>
  <c r="AA208" i="13"/>
  <c r="T208" i="13"/>
  <c r="A208" i="13"/>
  <c r="A196" i="15" s="1"/>
  <c r="AA207" i="13"/>
  <c r="T207" i="13"/>
  <c r="A207" i="13"/>
  <c r="A195" i="15" s="1"/>
  <c r="AA206" i="13"/>
  <c r="T206" i="13"/>
  <c r="A206" i="13"/>
  <c r="A194" i="15" s="1"/>
  <c r="AA205" i="13"/>
  <c r="T205" i="13"/>
  <c r="A205" i="13"/>
  <c r="A193" i="15" s="1"/>
  <c r="AA204" i="13"/>
  <c r="T204" i="13"/>
  <c r="A204" i="13"/>
  <c r="A192" i="15" s="1"/>
  <c r="AA203" i="13"/>
  <c r="T203" i="13"/>
  <c r="A203" i="13"/>
  <c r="A191" i="15" s="1"/>
  <c r="AA202" i="13"/>
  <c r="T202" i="13"/>
  <c r="A202" i="13"/>
  <c r="A190" i="15" s="1"/>
  <c r="AA201" i="13"/>
  <c r="T201" i="13"/>
  <c r="A201" i="13"/>
  <c r="A189" i="15" s="1"/>
  <c r="AA200" i="13"/>
  <c r="T200" i="13"/>
  <c r="A200" i="13"/>
  <c r="A188" i="15" s="1"/>
  <c r="AA199" i="13"/>
  <c r="T199" i="13"/>
  <c r="A199" i="13"/>
  <c r="A187" i="15" s="1"/>
  <c r="AA198" i="13"/>
  <c r="A198" i="13"/>
  <c r="A186" i="15" s="1"/>
  <c r="AA197" i="13"/>
  <c r="A197" i="13"/>
  <c r="A185" i="15" s="1"/>
  <c r="A191" i="13"/>
  <c r="A183" i="15" s="1"/>
  <c r="A190" i="13"/>
  <c r="A182" i="15" s="1"/>
  <c r="A189" i="13"/>
  <c r="A181" i="15" s="1"/>
  <c r="A188" i="13"/>
  <c r="A180" i="15" s="1"/>
  <c r="A187" i="13"/>
  <c r="A179" i="15" s="1"/>
  <c r="A186" i="13"/>
  <c r="A178" i="15" s="1"/>
  <c r="AA185" i="13"/>
  <c r="T185" i="13"/>
  <c r="A185" i="13"/>
  <c r="A177" i="15" s="1"/>
  <c r="AA184" i="13"/>
  <c r="T184" i="13"/>
  <c r="A184" i="13"/>
  <c r="A176" i="15" s="1"/>
  <c r="AA183" i="13"/>
  <c r="T183" i="13"/>
  <c r="A183" i="13"/>
  <c r="A175" i="15" s="1"/>
  <c r="AA182" i="13"/>
  <c r="T182" i="13"/>
  <c r="A182" i="13"/>
  <c r="A174" i="15" s="1"/>
  <c r="AA181" i="13"/>
  <c r="T181" i="13"/>
  <c r="A181" i="13"/>
  <c r="A173" i="15" s="1"/>
  <c r="S180" i="13"/>
  <c r="T180" i="13" s="1"/>
  <c r="A180" i="13"/>
  <c r="A172" i="15" s="1"/>
  <c r="T179" i="13"/>
  <c r="A179" i="13"/>
  <c r="A171" i="15" s="1"/>
  <c r="T178" i="13"/>
  <c r="A178" i="13"/>
  <c r="A170" i="15" s="1"/>
  <c r="T177" i="13"/>
  <c r="A177" i="13"/>
  <c r="A169" i="15" s="1"/>
  <c r="T176" i="13"/>
  <c r="A176" i="13"/>
  <c r="A168" i="15" s="1"/>
  <c r="A175" i="13"/>
  <c r="A167" i="15" s="1"/>
  <c r="T174" i="13"/>
  <c r="A174" i="13"/>
  <c r="A166" i="15" s="1"/>
  <c r="T173" i="13"/>
  <c r="A173" i="13"/>
  <c r="A165" i="15" s="1"/>
  <c r="T172" i="13"/>
  <c r="A172" i="13"/>
  <c r="A164" i="15" s="1"/>
  <c r="T171" i="13"/>
  <c r="A171" i="13"/>
  <c r="A163" i="15" s="1"/>
  <c r="T170" i="13"/>
  <c r="A170" i="13"/>
  <c r="A162" i="15" s="1"/>
  <c r="T169" i="13"/>
  <c r="A169" i="13"/>
  <c r="A161" i="15" s="1"/>
  <c r="T168" i="13"/>
  <c r="A168" i="13"/>
  <c r="A160" i="15" s="1"/>
  <c r="T167" i="13"/>
  <c r="A167" i="13"/>
  <c r="A159" i="15" s="1"/>
  <c r="S166" i="13"/>
  <c r="T166" i="13" s="1"/>
  <c r="A166" i="13"/>
  <c r="A158" i="15" s="1"/>
  <c r="T165" i="13"/>
  <c r="A165" i="13"/>
  <c r="A157" i="15" s="1"/>
  <c r="T164" i="13"/>
  <c r="A164" i="13"/>
  <c r="A156" i="15" s="1"/>
  <c r="T163" i="13"/>
  <c r="A163" i="13"/>
  <c r="A155" i="15" s="1"/>
  <c r="T162" i="13"/>
  <c r="A162" i="13"/>
  <c r="A154" i="15" s="1"/>
  <c r="T161" i="13"/>
  <c r="A161" i="13"/>
  <c r="A153" i="15" s="1"/>
  <c r="T160" i="13"/>
  <c r="A160" i="13"/>
  <c r="A152" i="15" s="1"/>
  <c r="A159" i="13"/>
  <c r="A151" i="15" s="1"/>
  <c r="A158" i="13"/>
  <c r="A150" i="15" s="1"/>
  <c r="T157" i="13"/>
  <c r="A157" i="13"/>
  <c r="A149" i="15" s="1"/>
  <c r="T156" i="13"/>
  <c r="A156" i="13"/>
  <c r="A148" i="15" s="1"/>
  <c r="T155" i="13"/>
  <c r="A155" i="13"/>
  <c r="A147" i="15" s="1"/>
  <c r="T154" i="13"/>
  <c r="A154" i="13"/>
  <c r="A146" i="15" s="1"/>
  <c r="A153" i="13"/>
  <c r="A145" i="15" s="1"/>
  <c r="T152" i="13"/>
  <c r="A152" i="13"/>
  <c r="A144" i="15" s="1"/>
  <c r="T151" i="13"/>
  <c r="A151" i="13"/>
  <c r="A143" i="15" s="1"/>
  <c r="T150" i="13"/>
  <c r="A150" i="13"/>
  <c r="A142" i="15" s="1"/>
  <c r="T149" i="13"/>
  <c r="A149" i="13"/>
  <c r="A141" i="15" s="1"/>
  <c r="S148" i="13"/>
  <c r="T148" i="13" s="1"/>
  <c r="A148" i="13"/>
  <c r="A140" i="15" s="1"/>
  <c r="AA147" i="13"/>
  <c r="T147" i="13"/>
  <c r="A147" i="13"/>
  <c r="A139" i="15" s="1"/>
  <c r="AA146" i="13"/>
  <c r="T146" i="13"/>
  <c r="A146" i="13"/>
  <c r="A138" i="15" s="1"/>
  <c r="T145" i="13"/>
  <c r="A145" i="13"/>
  <c r="A137" i="15" s="1"/>
  <c r="T144" i="13"/>
  <c r="A144" i="13"/>
  <c r="A136" i="15" s="1"/>
  <c r="T143" i="13"/>
  <c r="T138" i="13"/>
  <c r="T136" i="13"/>
  <c r="A136" i="13"/>
  <c r="A130" i="15" s="1"/>
  <c r="S135" i="13"/>
  <c r="T135" i="13" s="1"/>
  <c r="A135" i="13"/>
  <c r="A129" i="15" s="1"/>
  <c r="T134" i="13"/>
  <c r="A134" i="13"/>
  <c r="A128" i="15" s="1"/>
  <c r="T133" i="13"/>
  <c r="A133" i="13"/>
  <c r="A127" i="15" s="1"/>
  <c r="A132" i="13"/>
  <c r="A126" i="15" s="1"/>
  <c r="T131" i="13"/>
  <c r="A131" i="13"/>
  <c r="A125" i="15" s="1"/>
  <c r="T130" i="13"/>
  <c r="A130" i="13"/>
  <c r="A124" i="15" s="1"/>
  <c r="T129" i="13"/>
  <c r="A129" i="13"/>
  <c r="A123" i="15" s="1"/>
  <c r="T128" i="13"/>
  <c r="A128" i="13"/>
  <c r="A122" i="15" s="1"/>
  <c r="T127" i="13"/>
  <c r="A127" i="13"/>
  <c r="A121" i="15" s="1"/>
  <c r="AA126" i="13"/>
  <c r="T126" i="13"/>
  <c r="A126" i="13"/>
  <c r="A120" i="15" s="1"/>
  <c r="AA125" i="13"/>
  <c r="T125" i="13"/>
  <c r="A125" i="13"/>
  <c r="A119" i="15" s="1"/>
  <c r="AA124" i="13"/>
  <c r="T124" i="13"/>
  <c r="A124" i="13"/>
  <c r="A118" i="15" s="1"/>
  <c r="AA123" i="13"/>
  <c r="T123" i="13"/>
  <c r="A123" i="13"/>
  <c r="A117" i="15" s="1"/>
  <c r="AA122" i="13"/>
  <c r="T122" i="13"/>
  <c r="A122" i="13"/>
  <c r="A116" i="15" s="1"/>
  <c r="AA121" i="13"/>
  <c r="T121" i="13"/>
  <c r="A121" i="13"/>
  <c r="A115" i="15" s="1"/>
  <c r="AA120" i="13"/>
  <c r="T120" i="13"/>
  <c r="A120" i="13"/>
  <c r="A114" i="15" s="1"/>
  <c r="AA119" i="13"/>
  <c r="T119" i="13"/>
  <c r="A119" i="13"/>
  <c r="A113" i="15" s="1"/>
  <c r="AA118" i="13"/>
  <c r="T118" i="13"/>
  <c r="A118" i="13"/>
  <c r="A112" i="15" s="1"/>
  <c r="AA117" i="13"/>
  <c r="T117" i="13"/>
  <c r="A117" i="13"/>
  <c r="A111" i="15" s="1"/>
  <c r="AA116" i="13"/>
  <c r="T116" i="13"/>
  <c r="A116" i="13"/>
  <c r="A110" i="15" s="1"/>
  <c r="T115" i="13"/>
  <c r="A115" i="13"/>
  <c r="A109" i="15" s="1"/>
  <c r="T114" i="13"/>
  <c r="A114" i="13"/>
  <c r="A108" i="15" s="1"/>
  <c r="T113" i="13"/>
  <c r="A113" i="13"/>
  <c r="A107" i="15" s="1"/>
  <c r="T112" i="13"/>
  <c r="A112" i="13"/>
  <c r="A106" i="15" s="1"/>
  <c r="T111" i="13"/>
  <c r="A111" i="13"/>
  <c r="A105" i="15" s="1"/>
  <c r="T110" i="13"/>
  <c r="A110" i="13"/>
  <c r="A104" i="15" s="1"/>
  <c r="T109" i="13"/>
  <c r="A109" i="13"/>
  <c r="A103" i="15" s="1"/>
  <c r="T108" i="13"/>
  <c r="A108" i="13"/>
  <c r="A102" i="15" s="1"/>
  <c r="AA107" i="13"/>
  <c r="T107" i="13"/>
  <c r="A107" i="13"/>
  <c r="A101" i="15" s="1"/>
  <c r="AA106" i="13"/>
  <c r="T106" i="13"/>
  <c r="A106" i="13"/>
  <c r="A100" i="15" s="1"/>
  <c r="AA105" i="13"/>
  <c r="T105" i="13"/>
  <c r="A105" i="13"/>
  <c r="A99" i="15" s="1"/>
  <c r="AA104" i="13"/>
  <c r="T104" i="13"/>
  <c r="A104" i="13"/>
  <c r="A98" i="15" s="1"/>
  <c r="AA103" i="13"/>
  <c r="T103" i="13"/>
  <c r="A103" i="13"/>
  <c r="A97" i="15" s="1"/>
  <c r="AA102" i="13"/>
  <c r="T102" i="13"/>
  <c r="A102" i="13"/>
  <c r="A96" i="15" s="1"/>
  <c r="AA101" i="13"/>
  <c r="T101" i="13"/>
  <c r="A101" i="13"/>
  <c r="A95" i="15" s="1"/>
  <c r="AA100" i="13"/>
  <c r="T100" i="13"/>
  <c r="A100" i="13"/>
  <c r="A94" i="15" s="1"/>
  <c r="AA99" i="13"/>
  <c r="T99" i="13"/>
  <c r="A99" i="13"/>
  <c r="A93" i="15" s="1"/>
  <c r="AA98" i="13"/>
  <c r="T98" i="13"/>
  <c r="A98" i="13"/>
  <c r="A92" i="15" s="1"/>
  <c r="AA97" i="13"/>
  <c r="T97" i="13"/>
  <c r="A97" i="13"/>
  <c r="A91" i="15" s="1"/>
  <c r="T96" i="13"/>
  <c r="A96" i="13"/>
  <c r="A90" i="15" s="1"/>
  <c r="T95" i="13"/>
  <c r="A95" i="13"/>
  <c r="A89" i="15" s="1"/>
  <c r="T94" i="13"/>
  <c r="A94" i="13"/>
  <c r="A88" i="15" s="1"/>
  <c r="T93" i="13"/>
  <c r="A93" i="13"/>
  <c r="A87" i="15" s="1"/>
  <c r="T92" i="13"/>
  <c r="A92" i="13"/>
  <c r="A86" i="15" s="1"/>
  <c r="T91" i="13"/>
  <c r="A91" i="13"/>
  <c r="A85" i="15" s="1"/>
  <c r="T90" i="13"/>
  <c r="A90" i="13"/>
  <c r="A84" i="15" s="1"/>
  <c r="T89" i="13"/>
  <c r="A89" i="13"/>
  <c r="A83" i="15" s="1"/>
  <c r="AA88" i="13"/>
  <c r="T88" i="13"/>
  <c r="A88" i="13"/>
  <c r="A82" i="15" s="1"/>
  <c r="T87" i="13"/>
  <c r="A87" i="13"/>
  <c r="A81" i="15" s="1"/>
  <c r="T86" i="13"/>
  <c r="A86" i="13"/>
  <c r="A80" i="15" s="1"/>
  <c r="T85" i="13"/>
  <c r="A85" i="13"/>
  <c r="A79" i="15" s="1"/>
  <c r="T84" i="13"/>
  <c r="A84" i="13"/>
  <c r="A78" i="15" s="1"/>
  <c r="T83" i="13"/>
  <c r="A83" i="13"/>
  <c r="A77" i="15" s="1"/>
  <c r="T82" i="13"/>
  <c r="A82" i="13"/>
  <c r="A76" i="15" s="1"/>
  <c r="T81" i="13"/>
  <c r="A81" i="13"/>
  <c r="A75" i="15" s="1"/>
  <c r="A80" i="13"/>
  <c r="A74" i="15" s="1"/>
  <c r="T79" i="13"/>
  <c r="A79" i="13"/>
  <c r="A73" i="15" s="1"/>
  <c r="T78" i="13"/>
  <c r="A78" i="13"/>
  <c r="A72" i="15" s="1"/>
  <c r="T77" i="13"/>
  <c r="A77" i="13"/>
  <c r="A71" i="15" s="1"/>
  <c r="A75" i="13"/>
  <c r="A70" i="15" s="1"/>
  <c r="T74" i="13"/>
  <c r="A74" i="13"/>
  <c r="A69" i="15" s="1"/>
  <c r="T73" i="13"/>
  <c r="A73" i="13"/>
  <c r="A68" i="15" s="1"/>
  <c r="AA72" i="13"/>
  <c r="T72" i="13"/>
  <c r="A72" i="13"/>
  <c r="A67" i="15" s="1"/>
  <c r="AA71" i="13"/>
  <c r="T71" i="13"/>
  <c r="A71" i="13"/>
  <c r="A66" i="15" s="1"/>
  <c r="AA70" i="13"/>
  <c r="T70" i="13"/>
  <c r="A70" i="13"/>
  <c r="A65" i="15" s="1"/>
  <c r="AA69" i="13"/>
  <c r="T69" i="13"/>
  <c r="A69" i="13"/>
  <c r="A64" i="15" s="1"/>
  <c r="AA68" i="13"/>
  <c r="T68" i="13"/>
  <c r="A68" i="13"/>
  <c r="A63" i="15" s="1"/>
  <c r="AA67" i="13"/>
  <c r="T67" i="13"/>
  <c r="A67" i="13"/>
  <c r="A62" i="15" s="1"/>
  <c r="AA66" i="13"/>
  <c r="T66" i="13"/>
  <c r="A66" i="13"/>
  <c r="A61" i="15" s="1"/>
  <c r="AA65" i="13"/>
  <c r="T65" i="13"/>
  <c r="A65" i="13"/>
  <c r="A60" i="15" s="1"/>
  <c r="AA64" i="13"/>
  <c r="T64" i="13"/>
  <c r="A64" i="13"/>
  <c r="A59" i="15" s="1"/>
  <c r="AA63" i="13"/>
  <c r="T63" i="13"/>
  <c r="A63" i="13"/>
  <c r="A58" i="15" s="1"/>
  <c r="AA62" i="13"/>
  <c r="T62" i="13"/>
  <c r="A62" i="13"/>
  <c r="A57" i="15" s="1"/>
  <c r="AA61" i="13"/>
  <c r="T61" i="13"/>
  <c r="A61" i="13"/>
  <c r="A56" i="15" s="1"/>
  <c r="AA60" i="13"/>
  <c r="T60" i="13"/>
  <c r="A60" i="13"/>
  <c r="A55" i="15" s="1"/>
  <c r="AA59" i="13"/>
  <c r="T59" i="13"/>
  <c r="A59" i="13"/>
  <c r="A54" i="15" s="1"/>
  <c r="AA58" i="13"/>
  <c r="T58" i="13"/>
  <c r="A58" i="13"/>
  <c r="A53" i="15" s="1"/>
  <c r="AA57" i="13"/>
  <c r="A57" i="13"/>
  <c r="A52" i="15" s="1"/>
  <c r="AA56" i="13"/>
  <c r="T56" i="13"/>
  <c r="A56" i="13"/>
  <c r="A51" i="15" s="1"/>
  <c r="T55" i="13"/>
  <c r="A55" i="13"/>
  <c r="A50" i="15" s="1"/>
  <c r="T54" i="13"/>
  <c r="A54" i="13"/>
  <c r="A49" i="15" s="1"/>
  <c r="AA53" i="13"/>
  <c r="T53" i="13"/>
  <c r="A53" i="13"/>
  <c r="A48" i="15" s="1"/>
  <c r="AA52" i="13"/>
  <c r="T52" i="13"/>
  <c r="A52" i="13"/>
  <c r="A47" i="15" s="1"/>
  <c r="A51" i="13"/>
  <c r="A46" i="15" s="1"/>
  <c r="A50" i="13"/>
  <c r="A45" i="15" s="1"/>
  <c r="A49" i="13"/>
  <c r="A44" i="15" s="1"/>
  <c r="T48" i="13"/>
  <c r="A48" i="13"/>
  <c r="A43" i="15" s="1"/>
  <c r="T47" i="13"/>
  <c r="A47" i="13"/>
  <c r="A42" i="15" s="1"/>
  <c r="T46" i="13"/>
  <c r="A46" i="13"/>
  <c r="A41" i="15" s="1"/>
  <c r="T45" i="13"/>
  <c r="A45" i="13"/>
  <c r="A40" i="15" s="1"/>
  <c r="T44" i="13"/>
  <c r="A44" i="13"/>
  <c r="A39" i="15" s="1"/>
  <c r="T43" i="13"/>
  <c r="A43" i="13"/>
  <c r="A38" i="15" s="1"/>
  <c r="T42" i="13"/>
  <c r="A42" i="13"/>
  <c r="A37" i="15" s="1"/>
  <c r="T41" i="13"/>
  <c r="A41" i="13"/>
  <c r="A36" i="15" s="1"/>
  <c r="T40" i="13"/>
  <c r="A40" i="13"/>
  <c r="A35" i="15" s="1"/>
  <c r="AA39" i="13"/>
  <c r="T39" i="13"/>
  <c r="A39" i="13"/>
  <c r="A34" i="15" s="1"/>
  <c r="T38" i="13"/>
  <c r="A38" i="13"/>
  <c r="A33" i="15" s="1"/>
  <c r="T37" i="13"/>
  <c r="T35" i="13"/>
  <c r="A35" i="13"/>
  <c r="A30" i="15" s="1"/>
  <c r="T34" i="13"/>
  <c r="A34" i="13"/>
  <c r="A29" i="15" s="1"/>
  <c r="T33" i="13"/>
  <c r="A33" i="13"/>
  <c r="A28" i="15" s="1"/>
  <c r="T32" i="13"/>
  <c r="A32" i="13"/>
  <c r="A27" i="15" s="1"/>
  <c r="T31" i="13"/>
  <c r="A31" i="13"/>
  <c r="A26" i="15" s="1"/>
  <c r="T30" i="13"/>
  <c r="A30" i="13"/>
  <c r="A25" i="15" s="1"/>
  <c r="T29" i="13"/>
  <c r="A29" i="13"/>
  <c r="A24" i="15" s="1"/>
  <c r="T28" i="13"/>
  <c r="A28" i="13"/>
  <c r="A23" i="15" s="1"/>
  <c r="T27" i="13"/>
  <c r="A27" i="13"/>
  <c r="A22" i="15" s="1"/>
  <c r="T26" i="13"/>
  <c r="A26" i="13"/>
  <c r="A21" i="15" s="1"/>
  <c r="T25" i="13"/>
  <c r="A25" i="13"/>
  <c r="A20" i="15" s="1"/>
  <c r="T24" i="13"/>
  <c r="A24" i="13"/>
  <c r="A19" i="15" s="1"/>
  <c r="T23" i="13"/>
  <c r="A23" i="13"/>
  <c r="A18" i="15" s="1"/>
  <c r="T22" i="13"/>
  <c r="A22" i="13"/>
  <c r="A17" i="15" s="1"/>
  <c r="T21" i="13"/>
  <c r="A21" i="13"/>
  <c r="A16" i="15" s="1"/>
  <c r="T20" i="13"/>
  <c r="A20" i="13"/>
  <c r="A15" i="15" s="1"/>
  <c r="T19" i="13"/>
  <c r="A19" i="13"/>
  <c r="A14" i="15" s="1"/>
  <c r="T18" i="13"/>
  <c r="A18" i="13"/>
  <c r="A13" i="15" s="1"/>
  <c r="T17" i="13"/>
  <c r="A17" i="13"/>
  <c r="A12" i="15" s="1"/>
  <c r="T16" i="13"/>
  <c r="A16" i="13"/>
  <c r="A11" i="15" s="1"/>
  <c r="T15" i="13"/>
  <c r="A15" i="13"/>
  <c r="A10" i="15" s="1"/>
  <c r="T14" i="13"/>
  <c r="A14" i="13"/>
  <c r="A9" i="15" s="1"/>
  <c r="T13" i="13"/>
  <c r="A13" i="13"/>
  <c r="A8" i="15" s="1"/>
  <c r="T12" i="13"/>
  <c r="A12" i="13"/>
  <c r="A7" i="15" s="1"/>
  <c r="T11" i="13"/>
  <c r="A11" i="13"/>
  <c r="A6" i="15" s="1"/>
  <c r="AA10" i="13"/>
  <c r="S10" i="13"/>
  <c r="T10" i="13" s="1"/>
  <c r="A10" i="13"/>
  <c r="A5" i="15" s="1"/>
  <c r="AA8" i="13"/>
  <c r="S8" i="13"/>
  <c r="T8" i="13" s="1"/>
  <c r="A8" i="13"/>
  <c r="A3" i="15" s="1"/>
  <c r="AA7" i="13"/>
  <c r="T7" i="13"/>
  <c r="A7" i="13"/>
  <c r="A2" i="15" s="1"/>
  <c r="B3" i="15"/>
  <c r="C3" i="15"/>
  <c r="D3" i="15"/>
  <c r="E3" i="15"/>
  <c r="F3" i="15"/>
  <c r="H3" i="15"/>
  <c r="F2" i="15"/>
  <c r="E2" i="15"/>
  <c r="H2" i="15"/>
  <c r="D2" i="15"/>
  <c r="C2" i="15"/>
  <c r="B2" i="15"/>
  <c r="AF380" i="13"/>
  <c r="AF379" i="13"/>
  <c r="AF378" i="13"/>
  <c r="AF377" i="13"/>
  <c r="AF376" i="13"/>
  <c r="AF375" i="13"/>
  <c r="AF374" i="13"/>
  <c r="AF373" i="13"/>
  <c r="AF372" i="13"/>
  <c r="AF371" i="13"/>
  <c r="AF370" i="13"/>
  <c r="AF369" i="13"/>
  <c r="AF368" i="13"/>
  <c r="AF367" i="13"/>
  <c r="AF366" i="13"/>
  <c r="AF365" i="13"/>
  <c r="AF364" i="13"/>
  <c r="AF363" i="13"/>
  <c r="AF362" i="13"/>
  <c r="AF361" i="13"/>
  <c r="AF360" i="13"/>
  <c r="AF359" i="13"/>
  <c r="AF587" i="13"/>
  <c r="AF586" i="13"/>
  <c r="AF585" i="13"/>
  <c r="AF584" i="13"/>
  <c r="AF583" i="13"/>
  <c r="AF582" i="13"/>
  <c r="AF581" i="13"/>
  <c r="AF580" i="13"/>
  <c r="AF579" i="13"/>
  <c r="AF578" i="13"/>
  <c r="AF577" i="13"/>
  <c r="AF576" i="13"/>
  <c r="AF575" i="13"/>
  <c r="AF574" i="13"/>
  <c r="AF573" i="13"/>
  <c r="AF572" i="13"/>
  <c r="AF571" i="13"/>
  <c r="AF570" i="13"/>
  <c r="AF569" i="13"/>
  <c r="AF568" i="13"/>
  <c r="AF567" i="13"/>
  <c r="AF566" i="13"/>
  <c r="AF565" i="13"/>
  <c r="AF564" i="13"/>
  <c r="AF563" i="13"/>
  <c r="AF562" i="13"/>
  <c r="AF561" i="13"/>
  <c r="AF560" i="13"/>
  <c r="AF559" i="13"/>
  <c r="AF558" i="13"/>
  <c r="AF557" i="13"/>
  <c r="AF556" i="13"/>
  <c r="AF555" i="13"/>
  <c r="AF554" i="13"/>
  <c r="AF553" i="13"/>
  <c r="AF552" i="13"/>
  <c r="AF551" i="13"/>
  <c r="AF550" i="13"/>
  <c r="AF549" i="13"/>
  <c r="AF548" i="13"/>
  <c r="AF547" i="13"/>
  <c r="AF546" i="13"/>
  <c r="AF545" i="13"/>
  <c r="AF544" i="13"/>
  <c r="AF543" i="13"/>
  <c r="AF542" i="13"/>
  <c r="AF541" i="13"/>
  <c r="AF540" i="13"/>
  <c r="AF539" i="13"/>
  <c r="AF538" i="13"/>
  <c r="AF537" i="13"/>
  <c r="AF536" i="13"/>
  <c r="AF535" i="13"/>
  <c r="AF534" i="13"/>
  <c r="AF533" i="13"/>
  <c r="AF532" i="13"/>
  <c r="AF531" i="13"/>
  <c r="AF530" i="13"/>
  <c r="AF529" i="13"/>
  <c r="AF528" i="13"/>
  <c r="AF527" i="13"/>
  <c r="AF526" i="13"/>
  <c r="AF525" i="13"/>
  <c r="AF524" i="13"/>
  <c r="AF523" i="13"/>
  <c r="AF522" i="13"/>
  <c r="AF521" i="13"/>
  <c r="AF520" i="13"/>
  <c r="AF519" i="13"/>
  <c r="AF518" i="13"/>
  <c r="AF517" i="13"/>
  <c r="AF516" i="13"/>
  <c r="AF515" i="13"/>
  <c r="AF514" i="13"/>
  <c r="AF513" i="13"/>
  <c r="AF512" i="13"/>
  <c r="AF511" i="13"/>
  <c r="AF510" i="13"/>
  <c r="AF509" i="13"/>
  <c r="AF508" i="13"/>
  <c r="AF507" i="13"/>
  <c r="AF506" i="13"/>
  <c r="AF505" i="13"/>
  <c r="AF504" i="13"/>
  <c r="AF503" i="13"/>
  <c r="AF502" i="13"/>
  <c r="AF501" i="13"/>
  <c r="AF500" i="13"/>
  <c r="AF499" i="13"/>
  <c r="AF498" i="13"/>
  <c r="AF497" i="13"/>
  <c r="AF496" i="13"/>
  <c r="AF495" i="13"/>
  <c r="AF494" i="13"/>
  <c r="AF493" i="13"/>
  <c r="AF492" i="13"/>
  <c r="AF491" i="13"/>
  <c r="AF490" i="13"/>
  <c r="AF489" i="13"/>
  <c r="AF488" i="13"/>
  <c r="AF487" i="13"/>
  <c r="AF486" i="13"/>
  <c r="AF485" i="13"/>
  <c r="AF484" i="13"/>
  <c r="AF483" i="13"/>
  <c r="AF482" i="13"/>
  <c r="AF481" i="13"/>
  <c r="AF480" i="13"/>
  <c r="AF479" i="13"/>
  <c r="AF478" i="13"/>
  <c r="AF477" i="13"/>
  <c r="AF476" i="13"/>
  <c r="AF475" i="13"/>
  <c r="AF474" i="13"/>
  <c r="AF473" i="13"/>
  <c r="AF472" i="13"/>
  <c r="AF471" i="13"/>
  <c r="AF470" i="13"/>
  <c r="AF469" i="13"/>
  <c r="AF468" i="13"/>
  <c r="AF467" i="13"/>
  <c r="AF466" i="13"/>
  <c r="AF465" i="13"/>
  <c r="AF464" i="13"/>
  <c r="AF463" i="13"/>
  <c r="AF462" i="13"/>
  <c r="AF461" i="13"/>
  <c r="AF460" i="13"/>
  <c r="AF459" i="13"/>
  <c r="AF458" i="13"/>
  <c r="AF457" i="13"/>
  <c r="AF456" i="13"/>
  <c r="AF455" i="13"/>
  <c r="AF454" i="13"/>
  <c r="AF453" i="13"/>
  <c r="AF452" i="13"/>
  <c r="AF451" i="13"/>
  <c r="AF450" i="13"/>
  <c r="AF449" i="13"/>
  <c r="AF448" i="13"/>
  <c r="AF447" i="13"/>
  <c r="AF446" i="13"/>
  <c r="AF445" i="13"/>
  <c r="AF444" i="13"/>
  <c r="AF443" i="13"/>
  <c r="AF442" i="13"/>
  <c r="AF441" i="13"/>
  <c r="AF440" i="13"/>
  <c r="AF439" i="13"/>
  <c r="AF438" i="13"/>
  <c r="AF437" i="13"/>
  <c r="AF436" i="13"/>
  <c r="AF435" i="13"/>
  <c r="AF434" i="13"/>
  <c r="AF433" i="13"/>
  <c r="AF432" i="13"/>
  <c r="AF431" i="13"/>
  <c r="AF430" i="13"/>
  <c r="AF429" i="13"/>
  <c r="AF428" i="13"/>
  <c r="AF427" i="13"/>
  <c r="AF426" i="13"/>
  <c r="AF425" i="13"/>
  <c r="AF424" i="13"/>
  <c r="AF423" i="13"/>
  <c r="AF422" i="13"/>
  <c r="AF421" i="13"/>
  <c r="AF420" i="13"/>
  <c r="AF419" i="13"/>
  <c r="AF418" i="13"/>
  <c r="AF417" i="13"/>
  <c r="AF416" i="13"/>
  <c r="AF415" i="13"/>
  <c r="AF414" i="13"/>
  <c r="AF413" i="13"/>
  <c r="AF412" i="13"/>
  <c r="AF411" i="13"/>
  <c r="AF410" i="13"/>
  <c r="AF409" i="13"/>
  <c r="AF408" i="13"/>
  <c r="AF407" i="13"/>
  <c r="AF406" i="13"/>
  <c r="AF405" i="13"/>
  <c r="AF404" i="13"/>
  <c r="AF403" i="13"/>
  <c r="AF402" i="13"/>
  <c r="AF401" i="13"/>
  <c r="AF400" i="13"/>
  <c r="AF399" i="13"/>
  <c r="AF398" i="13"/>
  <c r="AF397" i="13"/>
  <c r="AF396" i="13"/>
  <c r="AF395" i="13"/>
  <c r="AF394" i="13"/>
  <c r="AF393" i="13"/>
  <c r="AF392" i="13"/>
  <c r="AF391" i="13"/>
  <c r="AF390" i="13"/>
  <c r="AF389" i="13"/>
  <c r="AF388" i="13"/>
  <c r="AF387" i="13"/>
  <c r="AF386" i="13"/>
  <c r="AF385" i="13"/>
  <c r="AF384" i="13"/>
  <c r="AF383" i="13"/>
  <c r="AF382" i="13"/>
  <c r="AF381" i="13"/>
  <c r="T433" i="13"/>
</calcChain>
</file>

<file path=xl/comments1.xml><?xml version="1.0" encoding="utf-8"?>
<comments xmlns="http://schemas.openxmlformats.org/spreadsheetml/2006/main">
  <authors>
    <author>alexander.barre</author>
    <author>Sarah Rigda</author>
  </authors>
  <commentList>
    <comment ref="F16" authorId="0">
      <text>
        <r>
          <rPr>
            <b/>
            <sz val="9"/>
            <color indexed="81"/>
            <rFont val="Tahoma"/>
            <family val="2"/>
          </rPr>
          <t>alexander.barre:</t>
        </r>
        <r>
          <rPr>
            <sz val="9"/>
            <color indexed="81"/>
            <rFont val="Tahoma"/>
            <family val="2"/>
          </rPr>
          <t xml:space="preserve">
Was open before according to SRI</t>
        </r>
      </text>
    </comment>
    <comment ref="O21" authorId="1">
      <text>
        <r>
          <rPr>
            <b/>
            <sz val="8"/>
            <color indexed="81"/>
            <rFont val="Tahoma"/>
            <family val="2"/>
          </rPr>
          <t>Sarah Rigda:</t>
        </r>
        <r>
          <rPr>
            <sz val="26"/>
            <color indexed="81"/>
            <rFont val="Tahoma"/>
            <family val="2"/>
          </rPr>
          <t xml:space="preserve">
Les cases en jaune sont à compléter  svp
Lors de vos pesées remplissez toute la ligne</t>
        </r>
      </text>
    </comment>
  </commentList>
</comments>
</file>

<file path=xl/comments2.xml><?xml version="1.0" encoding="utf-8"?>
<comments xmlns="http://schemas.openxmlformats.org/spreadsheetml/2006/main">
  <authors>
    <author>Mélanie.GLEYZES</author>
  </authors>
  <commentList>
    <comment ref="J4" authorId="0">
      <text>
        <r>
          <rPr>
            <b/>
            <sz val="9"/>
            <color indexed="81"/>
            <rFont val="Tahoma"/>
            <family val="2"/>
          </rPr>
          <t>Mélanie.GLEYZES:</t>
        </r>
        <r>
          <rPr>
            <sz val="9"/>
            <color indexed="81"/>
            <rFont val="Tahoma"/>
            <family val="2"/>
          </rPr>
          <t xml:space="preserve">
% pureté non prise en compte</t>
        </r>
      </text>
    </comment>
    <comment ref="J5" authorId="0">
      <text>
        <r>
          <rPr>
            <b/>
            <sz val="9"/>
            <color indexed="81"/>
            <rFont val="Tahoma"/>
            <family val="2"/>
          </rPr>
          <t>Mélanie.GLEYZES:</t>
        </r>
        <r>
          <rPr>
            <sz val="9"/>
            <color indexed="81"/>
            <rFont val="Tahoma"/>
            <family val="2"/>
          </rPr>
          <t xml:space="preserve">
% pureté non prise en compte</t>
        </r>
      </text>
    </comment>
    <comment ref="J6" authorId="0">
      <text>
        <r>
          <rPr>
            <b/>
            <sz val="9"/>
            <color indexed="81"/>
            <rFont val="Tahoma"/>
            <family val="2"/>
          </rPr>
          <t xml:space="preserve">Mélanie.GLEYZES:
</t>
        </r>
        <r>
          <rPr>
            <sz val="9"/>
            <color indexed="81"/>
            <rFont val="Tahoma"/>
            <family val="2"/>
          </rPr>
          <t>% pureté non prise en compte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 xml:space="preserve">Mélanie.GLEYZES:
</t>
        </r>
        <r>
          <rPr>
            <sz val="9"/>
            <color indexed="81"/>
            <rFont val="Tahoma"/>
            <family val="2"/>
          </rPr>
          <t>% pureté non prise en compte</t>
        </r>
      </text>
    </comment>
    <comment ref="K15" authorId="0">
      <text>
        <r>
          <rPr>
            <b/>
            <sz val="9"/>
            <color indexed="81"/>
            <rFont val="Tahoma"/>
            <family val="2"/>
          </rPr>
          <t>Mélanie.GLEYZES:</t>
        </r>
        <r>
          <rPr>
            <sz val="9"/>
            <color indexed="81"/>
            <rFont val="Tahoma"/>
            <family val="2"/>
          </rPr>
          <t xml:space="preserve">
99.8%</t>
        </r>
      </text>
    </comment>
    <comment ref="K17" authorId="0">
      <text>
        <r>
          <rPr>
            <b/>
            <sz val="9"/>
            <color indexed="81"/>
            <rFont val="Tahoma"/>
            <family val="2"/>
          </rPr>
          <t>Mélanie.GLEYZES:</t>
        </r>
        <r>
          <rPr>
            <sz val="9"/>
            <color indexed="81"/>
            <rFont val="Tahoma"/>
            <family val="2"/>
          </rPr>
          <t xml:space="preserve">
99.8%</t>
        </r>
      </text>
    </comment>
    <comment ref="J25" authorId="0">
      <text>
        <r>
          <rPr>
            <b/>
            <sz val="9"/>
            <color indexed="81"/>
            <rFont val="Tahoma"/>
            <family val="2"/>
          </rPr>
          <t>Mélanie.GLEYZES:</t>
        </r>
        <r>
          <rPr>
            <sz val="9"/>
            <color indexed="81"/>
            <rFont val="Tahoma"/>
            <family val="2"/>
          </rPr>
          <t xml:space="preserve">
% pureté non pris en compte</t>
        </r>
      </text>
    </comment>
    <comment ref="J28" authorId="0">
      <text>
        <r>
          <rPr>
            <b/>
            <sz val="9"/>
            <color indexed="81"/>
            <rFont val="Tahoma"/>
            <family val="2"/>
          </rPr>
          <t>Mélanie.GLEYZES:</t>
        </r>
        <r>
          <rPr>
            <sz val="9"/>
            <color indexed="81"/>
            <rFont val="Tahoma"/>
            <family val="2"/>
          </rPr>
          <t xml:space="preserve">
% de pureté non pris en compte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>Mélanie.GLEYZES:</t>
        </r>
        <r>
          <rPr>
            <sz val="9"/>
            <color indexed="81"/>
            <rFont val="Tahoma"/>
            <family val="2"/>
          </rPr>
          <t xml:space="preserve">
15SAM132</t>
        </r>
      </text>
    </comment>
    <comment ref="B39" authorId="0">
      <text>
        <r>
          <rPr>
            <b/>
            <sz val="9"/>
            <color indexed="81"/>
            <rFont val="Tahoma"/>
            <family val="2"/>
          </rPr>
          <t>Mélanie.GLEYZES:</t>
        </r>
        <r>
          <rPr>
            <sz val="9"/>
            <color indexed="81"/>
            <rFont val="Tahoma"/>
            <family val="2"/>
          </rPr>
          <t xml:space="preserve">
15SAM132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Mélanie.GLEYZES:</t>
        </r>
        <r>
          <rPr>
            <sz val="9"/>
            <color indexed="81"/>
            <rFont val="Tahoma"/>
            <family val="2"/>
          </rPr>
          <t xml:space="preserve">
15SAM132</t>
        </r>
      </text>
    </comment>
    <comment ref="B47" authorId="0">
      <text>
        <r>
          <rPr>
            <b/>
            <sz val="9"/>
            <color indexed="81"/>
            <rFont val="Tahoma"/>
            <family val="2"/>
          </rPr>
          <t>Mélanie.GLEYZES:</t>
        </r>
        <r>
          <rPr>
            <sz val="9"/>
            <color indexed="81"/>
            <rFont val="Tahoma"/>
            <family val="2"/>
          </rPr>
          <t xml:space="preserve">
15SAM132</t>
        </r>
      </text>
    </comment>
    <comment ref="B50" authorId="0">
      <text>
        <r>
          <rPr>
            <b/>
            <sz val="9"/>
            <color indexed="81"/>
            <rFont val="Tahoma"/>
            <family val="2"/>
          </rPr>
          <t>Mélanie.GLEYZES:</t>
        </r>
        <r>
          <rPr>
            <sz val="9"/>
            <color indexed="81"/>
            <rFont val="Tahoma"/>
            <family val="2"/>
          </rPr>
          <t xml:space="preserve">
15SAM132</t>
        </r>
      </text>
    </comment>
  </commentList>
</comments>
</file>

<file path=xl/comments3.xml><?xml version="1.0" encoding="utf-8"?>
<comments xmlns="http://schemas.openxmlformats.org/spreadsheetml/2006/main">
  <authors>
    <author>Alissende Sers</author>
  </authors>
  <commentList>
    <comment ref="L17" authorId="0">
      <text>
        <r>
          <rPr>
            <b/>
            <sz val="8"/>
            <color indexed="81"/>
            <rFont val="Tahoma"/>
            <family val="2"/>
          </rPr>
          <t>Alissende Sers:</t>
        </r>
        <r>
          <rPr>
            <sz val="8"/>
            <color indexed="81"/>
            <rFont val="Tahoma"/>
            <family val="2"/>
          </rPr>
          <t xml:space="preserve">
L15 Medium</t>
        </r>
      </text>
    </comment>
    <comment ref="P32" authorId="0">
      <text>
        <r>
          <rPr>
            <b/>
            <sz val="8"/>
            <color indexed="81"/>
            <rFont val="Tahoma"/>
            <family val="2"/>
          </rPr>
          <t>Alissende Sers:</t>
        </r>
        <r>
          <rPr>
            <sz val="8"/>
            <color indexed="81"/>
            <rFont val="Tahoma"/>
            <family val="2"/>
          </rPr>
          <t xml:space="preserve">
OCT 2017</t>
        </r>
      </text>
    </comment>
    <comment ref="P33" authorId="0">
      <text>
        <r>
          <rPr>
            <b/>
            <sz val="8"/>
            <color indexed="81"/>
            <rFont val="Tahoma"/>
            <family val="2"/>
          </rPr>
          <t>Alissende Sers:</t>
        </r>
        <r>
          <rPr>
            <sz val="8"/>
            <color indexed="81"/>
            <rFont val="Tahoma"/>
            <family val="2"/>
          </rPr>
          <t xml:space="preserve">
AOUT 2017
</t>
        </r>
      </text>
    </comment>
  </commentList>
</comments>
</file>

<file path=xl/comments4.xml><?xml version="1.0" encoding="utf-8"?>
<comments xmlns="http://schemas.openxmlformats.org/spreadsheetml/2006/main">
  <authors>
    <author>Benjamin Stachera</author>
  </authors>
  <commentList>
    <comment ref="F21" authorId="0">
      <text>
        <r>
          <rPr>
            <b/>
            <sz val="9"/>
            <color indexed="81"/>
            <rFont val="Tahoma"/>
            <family val="2"/>
          </rPr>
          <t>Benjamin Stachera: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Problème de date, open le 1 Dec 2018</t>
        </r>
      </text>
    </comment>
    <comment ref="F29" authorId="0">
      <text>
        <r>
          <rPr>
            <b/>
            <sz val="9"/>
            <color indexed="81"/>
            <rFont val="Tahoma"/>
            <family val="2"/>
          </rPr>
          <t>Benjamin Stachera: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c'est la date de reception</t>
        </r>
      </text>
    </comment>
    <comment ref="I31" authorId="0">
      <text>
        <r>
          <rPr>
            <b/>
            <sz val="9"/>
            <color indexed="81"/>
            <rFont val="Tahoma"/>
            <family val="2"/>
          </rPr>
          <t>Benjamin Stachera: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Problème, le pot ne contient pas 10 mg mais 7.8mg</t>
        </r>
      </text>
    </comment>
  </commentList>
</comments>
</file>

<file path=xl/comments5.xml><?xml version="1.0" encoding="utf-8"?>
<comments xmlns="http://schemas.openxmlformats.org/spreadsheetml/2006/main">
  <authors>
    <author>Benjamin Stachera</author>
  </authors>
  <commentList>
    <comment ref="F7" authorId="0">
      <text>
        <r>
          <rPr>
            <b/>
            <sz val="9"/>
            <color indexed="81"/>
            <rFont val="Tahoma"/>
            <family val="2"/>
          </rPr>
          <t>Benjamin Stachera: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Open date: je pense que c'est le 4-may-18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Benjamin Stachera: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Erreur, je pense qu'il s'agit du 16SAM135</t>
        </r>
      </text>
    </comment>
  </commentList>
</comments>
</file>

<file path=xl/comments6.xml><?xml version="1.0" encoding="utf-8"?>
<comments xmlns="http://schemas.openxmlformats.org/spreadsheetml/2006/main">
  <authors>
    <author>helene.savinel</author>
  </authors>
  <commentList>
    <comment ref="K915" authorId="0">
      <text>
        <r>
          <rPr>
            <b/>
            <sz val="9"/>
            <color indexed="81"/>
            <rFont val="Tahoma"/>
            <family val="2"/>
          </rPr>
          <t>helene.savinel:</t>
        </r>
        <r>
          <rPr>
            <sz val="12"/>
            <color indexed="81"/>
            <rFont val="Tahoma"/>
            <family val="2"/>
          </rPr>
          <t xml:space="preserve">
Sur flacon MW:336.28</t>
        </r>
      </text>
    </comment>
  </commentList>
</comments>
</file>

<file path=xl/sharedStrings.xml><?xml version="1.0" encoding="utf-8"?>
<sst xmlns="http://schemas.openxmlformats.org/spreadsheetml/2006/main" count="18317" uniqueCount="3617">
  <si>
    <t>OBJET</t>
  </si>
  <si>
    <t>DOCUMENTARY LINK/REFERENCE</t>
  </si>
  <si>
    <t>MODIFICATIONS BROUGHT TO THIS VERSION</t>
  </si>
  <si>
    <t>VERSION</t>
  </si>
  <si>
    <t>DATE</t>
  </si>
  <si>
    <t>MODIFICATIONS</t>
  </si>
  <si>
    <t>Version 01</t>
  </si>
  <si>
    <t>Application:</t>
  </si>
  <si>
    <t>DOCUMENT OF RECORDING</t>
  </si>
  <si>
    <t>MODE OF USE</t>
  </si>
  <si>
    <t>Identifiant NS</t>
  </si>
  <si>
    <t>POWDER</t>
  </si>
  <si>
    <t>ALIQUOTS</t>
  </si>
  <si>
    <t>ALIQUOTS 1</t>
  </si>
  <si>
    <t>ALIQUOTS 2</t>
  </si>
  <si>
    <t>ALIQUOTS 3</t>
  </si>
  <si>
    <t>Type</t>
  </si>
  <si>
    <t>OWNER</t>
  </si>
  <si>
    <t>Compound Name</t>
  </si>
  <si>
    <t>Nature</t>
  </si>
  <si>
    <t>Supplier</t>
  </si>
  <si>
    <t>Batch</t>
  </si>
  <si>
    <t>Storage</t>
  </si>
  <si>
    <t>MW</t>
  </si>
  <si>
    <t>CAT Number</t>
  </si>
  <si>
    <t>CAS Number</t>
  </si>
  <si>
    <t>Reception Date</t>
  </si>
  <si>
    <t>Open Date</t>
  </si>
  <si>
    <t>Compound packaging</t>
  </si>
  <si>
    <t>Solubility</t>
  </si>
  <si>
    <t>Remaining (mg)</t>
  </si>
  <si>
    <t>Expiry</t>
  </si>
  <si>
    <t>Protocole/ quote</t>
  </si>
  <si>
    <t>Comments  / Old NS number</t>
  </si>
  <si>
    <t>Date</t>
  </si>
  <si>
    <t>Concentration</t>
  </si>
  <si>
    <t>Volume</t>
  </si>
  <si>
    <t>Solvant</t>
  </si>
  <si>
    <t>Comments</t>
  </si>
  <si>
    <t>REFERENCE</t>
  </si>
  <si>
    <t>MEA</t>
  </si>
  <si>
    <t>NEUROSERVICE</t>
  </si>
  <si>
    <t>Nicotine hydrogen tartrate salt</t>
  </si>
  <si>
    <t>Sigma</t>
  </si>
  <si>
    <t>036K0703</t>
  </si>
  <si>
    <t>RT</t>
  </si>
  <si>
    <t>N5260</t>
  </si>
  <si>
    <t>65-31-6</t>
  </si>
  <si>
    <t>25 g</t>
  </si>
  <si>
    <t>H2O mQ</t>
  </si>
  <si>
    <t>1 mM</t>
  </si>
  <si>
    <t>1 mL</t>
  </si>
  <si>
    <t>Dopamine Hydrochloride</t>
  </si>
  <si>
    <t>115K2501</t>
  </si>
  <si>
    <t>h8502</t>
  </si>
  <si>
    <t>62-31-7</t>
  </si>
  <si>
    <t>5 g</t>
  </si>
  <si>
    <t>SAMPLE</t>
  </si>
  <si>
    <t>PFIZER</t>
  </si>
  <si>
    <t>ORL-1 ant-01</t>
  </si>
  <si>
    <t>NC</t>
  </si>
  <si>
    <t>-</t>
  </si>
  <si>
    <t>24.16 mg</t>
  </si>
  <si>
    <t>NS08041701</t>
  </si>
  <si>
    <t>ORL-1 ant-02</t>
  </si>
  <si>
    <t>20.3 mg</t>
  </si>
  <si>
    <t>NS08091901</t>
  </si>
  <si>
    <t>ORL-1 ant -03</t>
  </si>
  <si>
    <t>21.2 mg</t>
  </si>
  <si>
    <t>NS08102401</t>
  </si>
  <si>
    <t>AFRAXIS</t>
  </si>
  <si>
    <t>FRAX000074:01</t>
  </si>
  <si>
    <t>CX546</t>
  </si>
  <si>
    <t>7.5 mg</t>
  </si>
  <si>
    <t>NS08110705</t>
  </si>
  <si>
    <t>ARDEO PHARMA</t>
  </si>
  <si>
    <t>Bucillamine</t>
  </si>
  <si>
    <t>2 g</t>
  </si>
  <si>
    <t>NS08032901</t>
  </si>
  <si>
    <t>J&amp;J</t>
  </si>
  <si>
    <t>39393406</t>
  </si>
  <si>
    <t>103.09 mg</t>
  </si>
  <si>
    <t>NS08061802</t>
  </si>
  <si>
    <t>UCB</t>
  </si>
  <si>
    <t>UCB1402633-000</t>
  </si>
  <si>
    <t>B10462802</t>
  </si>
  <si>
    <t>10 mg</t>
  </si>
  <si>
    <t>NS08051302</t>
  </si>
  <si>
    <t>LUNDBECK</t>
  </si>
  <si>
    <t>DGC-1</t>
  </si>
  <si>
    <t>4.60 mg</t>
  </si>
  <si>
    <t>amygdala</t>
  </si>
  <si>
    <t>NS09051201</t>
  </si>
  <si>
    <t>DGC-2</t>
  </si>
  <si>
    <t>5.224 mg</t>
  </si>
  <si>
    <t>NS09051202</t>
  </si>
  <si>
    <t>DGC-3</t>
  </si>
  <si>
    <t>NS09051203</t>
  </si>
  <si>
    <t>AB 10481</t>
  </si>
  <si>
    <t>5.194 mg</t>
  </si>
  <si>
    <t>NS09051204</t>
  </si>
  <si>
    <t>MERCK</t>
  </si>
  <si>
    <t>16.53 mg</t>
  </si>
  <si>
    <t>NS09081801</t>
  </si>
  <si>
    <t>cPP</t>
  </si>
  <si>
    <t>- 20°C</t>
  </si>
  <si>
    <t>8*1 mg</t>
  </si>
  <si>
    <t>1*1</t>
  </si>
  <si>
    <t>NS09062902</t>
  </si>
  <si>
    <t>hPP</t>
  </si>
  <si>
    <t>3* 1 mg</t>
  </si>
  <si>
    <t>NS09081701</t>
  </si>
  <si>
    <t>Tocris</t>
  </si>
  <si>
    <t>9*1 mg</t>
  </si>
  <si>
    <t>ABBOTT</t>
  </si>
  <si>
    <t>NS09092401</t>
  </si>
  <si>
    <t>SOLVAY</t>
  </si>
  <si>
    <t>D-Serine</t>
  </si>
  <si>
    <t>SOBA20757713</t>
  </si>
  <si>
    <t>5102.14 mg</t>
  </si>
  <si>
    <t>100 mM in ACSF</t>
  </si>
  <si>
    <t>NS09112701</t>
  </si>
  <si>
    <t>Dizocilpine/MK801</t>
  </si>
  <si>
    <t>SOBA20756069</t>
  </si>
  <si>
    <t>100 mg</t>
  </si>
  <si>
    <t>10 mM in H2O mQ</t>
  </si>
  <si>
    <t>NS09112702</t>
  </si>
  <si>
    <t>DAAOi</t>
  </si>
  <si>
    <t>SOBA20757006</t>
  </si>
  <si>
    <t>201.24 mg</t>
  </si>
  <si>
    <t>100 mM in DMSO</t>
  </si>
  <si>
    <t>NS09112703</t>
  </si>
  <si>
    <t>DHA</t>
  </si>
  <si>
    <t>500 mg</t>
  </si>
  <si>
    <t>NS09121101</t>
  </si>
  <si>
    <t>Mecamylamine</t>
  </si>
  <si>
    <t>079K4142</t>
  </si>
  <si>
    <t>M-9020</t>
  </si>
  <si>
    <t>826-39-1</t>
  </si>
  <si>
    <t>25 mg</t>
  </si>
  <si>
    <t>derniere masse pesée 3.36 mg (02/0215)</t>
  </si>
  <si>
    <t>10 Mm</t>
  </si>
  <si>
    <t>255 µL</t>
  </si>
  <si>
    <t>500 mg in 1mL EtOH</t>
  </si>
  <si>
    <t>814.85 µL</t>
  </si>
  <si>
    <t>(SOBA20757706)</t>
  </si>
  <si>
    <t>5.99 mg</t>
  </si>
  <si>
    <t>NS10011401</t>
  </si>
  <si>
    <t>SOBA 20731928</t>
  </si>
  <si>
    <t>5.75 mg</t>
  </si>
  <si>
    <t>NS10051501</t>
  </si>
  <si>
    <t>SOBA 20752261</t>
  </si>
  <si>
    <t>5.97 mg</t>
  </si>
  <si>
    <t>NS10051502</t>
  </si>
  <si>
    <t>SOBA 20727680</t>
  </si>
  <si>
    <t>5.24 mg</t>
  </si>
  <si>
    <t>NS10051503</t>
  </si>
  <si>
    <t>BIOLINE</t>
  </si>
  <si>
    <t>BL-1021 fumarate salt</t>
  </si>
  <si>
    <t>CC-2190.0-0-21.0</t>
  </si>
  <si>
    <t>1 g</t>
  </si>
  <si>
    <t>NS10100801</t>
  </si>
  <si>
    <t>CC-2190.0-0-21.1</t>
  </si>
  <si>
    <t>3 g</t>
  </si>
  <si>
    <t>CC-2562.0-0-01.1</t>
  </si>
  <si>
    <t>NS10120602</t>
  </si>
  <si>
    <t>Nortriptyline HCL</t>
  </si>
  <si>
    <t>0804056</t>
  </si>
  <si>
    <t>?</t>
  </si>
  <si>
    <t>NS10120601</t>
  </si>
  <si>
    <t>PATCH</t>
  </si>
  <si>
    <t>Sarpogrelate Hydrochloride</t>
  </si>
  <si>
    <t>030M4730V</t>
  </si>
  <si>
    <t>135159-51-2</t>
  </si>
  <si>
    <t>S5451</t>
  </si>
  <si>
    <t>5mg</t>
  </si>
  <si>
    <t>5mg/mL</t>
  </si>
  <si>
    <t>NMDA</t>
  </si>
  <si>
    <t>Ascent</t>
  </si>
  <si>
    <t>APN10061-4-3</t>
  </si>
  <si>
    <t>4°C</t>
  </si>
  <si>
    <t>Asc-052</t>
  </si>
  <si>
    <t>6384-92-5</t>
  </si>
  <si>
    <t>50 mg</t>
  </si>
  <si>
    <t>derniere masse pesée 7.07 mg (02/06/15)</t>
  </si>
  <si>
    <r>
      <t xml:space="preserve">Amyloid </t>
    </r>
    <r>
      <rPr>
        <sz val="11"/>
        <rFont val="Symbol"/>
        <family val="1"/>
        <charset val="2"/>
      </rPr>
      <t xml:space="preserve">b- </t>
    </r>
    <r>
      <rPr>
        <sz val="11"/>
        <rFont val="Calibri"/>
        <family val="2"/>
        <scheme val="minor"/>
      </rPr>
      <t>protein (1-42) hydrochloride salt</t>
    </r>
  </si>
  <si>
    <t>Toxic protein agregaion found on Alzheimer's disease and down's syndrome</t>
  </si>
  <si>
    <t>Bachem</t>
  </si>
  <si>
    <t>H-6466</t>
  </si>
  <si>
    <t>107761-42-2</t>
  </si>
  <si>
    <t xml:space="preserve">0.5 mg </t>
  </si>
  <si>
    <r>
      <t xml:space="preserve">Amyloid </t>
    </r>
    <r>
      <rPr>
        <sz val="11"/>
        <rFont val="Symbol"/>
        <family val="1"/>
        <charset val="2"/>
      </rPr>
      <t xml:space="preserve">b- </t>
    </r>
    <r>
      <rPr>
        <sz val="11"/>
        <rFont val="Calibri"/>
        <family val="2"/>
        <scheme val="minor"/>
      </rPr>
      <t>protein (1-42) human</t>
    </r>
  </si>
  <si>
    <t>APN09080-1-1</t>
  </si>
  <si>
    <t>Asc-301</t>
  </si>
  <si>
    <t>1 mg</t>
  </si>
  <si>
    <t>Atropine</t>
  </si>
  <si>
    <t>Competitive antagonist muscarinic acetylcholine receptors</t>
  </si>
  <si>
    <t>614-010-00-3</t>
  </si>
  <si>
    <t>A0132</t>
  </si>
  <si>
    <t>51-55-8</t>
  </si>
  <si>
    <t>Fluoxeine hydrochloride</t>
  </si>
  <si>
    <t>060M162V</t>
  </si>
  <si>
    <t>F132</t>
  </si>
  <si>
    <t>56296-78-7</t>
  </si>
  <si>
    <t>Moclobemide</t>
  </si>
  <si>
    <t>038K4718</t>
  </si>
  <si>
    <t>M3071</t>
  </si>
  <si>
    <t>71320-77-9</t>
  </si>
  <si>
    <t>Clonazepam</t>
  </si>
  <si>
    <t>028K1450</t>
  </si>
  <si>
    <t>C-1277</t>
  </si>
  <si>
    <t>1622-61-3</t>
  </si>
  <si>
    <t>DMSO</t>
  </si>
  <si>
    <t>ARAGON PH.</t>
  </si>
  <si>
    <t>ARN000673.012</t>
  </si>
  <si>
    <t>22.1 mg</t>
  </si>
  <si>
    <t>NS11042101</t>
  </si>
  <si>
    <t>ESAI</t>
  </si>
  <si>
    <t>ER-901791-00-03</t>
  </si>
  <si>
    <t>34 mg</t>
  </si>
  <si>
    <t>NS11120701</t>
  </si>
  <si>
    <t>ER-901631-01-02</t>
  </si>
  <si>
    <t>45.08 mg</t>
  </si>
  <si>
    <t>NS11120704</t>
  </si>
  <si>
    <t>HEPTARES</t>
  </si>
  <si>
    <t>HTL2345-006</t>
  </si>
  <si>
    <t>10.02 mg</t>
  </si>
  <si>
    <t>NS11022801</t>
  </si>
  <si>
    <t>1A/104452</t>
  </si>
  <si>
    <t>NS11092201</t>
  </si>
  <si>
    <t>SAGE</t>
  </si>
  <si>
    <t>52.6 mg</t>
  </si>
  <si>
    <t>NS11110901</t>
  </si>
  <si>
    <t xml:space="preserve">TAKEDA </t>
  </si>
  <si>
    <t>PGM020382:02</t>
  </si>
  <si>
    <t>20.26 mg</t>
  </si>
  <si>
    <t>NS11061503</t>
  </si>
  <si>
    <t>UNIVERSITE DESCARTES</t>
  </si>
  <si>
    <t>made44</t>
  </si>
  <si>
    <t>800 µL 20 mM</t>
  </si>
  <si>
    <t>NS11030901</t>
  </si>
  <si>
    <t>MRT7-005</t>
  </si>
  <si>
    <t>NS11030902</t>
  </si>
  <si>
    <t>Kainate</t>
  </si>
  <si>
    <t>Kainate receptor agonist</t>
  </si>
  <si>
    <t>065K4700</t>
  </si>
  <si>
    <t>K2389</t>
  </si>
  <si>
    <t>58002-62-3</t>
  </si>
  <si>
    <t>10 mM</t>
  </si>
  <si>
    <t>210 µL</t>
  </si>
  <si>
    <t>ASTRAZENECA</t>
  </si>
  <si>
    <t>AZN2157</t>
  </si>
  <si>
    <t>103.9 mg</t>
  </si>
  <si>
    <t>NS11040801</t>
  </si>
  <si>
    <t>Picrotoxin</t>
  </si>
  <si>
    <t>040M1799V</t>
  </si>
  <si>
    <t>P1675</t>
  </si>
  <si>
    <t>124-87-8</t>
  </si>
  <si>
    <t>5g</t>
  </si>
  <si>
    <t>L-leucine</t>
  </si>
  <si>
    <t>BCBG0433V</t>
  </si>
  <si>
    <t>61-90-5</t>
  </si>
  <si>
    <t>directl in ACSF</t>
  </si>
  <si>
    <t>MSOP</t>
  </si>
  <si>
    <t>8A/97180</t>
  </si>
  <si>
    <t>66515-29-5</t>
  </si>
  <si>
    <t>Pilocarpine hydrochloride</t>
  </si>
  <si>
    <t>031M1214V</t>
  </si>
  <si>
    <t>P6503</t>
  </si>
  <si>
    <t>54-71-7</t>
  </si>
  <si>
    <t>HMB (3-hydroxy-3-methylbutyric Acid)</t>
  </si>
  <si>
    <t>500 g</t>
  </si>
  <si>
    <t>NS12053001</t>
  </si>
  <si>
    <t>CALCIMEDICA</t>
  </si>
  <si>
    <t>CM_EX_137</t>
  </si>
  <si>
    <t>batch 7</t>
  </si>
  <si>
    <t>15.6 mg</t>
  </si>
  <si>
    <t>NS12112901</t>
  </si>
  <si>
    <t>SB00477203</t>
  </si>
  <si>
    <t>PF190</t>
  </si>
  <si>
    <t>30 mg</t>
  </si>
  <si>
    <t>Anthranilic acid</t>
  </si>
  <si>
    <t>STBB3708V</t>
  </si>
  <si>
    <t>A89855-25G</t>
  </si>
  <si>
    <t>118-92-3</t>
  </si>
  <si>
    <t>MERZ</t>
  </si>
  <si>
    <t>MRZ-1</t>
  </si>
  <si>
    <t>53.84 mg</t>
  </si>
  <si>
    <t>NS12040201</t>
  </si>
  <si>
    <t>AMGEN</t>
  </si>
  <si>
    <t>AMG2286212#4</t>
  </si>
  <si>
    <t>51.53 mg</t>
  </si>
  <si>
    <t>sonication</t>
  </si>
  <si>
    <t>NS12102909</t>
  </si>
  <si>
    <t>PIERRE FABRE</t>
  </si>
  <si>
    <t>N-acetyl-L-leucine</t>
  </si>
  <si>
    <t>V0251A2</t>
  </si>
  <si>
    <t>1.15 g</t>
  </si>
  <si>
    <t>NS12012401</t>
  </si>
  <si>
    <t>15.16 g</t>
  </si>
  <si>
    <t>NS12032301</t>
  </si>
  <si>
    <t>N-acetyl-D-leucine</t>
  </si>
  <si>
    <t>V0148A1</t>
  </si>
  <si>
    <t>15.90 g</t>
  </si>
  <si>
    <t>NS12032302</t>
  </si>
  <si>
    <t>GSK</t>
  </si>
  <si>
    <t>N-16321-53-A1</t>
  </si>
  <si>
    <t>295 mg</t>
  </si>
  <si>
    <t>NS12052901</t>
  </si>
  <si>
    <t>N21273-7-B3</t>
  </si>
  <si>
    <t>197 mg</t>
  </si>
  <si>
    <t>NS12052902</t>
  </si>
  <si>
    <t>N255-5-1</t>
  </si>
  <si>
    <t>317.94 mg</t>
  </si>
  <si>
    <t>NS12052903</t>
  </si>
  <si>
    <t>N1093-59-1</t>
  </si>
  <si>
    <t>299.22 mg</t>
  </si>
  <si>
    <t>NS12052904</t>
  </si>
  <si>
    <t>N11237-75-3</t>
  </si>
  <si>
    <t>302.27 mg</t>
  </si>
  <si>
    <t>NS12052905</t>
  </si>
  <si>
    <t>N9931-87-4</t>
  </si>
  <si>
    <t>310.62 mg</t>
  </si>
  <si>
    <t>NS12052906</t>
  </si>
  <si>
    <t>Vitamin C, anti oxydant , reduce oxidative stress</t>
  </si>
  <si>
    <t>BCBK0488V</t>
  </si>
  <si>
    <t>134-03-2</t>
  </si>
  <si>
    <t>50 g</t>
  </si>
  <si>
    <t>H2O mQ / ACSF</t>
  </si>
  <si>
    <t>CHPG</t>
  </si>
  <si>
    <t>Abcam</t>
  </si>
  <si>
    <t>GR69770</t>
  </si>
  <si>
    <t>ab120221</t>
  </si>
  <si>
    <t>SLBF4304V</t>
  </si>
  <si>
    <t>100 mM</t>
  </si>
  <si>
    <t>110 µL</t>
  </si>
  <si>
    <t>SR-95531</t>
  </si>
  <si>
    <t>102M4606V</t>
  </si>
  <si>
    <t>S106</t>
  </si>
  <si>
    <t>104104-50-9</t>
  </si>
  <si>
    <t>VU0155041</t>
  </si>
  <si>
    <t>APN08123-2-1</t>
  </si>
  <si>
    <t>ab120248</t>
  </si>
  <si>
    <t>Xanomeline</t>
  </si>
  <si>
    <t>APN12380-1-1</t>
  </si>
  <si>
    <t>ab141078</t>
  </si>
  <si>
    <t>141064-23-5</t>
  </si>
  <si>
    <t>ZM 241385</t>
  </si>
  <si>
    <t>ab120218</t>
  </si>
  <si>
    <t>139180-30-6</t>
  </si>
  <si>
    <t>AZ12995239-014</t>
  </si>
  <si>
    <t>SN1095317774</t>
  </si>
  <si>
    <t>350.9 mg</t>
  </si>
  <si>
    <t>Plateform pro</t>
  </si>
  <si>
    <t>NS13072601</t>
  </si>
  <si>
    <t>AZ13088583-022</t>
  </si>
  <si>
    <t>SN1014430899</t>
  </si>
  <si>
    <t>350.2 mg</t>
  </si>
  <si>
    <t>prepare freshly in 0.2M NaOH</t>
  </si>
  <si>
    <t>NS13072602</t>
  </si>
  <si>
    <t>AZ13214311-005</t>
  </si>
  <si>
    <t>SN1022600331</t>
  </si>
  <si>
    <t>350 mg</t>
  </si>
  <si>
    <t xml:space="preserve">prepare freshly in ACSF </t>
  </si>
  <si>
    <t>NS13072603</t>
  </si>
  <si>
    <t>AZ13237169-005</t>
  </si>
  <si>
    <t>SN1029266039</t>
  </si>
  <si>
    <t>350.7 mg</t>
  </si>
  <si>
    <t>NS13072604</t>
  </si>
  <si>
    <t>AZ13257149-012</t>
  </si>
  <si>
    <t>SN1100611959</t>
  </si>
  <si>
    <t>351 mg</t>
  </si>
  <si>
    <t>NS13072605</t>
  </si>
  <si>
    <t>AZ13060290-008</t>
  </si>
  <si>
    <t>SN1014864282</t>
  </si>
  <si>
    <t>NS13073002</t>
  </si>
  <si>
    <t>BRAINCO</t>
  </si>
  <si>
    <t>12N-819</t>
  </si>
  <si>
    <t>13CQ0011</t>
  </si>
  <si>
    <t>NS13100701</t>
  </si>
  <si>
    <t>12N-820</t>
  </si>
  <si>
    <t>50  mg</t>
  </si>
  <si>
    <t>NS13100702</t>
  </si>
  <si>
    <t>12N-823</t>
  </si>
  <si>
    <t>NS13100703</t>
  </si>
  <si>
    <t>SYN 22094389</t>
  </si>
  <si>
    <t>NS13100801</t>
  </si>
  <si>
    <t>STK723719</t>
  </si>
  <si>
    <t>50.3 mg</t>
  </si>
  <si>
    <t>NS13100901</t>
  </si>
  <si>
    <t>F3284-1973</t>
  </si>
  <si>
    <t>NS13101501</t>
  </si>
  <si>
    <t>CNRS IGF</t>
  </si>
  <si>
    <t>DN10</t>
  </si>
  <si>
    <t>- 80°C</t>
  </si>
  <si>
    <t>2 X 100 µL @ 1mM</t>
  </si>
  <si>
    <t>NS13050701</t>
  </si>
  <si>
    <t>LY 379268</t>
  </si>
  <si>
    <t>2 X 50 µL à 10 mM</t>
  </si>
  <si>
    <t>NS13050702</t>
  </si>
  <si>
    <t>AA21004:35</t>
  </si>
  <si>
    <t>75.1 mg</t>
  </si>
  <si>
    <t>13CQ0017</t>
  </si>
  <si>
    <t>NS13112101</t>
  </si>
  <si>
    <t>MNEMOSYNE</t>
  </si>
  <si>
    <t>MPX-001</t>
  </si>
  <si>
    <t>20.1 mg</t>
  </si>
  <si>
    <t>NS13101401</t>
  </si>
  <si>
    <t>MPX-006</t>
  </si>
  <si>
    <t>20 mg</t>
  </si>
  <si>
    <t>NS13101402</t>
  </si>
  <si>
    <t>L-Milnacipran</t>
  </si>
  <si>
    <t>F2695</t>
  </si>
  <si>
    <t>NS13122001</t>
  </si>
  <si>
    <t>1.20 g</t>
  </si>
  <si>
    <t>1.21 g</t>
  </si>
  <si>
    <t>ROCHE</t>
  </si>
  <si>
    <t>R1</t>
  </si>
  <si>
    <t>5.011 mg</t>
  </si>
  <si>
    <t>Peptide 3 Hoo-7-Phe-NH2</t>
  </si>
  <si>
    <t>SP130077</t>
  </si>
  <si>
    <t>CF11280</t>
  </si>
  <si>
    <t>27 mg</t>
  </si>
  <si>
    <t>NS13011101</t>
  </si>
  <si>
    <t>Peptide 4 Hcin-6-R-cyclic</t>
  </si>
  <si>
    <t>SP130078</t>
  </si>
  <si>
    <t>HF39170</t>
  </si>
  <si>
    <t>NS13052902</t>
  </si>
  <si>
    <t>14.7 mg</t>
  </si>
  <si>
    <t>Baclofen</t>
  </si>
  <si>
    <t>GABA B receptor agonsit skeletal muscle relaxant antispastic agent</t>
  </si>
  <si>
    <t>B5399</t>
  </si>
  <si>
    <t>1134-47-0</t>
  </si>
  <si>
    <t>Oleic acid ethyl ester (Ethyl oleate)</t>
  </si>
  <si>
    <t>MKBF8465V</t>
  </si>
  <si>
    <t>111-62-6</t>
  </si>
  <si>
    <t>Oxotremorine M</t>
  </si>
  <si>
    <t>O33M4724V</t>
  </si>
  <si>
    <t>O100</t>
  </si>
  <si>
    <t>63939-65-1</t>
  </si>
  <si>
    <t>SLBF7347V</t>
  </si>
  <si>
    <t>P5178</t>
  </si>
  <si>
    <t>57-30-7</t>
  </si>
  <si>
    <t xml:space="preserve">Oleic acid </t>
  </si>
  <si>
    <t>SLBC7605V</t>
  </si>
  <si>
    <t>O1008</t>
  </si>
  <si>
    <t>112-80-1</t>
  </si>
  <si>
    <t>SFK38393 Hydrochloride</t>
  </si>
  <si>
    <t>D1 like dopamine receptor agonist</t>
  </si>
  <si>
    <t>APN13082-1-1</t>
  </si>
  <si>
    <t>ab120740</t>
  </si>
  <si>
    <t>62717-42-4</t>
  </si>
  <si>
    <t>soluble in water to 50 mM with Warming, and in DMSO to 100 mM</t>
  </si>
  <si>
    <t>150 µL</t>
  </si>
  <si>
    <t>Carbamazepine</t>
  </si>
  <si>
    <t>GR194801-1</t>
  </si>
  <si>
    <t>ab141785</t>
  </si>
  <si>
    <t>289-46-4</t>
  </si>
  <si>
    <t>DMSO up to 100 mM</t>
  </si>
  <si>
    <t>Clozapine</t>
  </si>
  <si>
    <t>APN10083-1-1</t>
  </si>
  <si>
    <t>ab120019</t>
  </si>
  <si>
    <t>5786-21-0</t>
  </si>
  <si>
    <t>H2O mQ + 2eq HCl to 50 mM</t>
  </si>
  <si>
    <t>DMF</t>
  </si>
  <si>
    <t>1A/156022</t>
  </si>
  <si>
    <t>624-49-7</t>
  </si>
  <si>
    <t>L-Glutamate</t>
  </si>
  <si>
    <t>Excitatory neurotransmitter</t>
  </si>
  <si>
    <t>APN10026-1-1</t>
  </si>
  <si>
    <t>ab120049</t>
  </si>
  <si>
    <t>56-86-0</t>
  </si>
  <si>
    <t>1 eq NaOH to 100 mM</t>
  </si>
  <si>
    <t>Haloperidol</t>
  </si>
  <si>
    <t>Dopamine agonist with selectivity for D2-like receptors, also NMDA antagoist</t>
  </si>
  <si>
    <t>APN06103-1-1</t>
  </si>
  <si>
    <t>ab120080</t>
  </si>
  <si>
    <t>52-86-8</t>
  </si>
  <si>
    <t>DMSO at 10 mM</t>
  </si>
  <si>
    <t>Isradipine</t>
  </si>
  <si>
    <t>L-Type Ca 2+ channel blocker</t>
  </si>
  <si>
    <t>APN07101-1-1</t>
  </si>
  <si>
    <t>ab120142</t>
  </si>
  <si>
    <t>75695-93-1</t>
  </si>
  <si>
    <t>DMSO to 100 mM EtOH to 50 mM</t>
  </si>
  <si>
    <t>LY 341498</t>
  </si>
  <si>
    <t>13A/145338</t>
  </si>
  <si>
    <t>201943-63-7</t>
  </si>
  <si>
    <t>Memantine Hydrochloride</t>
  </si>
  <si>
    <t>10A/154752</t>
  </si>
  <si>
    <t>O773</t>
  </si>
  <si>
    <t>41100-52-1</t>
  </si>
  <si>
    <t>Methyllycaconitine citrate (MLA)</t>
  </si>
  <si>
    <t>a7-nicotinic receptor antagonist</t>
  </si>
  <si>
    <t>APN10034-1-7</t>
  </si>
  <si>
    <t>ab120072</t>
  </si>
  <si>
    <t>21019-30-7</t>
  </si>
  <si>
    <t>5 mg</t>
  </si>
  <si>
    <t>H2O mQ to 10 mM</t>
  </si>
  <si>
    <t>PD 168077 Maleate</t>
  </si>
  <si>
    <t>potent, selective D4 agonist</t>
  </si>
  <si>
    <t>APN11169-2-1</t>
  </si>
  <si>
    <t>ab120568</t>
  </si>
  <si>
    <t>190383-31-4</t>
  </si>
  <si>
    <t>DMSO to 100 mM</t>
  </si>
  <si>
    <t>PNU 282987</t>
  </si>
  <si>
    <t>selective a7 nAChR agonist</t>
  </si>
  <si>
    <t>APN11155-1-2</t>
  </si>
  <si>
    <t>ab120558</t>
  </si>
  <si>
    <t>123464-89-4</t>
  </si>
  <si>
    <t>H2O mQ to 100 mM</t>
  </si>
  <si>
    <t>ALCOBRA</t>
  </si>
  <si>
    <t xml:space="preserve">Metadoxine </t>
  </si>
  <si>
    <t>CC-3763.0-07</t>
  </si>
  <si>
    <t>10 g</t>
  </si>
  <si>
    <t>14CQ0013</t>
  </si>
  <si>
    <t>ORION</t>
  </si>
  <si>
    <t>ODM-108</t>
  </si>
  <si>
    <t>203.8 mg</t>
  </si>
  <si>
    <t>14CQ0023 pr03</t>
  </si>
  <si>
    <t>NS14110701</t>
  </si>
  <si>
    <t>RO1</t>
  </si>
  <si>
    <t>50.97 mg</t>
  </si>
  <si>
    <t>NS14070401</t>
  </si>
  <si>
    <t>Tiagabine hydrochloride</t>
  </si>
  <si>
    <t>GABA uptake inhibitor, selective for GAT-1</t>
  </si>
  <si>
    <t>KR0302</t>
  </si>
  <si>
    <t>NS14082801</t>
  </si>
  <si>
    <t>Lamotrigine</t>
  </si>
  <si>
    <t>MKBM4040V</t>
  </si>
  <si>
    <t>NS14082802</t>
  </si>
  <si>
    <t>Gabapentine</t>
  </si>
  <si>
    <t>6A/145837</t>
  </si>
  <si>
    <t>NS14082803</t>
  </si>
  <si>
    <t>Topiramate</t>
  </si>
  <si>
    <t>061M2057V</t>
  </si>
  <si>
    <t>NS14082804</t>
  </si>
  <si>
    <t>Sodium Valproate</t>
  </si>
  <si>
    <t>1-SWM-172-1</t>
  </si>
  <si>
    <t>91.30 mg</t>
  </si>
  <si>
    <t>NS14082806</t>
  </si>
  <si>
    <t>Phenytoin</t>
  </si>
  <si>
    <t>220.8 mg</t>
  </si>
  <si>
    <t>14CQ0014</t>
  </si>
  <si>
    <t>NS14090102</t>
  </si>
  <si>
    <t>SLBB2702V</t>
  </si>
  <si>
    <t>Pentylenetetrazole</t>
  </si>
  <si>
    <t>NS14092601</t>
  </si>
  <si>
    <t>Midazolam Hydrochloride</t>
  </si>
  <si>
    <t>059K3350</t>
  </si>
  <si>
    <t>NS14101501</t>
  </si>
  <si>
    <t>Valproic Acid sodium</t>
  </si>
  <si>
    <t>MKBQ7950V</t>
  </si>
  <si>
    <t>NS14111801</t>
  </si>
  <si>
    <t>061M4708V</t>
  </si>
  <si>
    <t>NS14111802</t>
  </si>
  <si>
    <t>APN080674-7-1</t>
  </si>
  <si>
    <t>NS14112501</t>
  </si>
  <si>
    <t>APN08098-1-1</t>
  </si>
  <si>
    <t>100 mM in eq NaOH</t>
  </si>
  <si>
    <t>NS14112801</t>
  </si>
  <si>
    <t>Caymanchemical</t>
  </si>
  <si>
    <t>0439888-11</t>
  </si>
  <si>
    <t>NS14121901</t>
  </si>
  <si>
    <t>Ketamine Hydrochloride</t>
  </si>
  <si>
    <t>SLBH9550V</t>
  </si>
  <si>
    <t>K2753</t>
  </si>
  <si>
    <t>1867-66-9</t>
  </si>
  <si>
    <t>Sedative/Hypnotic, ligand for the GABA A receptor benzodiazepine modulatory site CYP3A4 substrate</t>
  </si>
  <si>
    <t>013M3902</t>
  </si>
  <si>
    <t>UC429</t>
  </si>
  <si>
    <t>59467-96-8</t>
  </si>
  <si>
    <t>H2O mQ to at least 1mg/mL</t>
  </si>
  <si>
    <t>BE CAREFUL LIGHT SENSITIVE</t>
  </si>
  <si>
    <t>CC3763.0-07</t>
  </si>
  <si>
    <t>14CQ0013 / NS14061801</t>
  </si>
  <si>
    <t>Amantadine</t>
  </si>
  <si>
    <t>05612DEV</t>
  </si>
  <si>
    <t>A1260</t>
  </si>
  <si>
    <t>665-66-7</t>
  </si>
  <si>
    <t>H2O mQ 50mg/mL</t>
  </si>
  <si>
    <t>Cadmium</t>
  </si>
  <si>
    <t>MKBM1769V</t>
  </si>
  <si>
    <t>10108-64-2</t>
  </si>
  <si>
    <t>10g</t>
  </si>
  <si>
    <t>H2O mQ 457mg/mL</t>
  </si>
  <si>
    <t>RODIN</t>
  </si>
  <si>
    <t>ROD-114</t>
  </si>
  <si>
    <t>6914094CD</t>
  </si>
  <si>
    <t xml:space="preserve"> - </t>
  </si>
  <si>
    <t>201.3 mg</t>
  </si>
  <si>
    <t>10 Mm in DMSO</t>
  </si>
  <si>
    <t>NS15010601</t>
  </si>
  <si>
    <t>ROD-423</t>
  </si>
  <si>
    <t>6914092CD</t>
  </si>
  <si>
    <t>201.5 mg</t>
  </si>
  <si>
    <t>10 Mmin DMSO</t>
  </si>
  <si>
    <t>NS15010602</t>
  </si>
  <si>
    <t>CI-994</t>
  </si>
  <si>
    <t>6914090CD</t>
  </si>
  <si>
    <t>200.6 mg</t>
  </si>
  <si>
    <t>NS15010603</t>
  </si>
  <si>
    <t>Rolipram</t>
  </si>
  <si>
    <t xml:space="preserve">Selective cAMP-specific phosphodiesterase PDE4 inhibitor </t>
  </si>
  <si>
    <t>APN08160-11-2</t>
  </si>
  <si>
    <t>ab120029</t>
  </si>
  <si>
    <t>61413-54*5</t>
  </si>
  <si>
    <t>SYR237375B:002</t>
  </si>
  <si>
    <t>B0245521</t>
  </si>
  <si>
    <t>6.29 mg</t>
  </si>
  <si>
    <t>NS15011202</t>
  </si>
  <si>
    <t>KDAC0001-02A</t>
  </si>
  <si>
    <t>NS15020201</t>
  </si>
  <si>
    <t>ROD-115</t>
  </si>
  <si>
    <t>T-727</t>
  </si>
  <si>
    <t>GC0000243904</t>
  </si>
  <si>
    <t>106.6 mg</t>
  </si>
  <si>
    <t>ROD-404</t>
  </si>
  <si>
    <t>T-586</t>
  </si>
  <si>
    <t>GC0000243913</t>
  </si>
  <si>
    <t>104.9 mg</t>
  </si>
  <si>
    <t>ROD-462</t>
  </si>
  <si>
    <t>T-726</t>
  </si>
  <si>
    <t>GC0000243989</t>
  </si>
  <si>
    <t>105.5 mg</t>
  </si>
  <si>
    <t>HelloBio</t>
  </si>
  <si>
    <t>HBO0355</t>
  </si>
  <si>
    <t>487-79-6</t>
  </si>
  <si>
    <t>H2O mQ to 25 mM</t>
  </si>
  <si>
    <t xml:space="preserve">doute sur efficacité du cpd </t>
  </si>
  <si>
    <t>Phenobarbital sodium salt</t>
  </si>
  <si>
    <t>enhances GABAergic activity</t>
  </si>
  <si>
    <t>SLBK7986V</t>
  </si>
  <si>
    <t>Hydroxydopamine hydrobromide</t>
  </si>
  <si>
    <t>Selective catecholaminergic neurotoxin</t>
  </si>
  <si>
    <t>3A/161117</t>
  </si>
  <si>
    <t>636-00-0</t>
  </si>
  <si>
    <t>Water or DMSO to 100 mM</t>
  </si>
  <si>
    <t>Levetiracetam</t>
  </si>
  <si>
    <t>potent anti epilecticbinds to SV2A</t>
  </si>
  <si>
    <t>APN12669-1-1</t>
  </si>
  <si>
    <t>ab141302</t>
  </si>
  <si>
    <t>102767-28-2</t>
  </si>
  <si>
    <t>DMSO or H2O mQ to 100 mM</t>
  </si>
  <si>
    <t>GABAA receptor antagonist</t>
  </si>
  <si>
    <t>SLBL6038V</t>
  </si>
  <si>
    <t>DMSO / EtOH</t>
  </si>
  <si>
    <t>Anticonvulsant; ligand for the GABAA receptor benzodiazepine modulatory site. Sodium channel inhibitor.</t>
  </si>
  <si>
    <t>MKBS4853V</t>
  </si>
  <si>
    <t>C4024</t>
  </si>
  <si>
    <t>298-46-4</t>
  </si>
  <si>
    <t>500 µL</t>
  </si>
  <si>
    <t>Reduces incidence of grand mal seizures; appears to stabilize excitable membranes perhaps through effects on Na+, K+, and Ca2+ channels</t>
  </si>
  <si>
    <t>S60947V</t>
  </si>
  <si>
    <t>D4007</t>
  </si>
  <si>
    <t>5741-0</t>
  </si>
  <si>
    <t>Sodium Pyruvate</t>
  </si>
  <si>
    <t>011M12921V</t>
  </si>
  <si>
    <t>P8574</t>
  </si>
  <si>
    <t>113-24-6</t>
  </si>
  <si>
    <t>BCBN7393V</t>
  </si>
  <si>
    <t>H8502</t>
  </si>
  <si>
    <t xml:space="preserve">H2O mQ </t>
  </si>
  <si>
    <t>NEUROCRINE</t>
  </si>
  <si>
    <t>AF-DX 116</t>
  </si>
  <si>
    <t>M2 antagonist</t>
  </si>
  <si>
    <t>APN07111-6-2</t>
  </si>
  <si>
    <t>ab120152</t>
  </si>
  <si>
    <t>102394-31-0</t>
  </si>
  <si>
    <t>DMSO to 25 mM</t>
  </si>
  <si>
    <t>15RD0024</t>
  </si>
  <si>
    <t>Pirenzepine dihydrochloride</t>
  </si>
  <si>
    <t>M1 antagonist</t>
  </si>
  <si>
    <t>APN10196-3-4</t>
  </si>
  <si>
    <t>ab120153</t>
  </si>
  <si>
    <t>29868-97-1</t>
  </si>
  <si>
    <t>Oxotremorine sesquifumarate</t>
  </si>
  <si>
    <t>non selective muscarinic receptor agonist</t>
  </si>
  <si>
    <t>APN12381-1-1</t>
  </si>
  <si>
    <t>ab141079</t>
  </si>
  <si>
    <t>17360-35-9</t>
  </si>
  <si>
    <t>DMSO to 100 mM H2O mQ to 25 mM</t>
  </si>
  <si>
    <t>NBI673721-3</t>
  </si>
  <si>
    <t>VVV007655</t>
  </si>
  <si>
    <t>75 mg</t>
  </si>
  <si>
    <t>DMSO to 10 mM</t>
  </si>
  <si>
    <t>NBI-675673-6</t>
  </si>
  <si>
    <t>VVV007654</t>
  </si>
  <si>
    <t>67 mg</t>
  </si>
  <si>
    <t>Carbachol</t>
  </si>
  <si>
    <t>BCBN3176V</t>
  </si>
  <si>
    <t>C4382</t>
  </si>
  <si>
    <t>51-83-2</t>
  </si>
  <si>
    <t>H2O mQ to 1g/mL</t>
  </si>
  <si>
    <t>Serotonin hydrochloride</t>
  </si>
  <si>
    <t>091M5163V</t>
  </si>
  <si>
    <t>H9523</t>
  </si>
  <si>
    <t>153-98-0</t>
  </si>
  <si>
    <t>H2O mQ to 17mg/mL</t>
  </si>
  <si>
    <t>25 mM</t>
  </si>
  <si>
    <t>100 µL</t>
  </si>
  <si>
    <t>Neuroservice</t>
  </si>
  <si>
    <t>Tropicamide</t>
  </si>
  <si>
    <t>Potent, selective M4 antagonist</t>
  </si>
  <si>
    <t>APN12336-1-1</t>
  </si>
  <si>
    <t>ab141043</t>
  </si>
  <si>
    <t>1508-75-4</t>
  </si>
  <si>
    <t xml:space="preserve">Kainate </t>
  </si>
  <si>
    <t>APN13058-1-1</t>
  </si>
  <si>
    <t>ab120100</t>
  </si>
  <si>
    <r>
      <t>A</t>
    </r>
    <r>
      <rPr>
        <sz val="11"/>
        <rFont val="Calibri"/>
        <family val="2"/>
      </rPr>
      <t>β</t>
    </r>
    <r>
      <rPr>
        <sz val="9.35"/>
        <rFont val="Calibri"/>
        <family val="2"/>
      </rPr>
      <t>1-42 oligomers</t>
    </r>
  </si>
  <si>
    <t>150429EMH</t>
  </si>
  <si>
    <t>20*1ml</t>
  </si>
  <si>
    <t>100 nM in PBS + 02M sucrose</t>
  </si>
  <si>
    <t>13*1mL</t>
  </si>
  <si>
    <t>Sedative/Hypnotic, ligand for the GABA A receptor benzodiazepine modulatory site</t>
  </si>
  <si>
    <t>2A/165391</t>
  </si>
  <si>
    <t>norepinephrine bitartrate salt</t>
  </si>
  <si>
    <t>SLBL7307V</t>
  </si>
  <si>
    <t>A0937</t>
  </si>
  <si>
    <t>3414-63-9</t>
  </si>
  <si>
    <t>1 000 mg</t>
  </si>
  <si>
    <t>20 mM</t>
  </si>
  <si>
    <t>4-AP</t>
  </si>
  <si>
    <t>K+ channel blocker</t>
  </si>
  <si>
    <t>MKBN8495V</t>
  </si>
  <si>
    <t>504-24-5</t>
  </si>
  <si>
    <t xml:space="preserve">4-AP from PATCH </t>
  </si>
  <si>
    <t>50 mM</t>
  </si>
  <si>
    <t>505 µL</t>
  </si>
  <si>
    <t>AstraZeneca</t>
  </si>
  <si>
    <t>AZ13792713-004 (SN1053436162)</t>
  </si>
  <si>
    <t>201 mg</t>
  </si>
  <si>
    <t>15CQ0035</t>
  </si>
  <si>
    <t>AZ13791971-007 (SN1052972876)</t>
  </si>
  <si>
    <t>200.3 mg</t>
  </si>
  <si>
    <t>AZ13719391-004 (SN1053435138)</t>
  </si>
  <si>
    <t>200.8 mg</t>
  </si>
  <si>
    <t>H2O mQ 100 mM HCl</t>
  </si>
  <si>
    <t>TAKEDA</t>
  </si>
  <si>
    <t>Nicotine ditartrate</t>
  </si>
  <si>
    <t>nAChR agonist</t>
  </si>
  <si>
    <t>2A/169562</t>
  </si>
  <si>
    <t>patch</t>
  </si>
  <si>
    <t>MEA/PATCH</t>
  </si>
  <si>
    <t>Morphine sulfate salt pentahydrate</t>
  </si>
  <si>
    <t>SLBJ9745V</t>
  </si>
  <si>
    <t>M8777</t>
  </si>
  <si>
    <t>6211-15-0</t>
  </si>
  <si>
    <t>H2O mQ 64 mg/mL</t>
  </si>
  <si>
    <t>FORUM PHARMA</t>
  </si>
  <si>
    <t>Donepezil hydrochloride</t>
  </si>
  <si>
    <t>Acetylcholinesterase inhibitor</t>
  </si>
  <si>
    <t>APN12003-1-1</t>
  </si>
  <si>
    <t>ab120763</t>
  </si>
  <si>
    <t>120011-70-3</t>
  </si>
  <si>
    <t>H2O mQ up to 100 mM</t>
  </si>
  <si>
    <t>15CQ0032 / 16RD0011</t>
  </si>
  <si>
    <t>L-732,138</t>
  </si>
  <si>
    <t>NK1 receptor antagonist</t>
  </si>
  <si>
    <t>3A/166143</t>
  </si>
  <si>
    <t>0868</t>
  </si>
  <si>
    <t>148451-96-1</t>
  </si>
  <si>
    <t>Yohimbine Hydrochloride</t>
  </si>
  <si>
    <t>BCBB9433</t>
  </si>
  <si>
    <t>Y3125</t>
  </si>
  <si>
    <t>65-19-0</t>
  </si>
  <si>
    <t>1000mg</t>
  </si>
  <si>
    <t>H2O mQ 10mg/mL</t>
  </si>
  <si>
    <t>SYR226027Z</t>
  </si>
  <si>
    <t>B0277289</t>
  </si>
  <si>
    <t>10.82 mg</t>
  </si>
  <si>
    <t>SYR226860A</t>
  </si>
  <si>
    <t>B0277361</t>
  </si>
  <si>
    <t>10.59 mg</t>
  </si>
  <si>
    <t>105, 205 µL</t>
  </si>
  <si>
    <t>250 mg</t>
  </si>
  <si>
    <t>0.1 M HCl</t>
  </si>
  <si>
    <t>15CQ0062</t>
  </si>
  <si>
    <t>D-AP5</t>
  </si>
  <si>
    <t>APN142445-1-10</t>
  </si>
  <si>
    <t>ab120003</t>
  </si>
  <si>
    <t>79055-68-8</t>
  </si>
  <si>
    <t>Ketamine Xylazine</t>
  </si>
  <si>
    <t>113M4614V</t>
  </si>
  <si>
    <t>K4138</t>
  </si>
  <si>
    <t>10 mL</t>
  </si>
  <si>
    <t>Harmaline hydrochloride dihydrate</t>
  </si>
  <si>
    <t>MKBT4606V</t>
  </si>
  <si>
    <t>H1392</t>
  </si>
  <si>
    <t>6027-98-1</t>
  </si>
  <si>
    <t>Octreotide</t>
  </si>
  <si>
    <t>Peptide agonist for sst2, stt3 and sst5</t>
  </si>
  <si>
    <t>5A/135585</t>
  </si>
  <si>
    <t>79517-01-4</t>
  </si>
  <si>
    <r>
      <t>1.20 mg/mL in H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O mQ</t>
    </r>
  </si>
  <si>
    <t>15PR0121</t>
  </si>
  <si>
    <t>Retigabine</t>
  </si>
  <si>
    <t>BCBN1785V</t>
  </si>
  <si>
    <t>150812-12-7</t>
  </si>
  <si>
    <t>15PR0122</t>
  </si>
  <si>
    <t>200 µL, 100 µL</t>
  </si>
  <si>
    <t>AMPA/Kainate antagonist</t>
  </si>
  <si>
    <t>APN12449-1-1</t>
  </si>
  <si>
    <t>ab120044</t>
  </si>
  <si>
    <t>479347-85-8</t>
  </si>
  <si>
    <t>Bicuculline</t>
  </si>
  <si>
    <t>BCBN1844V</t>
  </si>
  <si>
    <t>40709-69-1</t>
  </si>
  <si>
    <t>MK-801 hydrogen maleate</t>
  </si>
  <si>
    <t>selective non-competitive NMDA glutamate receptor antagonist</t>
  </si>
  <si>
    <t>022M4616V</t>
  </si>
  <si>
    <t>M107</t>
  </si>
  <si>
    <t>77086-22-7</t>
  </si>
  <si>
    <t>15CQ0021</t>
  </si>
  <si>
    <t>300 &amp; 600 µl</t>
  </si>
  <si>
    <t>Scopolamine hydrobromide</t>
  </si>
  <si>
    <t>Competitive nonselective muscarinic acetylcholine antagonist</t>
  </si>
  <si>
    <t>SLBL9648V</t>
  </si>
  <si>
    <t>S0929</t>
  </si>
  <si>
    <t>6533-68-2</t>
  </si>
  <si>
    <t>1000 mg</t>
  </si>
  <si>
    <t>H2O</t>
  </si>
  <si>
    <t>600 µL</t>
  </si>
  <si>
    <t>CELL</t>
  </si>
  <si>
    <t>Daiichi Sankyo</t>
  </si>
  <si>
    <t>Pregabalin (ROX-2323)</t>
  </si>
  <si>
    <t>77 mg</t>
  </si>
  <si>
    <t>Neurobasal A</t>
  </si>
  <si>
    <t>15CQ0033</t>
  </si>
  <si>
    <t>A200-0700</t>
  </si>
  <si>
    <t>202.8 mg</t>
  </si>
  <si>
    <t>Methylene blue</t>
  </si>
  <si>
    <t>MKBT394V</t>
  </si>
  <si>
    <t>M9140</t>
  </si>
  <si>
    <t>7220-79-3</t>
  </si>
  <si>
    <t>4 mg/ml H2O mQ</t>
  </si>
  <si>
    <t>16RD0005</t>
  </si>
  <si>
    <t>manque une pesée</t>
  </si>
  <si>
    <t xml:space="preserve">3 mg/ml </t>
  </si>
  <si>
    <t>dans le frigo</t>
  </si>
  <si>
    <t>Ractopamine hydrochloride</t>
  </si>
  <si>
    <t>TA1 receptor agonist</t>
  </si>
  <si>
    <t>1A/166553</t>
  </si>
  <si>
    <t>90274-24-1</t>
  </si>
  <si>
    <t>H2O to 20 mM DMSO to 100 mM</t>
  </si>
  <si>
    <t>CHDI</t>
  </si>
  <si>
    <t>CHDI-00487741</t>
  </si>
  <si>
    <t>CHDI-00487741-0000-002</t>
  </si>
  <si>
    <t>15RD0017</t>
  </si>
  <si>
    <t>3 mM</t>
  </si>
  <si>
    <t>CHDI-00051910</t>
  </si>
  <si>
    <t>CHDI-00051910-0010-003</t>
  </si>
  <si>
    <t>200 µL</t>
  </si>
  <si>
    <t>Anticonvulsant with unknown mechanism of action</t>
  </si>
  <si>
    <t>128K1528V</t>
  </si>
  <si>
    <t>G154</t>
  </si>
  <si>
    <t>60142-96-3</t>
  </si>
  <si>
    <t>H2O to 10 mg/mL</t>
  </si>
  <si>
    <t>Janssen</t>
  </si>
  <si>
    <t>NBQX</t>
  </si>
  <si>
    <t>APN13059-25-10</t>
  </si>
  <si>
    <t>ab120045</t>
  </si>
  <si>
    <t>118876-58-7</t>
  </si>
  <si>
    <t>10mg</t>
  </si>
  <si>
    <t>Strychnine hydrochloride</t>
  </si>
  <si>
    <t>Glycine antagonist</t>
  </si>
  <si>
    <t>APN10142-1-1</t>
  </si>
  <si>
    <t>ab120416</t>
  </si>
  <si>
    <t>1421-86-9</t>
  </si>
  <si>
    <t>100mg</t>
  </si>
  <si>
    <t>50mM in H2O mQ</t>
  </si>
  <si>
    <t>15PR0136</t>
  </si>
  <si>
    <t>CYN 154806</t>
  </si>
  <si>
    <t>sst2 receptor antagonist</t>
  </si>
  <si>
    <t>13A</t>
  </si>
  <si>
    <t>183658-72-2</t>
  </si>
  <si>
    <t>1 mg/mL in H2O mQ</t>
  </si>
  <si>
    <t>Kynurenic acid</t>
  </si>
  <si>
    <t>SLBH7865V</t>
  </si>
  <si>
    <t>K3375</t>
  </si>
  <si>
    <t>492-27-3</t>
  </si>
  <si>
    <t>SLBN5154V</t>
  </si>
  <si>
    <t>ROIVANT</t>
  </si>
  <si>
    <t>15PR0133</t>
  </si>
  <si>
    <t>505µL</t>
  </si>
  <si>
    <t>SGE-00118-02-A</t>
  </si>
  <si>
    <t>45 mg</t>
  </si>
  <si>
    <t>DMSO &amp; 0.01% cremophor</t>
  </si>
  <si>
    <t>16PR0024</t>
  </si>
  <si>
    <t>SGE-01731-01-A</t>
  </si>
  <si>
    <t>15 mg</t>
  </si>
  <si>
    <t>SGE-01732-01-A</t>
  </si>
  <si>
    <t>ORM-0160438-001-0003</t>
  </si>
  <si>
    <t>001-0003</t>
  </si>
  <si>
    <t>50.08 mg</t>
  </si>
  <si>
    <t>DMSO to 30 mM</t>
  </si>
  <si>
    <t>16PR0021</t>
  </si>
  <si>
    <t>30 mM</t>
  </si>
  <si>
    <t>Cmpd A / JNJ26116220</t>
  </si>
  <si>
    <t xml:space="preserve">3.0 mg </t>
  </si>
  <si>
    <t>Cmpd B / JNJ40875094</t>
  </si>
  <si>
    <t>DMSO to 10mM</t>
  </si>
  <si>
    <t>RO6889450-004-001</t>
  </si>
  <si>
    <t>35 mg</t>
  </si>
  <si>
    <t>5A/155564</t>
  </si>
  <si>
    <t>83150-76-9</t>
  </si>
  <si>
    <t>H2O 1,2mg/ml</t>
  </si>
  <si>
    <t>Cmpd "P"</t>
  </si>
  <si>
    <t>SLBL4519V</t>
  </si>
  <si>
    <t>H2O mQ 200 mg/mL</t>
  </si>
  <si>
    <t xml:space="preserve">RVT-101 </t>
  </si>
  <si>
    <t>SB-745457</t>
  </si>
  <si>
    <t>L0505036</t>
  </si>
  <si>
    <t>&gt; 99.8% purity DMSO</t>
  </si>
  <si>
    <t>ABBVIE</t>
  </si>
  <si>
    <t>Vehicule DMSO</t>
  </si>
  <si>
    <t>4.86 mL</t>
  </si>
  <si>
    <t>Aliquoté a reception</t>
  </si>
  <si>
    <t>Compound A</t>
  </si>
  <si>
    <t>11P5QC</t>
  </si>
  <si>
    <t>0.1 mM</t>
  </si>
  <si>
    <t>410 µL</t>
  </si>
  <si>
    <t>Compound B</t>
  </si>
  <si>
    <t>11P5Q9</t>
  </si>
  <si>
    <t>Compound C</t>
  </si>
  <si>
    <t>11P5QD</t>
  </si>
  <si>
    <t>Compound D</t>
  </si>
  <si>
    <t>11P61F</t>
  </si>
  <si>
    <t xml:space="preserve">3 mM </t>
  </si>
  <si>
    <t>Alcobra</t>
  </si>
  <si>
    <t>ChemCom</t>
  </si>
  <si>
    <t>CC-3763.0-15</t>
  </si>
  <si>
    <t>74536-44-0</t>
  </si>
  <si>
    <t>H2O and DMSO</t>
  </si>
  <si>
    <t>numerotation</t>
  </si>
  <si>
    <t>114K7028</t>
  </si>
  <si>
    <t>Quinpirole hydrochloride</t>
  </si>
  <si>
    <t>030M4613</t>
  </si>
  <si>
    <t>Q102</t>
  </si>
  <si>
    <t>85798-08-9</t>
  </si>
  <si>
    <t>031M1418V</t>
  </si>
  <si>
    <t>jetée le 07/09/2015 trop vieux</t>
  </si>
  <si>
    <t>500 mM</t>
  </si>
  <si>
    <t>Liposomes control DOPC</t>
  </si>
  <si>
    <t>100 mL</t>
  </si>
  <si>
    <t>jetée</t>
  </si>
  <si>
    <t>NS11020301</t>
  </si>
  <si>
    <t>Liposomes control DPPC</t>
  </si>
  <si>
    <t>NS11020302</t>
  </si>
  <si>
    <t>BCB1471V</t>
  </si>
  <si>
    <t>C482</t>
  </si>
  <si>
    <t xml:space="preserve">Jetée le 08/19/15 hydraté </t>
  </si>
  <si>
    <t>Volatge dependant K channel blocker</t>
  </si>
  <si>
    <t>APN11360-1-1</t>
  </si>
  <si>
    <t>ab120122</t>
  </si>
  <si>
    <t>BCBF8612V</t>
  </si>
  <si>
    <t>40709-69-2</t>
  </si>
  <si>
    <t>15RD0130</t>
  </si>
  <si>
    <t>500 µl</t>
  </si>
  <si>
    <t>CGS 21680</t>
  </si>
  <si>
    <t>APN13052-1-1</t>
  </si>
  <si>
    <t>ab120453</t>
  </si>
  <si>
    <t>124182-57-6</t>
  </si>
  <si>
    <t>Competitive NMDA receptor glutamate site antagonist</t>
  </si>
  <si>
    <t>APN11420-6-1</t>
  </si>
  <si>
    <t>ab12003</t>
  </si>
  <si>
    <t>Cirazoline hydrochloride</t>
  </si>
  <si>
    <t>107H4629V</t>
  </si>
  <si>
    <t>C223</t>
  </si>
  <si>
    <t>40600-13-3</t>
  </si>
  <si>
    <t>APN12540-8-13</t>
  </si>
  <si>
    <t>B0245547</t>
  </si>
  <si>
    <t>6.27 mg</t>
  </si>
  <si>
    <t>NS15011201</t>
  </si>
  <si>
    <t>SAHA</t>
  </si>
  <si>
    <t xml:space="preserve">Potent non-selective HDAC inhibitor </t>
  </si>
  <si>
    <t>113M4752V</t>
  </si>
  <si>
    <t>15CQ0004</t>
  </si>
  <si>
    <t>NS15012801</t>
  </si>
  <si>
    <t>15RD0006</t>
  </si>
  <si>
    <t>L-803,087 trifluoroacetate</t>
  </si>
  <si>
    <t>Potent and selective somatostatin sst4 receptor agonist</t>
  </si>
  <si>
    <t>2A/148126</t>
  </si>
  <si>
    <t>15CQ0003</t>
  </si>
  <si>
    <t>NS15020301</t>
  </si>
  <si>
    <t xml:space="preserve">Retigabine is a Kv7.2-7.5 neuronal potassium channel opener </t>
  </si>
  <si>
    <t>NS15020401</t>
  </si>
  <si>
    <t>BO283499</t>
  </si>
  <si>
    <t>25.63 mg</t>
  </si>
  <si>
    <t>NS15021201</t>
  </si>
  <si>
    <t>BO283564</t>
  </si>
  <si>
    <t>25.68 mg</t>
  </si>
  <si>
    <t>NS15021202</t>
  </si>
  <si>
    <t>HBO442</t>
  </si>
  <si>
    <t>2 mL</t>
  </si>
  <si>
    <t>IRONWOOD</t>
  </si>
  <si>
    <t>YC 1</t>
  </si>
  <si>
    <t>Nitric oxide-independent activator of soluble guanylyl cyclase</t>
  </si>
  <si>
    <t>1A/165030</t>
  </si>
  <si>
    <t>170632-47-0</t>
  </si>
  <si>
    <t>pesée 5 mg de plus qu’indiquer sur le flacon</t>
  </si>
  <si>
    <t>50 µL, 100 µL</t>
  </si>
  <si>
    <t>Diethylamine NONOate sodium salt</t>
  </si>
  <si>
    <t>complex of diethylamine with nitric oxide used to generate a controlled release of nitric oxide in solution.</t>
  </si>
  <si>
    <t>112M4604V</t>
  </si>
  <si>
    <t>D184</t>
  </si>
  <si>
    <t>40 µL, 80 µL, 120 µL, 240 µL</t>
  </si>
  <si>
    <t>8-pCPT-cGMP</t>
  </si>
  <si>
    <t>8-(4-chlorophenylthio)-guanosine3',5'-cyclic monophosphate sodium salt</t>
  </si>
  <si>
    <t>SLBK4529V</t>
  </si>
  <si>
    <t>C5438</t>
  </si>
  <si>
    <t>51239-26-0</t>
  </si>
  <si>
    <t>H2O mQ  25 mg/ml</t>
  </si>
  <si>
    <t>120 µL</t>
  </si>
  <si>
    <t>Highly selective α7 nAChR agonist</t>
  </si>
  <si>
    <t>4A/151740</t>
  </si>
  <si>
    <t>123464-89-1</t>
  </si>
  <si>
    <t>eq HCL to 100 mM or DMSO to 100 mM</t>
  </si>
  <si>
    <t>SYR246514Z</t>
  </si>
  <si>
    <t>alpha1 adrenergic agonist</t>
  </si>
  <si>
    <t>Barcode B0262648</t>
  </si>
  <si>
    <t>4.13 mg</t>
  </si>
  <si>
    <t>15 µL, 50 µL</t>
  </si>
  <si>
    <t>APN12476-1-1</t>
  </si>
  <si>
    <t>water to 100 mM</t>
  </si>
  <si>
    <t>510 µL</t>
  </si>
  <si>
    <t>690 µL</t>
  </si>
  <si>
    <t>FRM-0017874</t>
  </si>
  <si>
    <t>3.2 mg</t>
  </si>
  <si>
    <t>15CQ0015</t>
  </si>
  <si>
    <t>10 µL , 200 µL, 400 µL</t>
  </si>
  <si>
    <t>RO2</t>
  </si>
  <si>
    <t>34.56 mg</t>
  </si>
  <si>
    <t>all</t>
  </si>
  <si>
    <t>400 µL</t>
  </si>
  <si>
    <t>ICI118,551 hydrochloride</t>
  </si>
  <si>
    <t>selective B2 adrenergic antagonist</t>
  </si>
  <si>
    <t>2A/171161</t>
  </si>
  <si>
    <t>72795-01-8</t>
  </si>
  <si>
    <t>DMSO/ H2O mQ to 10 mM</t>
  </si>
  <si>
    <t>Takeda</t>
  </si>
  <si>
    <t>SYR263066Z</t>
  </si>
  <si>
    <t>002</t>
  </si>
  <si>
    <t>24.46 mg</t>
  </si>
  <si>
    <t>up to 30 mM DMSO</t>
  </si>
  <si>
    <t>15CQ0044</t>
  </si>
  <si>
    <t>SYR257784Z</t>
  </si>
  <si>
    <t>29.81 mg</t>
  </si>
  <si>
    <t>Linopirdine dihydrochloride</t>
  </si>
  <si>
    <t>Blocker of Kv7 voltage-gated potassium channels</t>
  </si>
  <si>
    <t>2A/168353</t>
  </si>
  <si>
    <t>113168-57-3</t>
  </si>
  <si>
    <r>
      <t>up to 100 mM H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O (or DMSO)</t>
    </r>
  </si>
  <si>
    <t>2A/159876</t>
  </si>
  <si>
    <t>10.1 mg</t>
  </si>
  <si>
    <t>10 mM in DMSO</t>
  </si>
  <si>
    <t>15CQ0050</t>
  </si>
  <si>
    <t>up to 100 mM H2O</t>
  </si>
  <si>
    <t>15CQ0048</t>
  </si>
  <si>
    <t>SGE-01613-03-A</t>
  </si>
  <si>
    <t>DMSO (Stock) &amp; 0.01% cremophor in ACSF</t>
  </si>
  <si>
    <t>15CQ0057</t>
  </si>
  <si>
    <t>SGE-01606-04-A</t>
  </si>
  <si>
    <t>SGE-01335-02-A</t>
  </si>
  <si>
    <t>SGE-01057-05-A</t>
  </si>
  <si>
    <t>15.1 mg</t>
  </si>
  <si>
    <t>SYR231370Z</t>
  </si>
  <si>
    <t>009</t>
  </si>
  <si>
    <t>20.65 mg</t>
  </si>
  <si>
    <t>SGE-00516-05-A</t>
  </si>
  <si>
    <t>15CQ0064</t>
  </si>
  <si>
    <t>GLYX-13 trifluoroacetate</t>
  </si>
  <si>
    <t>091M4711v</t>
  </si>
  <si>
    <t>SML0109</t>
  </si>
  <si>
    <t>117928-94-6</t>
  </si>
  <si>
    <t>15RD0004</t>
  </si>
  <si>
    <t>300 µL</t>
  </si>
  <si>
    <t>5.10 mg</t>
  </si>
  <si>
    <t>15PR0105</t>
  </si>
  <si>
    <t>55µL, 105 µL</t>
  </si>
  <si>
    <t>SYR277788A</t>
  </si>
  <si>
    <t>5-HT3 agonist (mCPBG)</t>
  </si>
  <si>
    <t>B0272565</t>
  </si>
  <si>
    <t>96.01 mg</t>
  </si>
  <si>
    <t>15PR0111</t>
  </si>
  <si>
    <t>ω-conotoxin GVIA</t>
  </si>
  <si>
    <t>N-type Ca channels blocker</t>
  </si>
  <si>
    <t>36A</t>
  </si>
  <si>
    <t>106375-28-4</t>
  </si>
  <si>
    <t>0.250 mg</t>
  </si>
  <si>
    <t>1 mg/ml in water</t>
  </si>
  <si>
    <t>21.8 mg</t>
  </si>
  <si>
    <t>21.6 mg</t>
  </si>
  <si>
    <t>Potent and selective somatostatin sst2 receptor agonist</t>
  </si>
  <si>
    <r>
      <t>1 mg/mL in H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O mQ</t>
    </r>
  </si>
  <si>
    <t>XE-991</t>
  </si>
  <si>
    <t>013M4735V</t>
  </si>
  <si>
    <t>X2254</t>
  </si>
  <si>
    <t>122955-42-4</t>
  </si>
  <si>
    <t>DMSO to 20 mg / mL</t>
  </si>
  <si>
    <t xml:space="preserve">only 6 mg </t>
  </si>
  <si>
    <t>ORIN01-492</t>
  </si>
  <si>
    <t>JBL-C-1587-01 9-04</t>
  </si>
  <si>
    <t>30.7 mg</t>
  </si>
  <si>
    <t>15PR0110</t>
  </si>
  <si>
    <t>SYR270276Z</t>
  </si>
  <si>
    <t>B0271812</t>
  </si>
  <si>
    <t>30.53 mg</t>
  </si>
  <si>
    <t>15PR0123</t>
  </si>
  <si>
    <t>500µL, 250µL, 100 µL, 50 µL</t>
  </si>
  <si>
    <t>SYR268663Z</t>
  </si>
  <si>
    <t>B0271791</t>
  </si>
  <si>
    <t>35.04 mg</t>
  </si>
  <si>
    <t>23.84 mg</t>
  </si>
  <si>
    <t>Empty</t>
  </si>
  <si>
    <t>15PR0108</t>
  </si>
  <si>
    <t>RO5263397-006-001</t>
  </si>
  <si>
    <t>DBA0126408</t>
  </si>
  <si>
    <t>20 µL, 60 µL</t>
  </si>
  <si>
    <t>mCPBG</t>
  </si>
  <si>
    <t>Selective 5-HT3 receptor agonist</t>
  </si>
  <si>
    <t>4A/174602</t>
  </si>
  <si>
    <t>0440</t>
  </si>
  <si>
    <t>2113-05-5</t>
  </si>
  <si>
    <t>4B/175804</t>
  </si>
  <si>
    <t>NMDA glutamate site antagonist</t>
  </si>
  <si>
    <t>APN14245-1-10</t>
  </si>
  <si>
    <t>SYR275422Z</t>
  </si>
  <si>
    <t>B0271578</t>
  </si>
  <si>
    <t>30.16 mg</t>
  </si>
  <si>
    <t>15CQ0042</t>
  </si>
  <si>
    <t>SYR273841Z</t>
  </si>
  <si>
    <t>B0271528</t>
  </si>
  <si>
    <t>30.29mg</t>
  </si>
  <si>
    <t>EIP Pharma</t>
  </si>
  <si>
    <r>
      <t>Interleukin 1 beta (rrIL-1</t>
    </r>
    <r>
      <rPr>
        <sz val="11"/>
        <rFont val="Calibri"/>
        <family val="2"/>
      </rPr>
      <t>β)</t>
    </r>
  </si>
  <si>
    <t>R&amp;D Systems</t>
  </si>
  <si>
    <t>QZ2514031</t>
  </si>
  <si>
    <t>17000 g/mol</t>
  </si>
  <si>
    <t>501-RL-050/CF</t>
  </si>
  <si>
    <t>50 µg</t>
  </si>
  <si>
    <t>100 µg/mL in PBS</t>
  </si>
  <si>
    <t>15PR0131</t>
  </si>
  <si>
    <t>100 µg/mL</t>
  </si>
  <si>
    <t>17 µL</t>
  </si>
  <si>
    <t>PBS stérile</t>
  </si>
  <si>
    <t>MM-449446</t>
  </si>
  <si>
    <t>11.7 mg</t>
  </si>
  <si>
    <t>15PR0107</t>
  </si>
  <si>
    <t>MM-500077</t>
  </si>
  <si>
    <t>10.5 mg</t>
  </si>
  <si>
    <t>15 µL, 45 µL</t>
  </si>
  <si>
    <t>MM-464575</t>
  </si>
  <si>
    <t>10.2 mg</t>
  </si>
  <si>
    <t>45 µL</t>
  </si>
  <si>
    <t>AZ13812727-002</t>
  </si>
  <si>
    <t>SN1053388552</t>
  </si>
  <si>
    <t>10.0 mg</t>
  </si>
  <si>
    <t>100 &amp; 10 µl</t>
  </si>
  <si>
    <t>orin01-042</t>
  </si>
  <si>
    <t>JBL-C-1587-135-02</t>
  </si>
  <si>
    <t>30.8 mg</t>
  </si>
  <si>
    <t>30, 10, 1 mM</t>
  </si>
  <si>
    <t>105 &amp; 15 µl</t>
  </si>
  <si>
    <t>AMG3147994</t>
  </si>
  <si>
    <t>6,7mg</t>
  </si>
  <si>
    <t>100 µg / mL</t>
  </si>
  <si>
    <t>78 µL</t>
  </si>
  <si>
    <t>VX 745</t>
  </si>
  <si>
    <t>1A/160819</t>
  </si>
  <si>
    <t>209410-46-8</t>
  </si>
  <si>
    <t>1 mg/mL</t>
  </si>
  <si>
    <t>305 µL</t>
  </si>
  <si>
    <t>EPPTB</t>
  </si>
  <si>
    <t>075M4725V</t>
  </si>
  <si>
    <t>SML1350</t>
  </si>
  <si>
    <t>1110781-88-8</t>
  </si>
  <si>
    <t>Interleukin 1 beta (rrIL-1β)</t>
  </si>
  <si>
    <t>47 µL</t>
  </si>
  <si>
    <t>Non-competitive  NMDA antagonist</t>
  </si>
  <si>
    <t>APN12070-12-3</t>
  </si>
  <si>
    <t>ab120027</t>
  </si>
  <si>
    <t>50mg</t>
  </si>
  <si>
    <t>25mM in H2O mQ</t>
  </si>
  <si>
    <t>SR95531</t>
  </si>
  <si>
    <t>APN12394-9-2</t>
  </si>
  <si>
    <t>ab120042</t>
  </si>
  <si>
    <t>1041104-50-9</t>
  </si>
  <si>
    <t>GYKI 53655</t>
  </si>
  <si>
    <t>Non-competitive  AMPA / kainate antagonist</t>
  </si>
  <si>
    <t>APN13226-1-1</t>
  </si>
  <si>
    <t>ab120490</t>
  </si>
  <si>
    <t>143692-48-2</t>
  </si>
  <si>
    <t>100mM in H2O mQ or DMSO</t>
  </si>
  <si>
    <t>15CQ00121</t>
  </si>
  <si>
    <t>15CQ0121</t>
  </si>
  <si>
    <t>Esteve Pharma</t>
  </si>
  <si>
    <t>EST0014400 (Gabapentin)</t>
  </si>
  <si>
    <t>02</t>
  </si>
  <si>
    <t>5.02 mg</t>
  </si>
  <si>
    <t>15PR0115</t>
  </si>
  <si>
    <t>EST0008676.A (Pregabalin)</t>
  </si>
  <si>
    <t>Pregabalin is an anticonvulsant</t>
  </si>
  <si>
    <t>09</t>
  </si>
  <si>
    <t>5.39 mg</t>
  </si>
  <si>
    <t>2A/175436</t>
  </si>
  <si>
    <t>H2O mQ up to 75 mM</t>
  </si>
  <si>
    <t>16RD0011</t>
  </si>
  <si>
    <t>&gt; 97 % purity, 100 µg/mL PBS</t>
  </si>
  <si>
    <t>15PR0013</t>
  </si>
  <si>
    <t>RVT-101  PRS101</t>
  </si>
  <si>
    <t>SB-742457</t>
  </si>
  <si>
    <t>R16449/20/1</t>
  </si>
  <si>
    <t>~ 25 mg</t>
  </si>
  <si>
    <t>&gt; 99.8% purity, DMSO</t>
  </si>
  <si>
    <t>exp 23/09/2016</t>
  </si>
  <si>
    <t>155 µL</t>
  </si>
  <si>
    <t>VU 0463271</t>
  </si>
  <si>
    <t>1A/178268</t>
  </si>
  <si>
    <t>1391737-01-1</t>
  </si>
  <si>
    <t>&gt; 98 %, 50 mM DMSO</t>
  </si>
  <si>
    <t>16RD0029</t>
  </si>
  <si>
    <t>AMG3167692</t>
  </si>
  <si>
    <t>Heterocyclic chemical compound</t>
  </si>
  <si>
    <t>3167692#3</t>
  </si>
  <si>
    <t>25,45 mg</t>
  </si>
  <si>
    <t>16PR0022</t>
  </si>
  <si>
    <t>13 µL</t>
  </si>
  <si>
    <t>10x1</t>
  </si>
  <si>
    <t>15PR0134</t>
  </si>
  <si>
    <t>11x1</t>
  </si>
  <si>
    <t>Labo</t>
  </si>
  <si>
    <t>Weight</t>
  </si>
  <si>
    <t xml:space="preserve">Volume </t>
  </si>
  <si>
    <t>Volume Aliquots 1</t>
  </si>
  <si>
    <t>Volume Aliquots 2</t>
  </si>
  <si>
    <t>OP</t>
  </si>
  <si>
    <t>protocol/ quote</t>
  </si>
  <si>
    <t>End of cpd</t>
  </si>
  <si>
    <t>Comment</t>
  </si>
  <si>
    <t>MaJ Database</t>
  </si>
  <si>
    <t xml:space="preserve">Identifiant </t>
  </si>
  <si>
    <t>Reception date</t>
  </si>
  <si>
    <t>LABO</t>
  </si>
  <si>
    <t>Volume Aliquots1</t>
  </si>
  <si>
    <t>PR/RD</t>
  </si>
  <si>
    <t>Database</t>
  </si>
  <si>
    <r>
      <t xml:space="preserve">DR- </t>
    </r>
    <r>
      <rPr>
        <b/>
        <vertAlign val="subscript"/>
        <sz val="12"/>
        <color theme="0"/>
        <rFont val="Calibri"/>
        <family val="2"/>
        <scheme val="minor"/>
      </rPr>
      <t>P NS n°35</t>
    </r>
    <r>
      <rPr>
        <b/>
        <sz val="12"/>
        <color theme="0"/>
        <rFont val="Calibri"/>
        <family val="2"/>
        <scheme val="minor"/>
      </rPr>
      <t>-N°67</t>
    </r>
  </si>
  <si>
    <t>Aim of this document is to track the use (reception, weight and disposal) of reference and customer compounds.</t>
  </si>
  <si>
    <r>
      <t>P</t>
    </r>
    <r>
      <rPr>
        <vertAlign val="subscript"/>
        <sz val="14"/>
        <color theme="1"/>
        <rFont val="Calibri"/>
        <family val="2"/>
        <scheme val="minor"/>
      </rPr>
      <t xml:space="preserve"> NS</t>
    </r>
    <r>
      <rPr>
        <sz val="14"/>
        <color theme="1"/>
        <rFont val="Calibri"/>
        <family val="2"/>
        <scheme val="minor"/>
      </rPr>
      <t xml:space="preserve"> N°35, P </t>
    </r>
    <r>
      <rPr>
        <vertAlign val="subscript"/>
        <sz val="14"/>
        <color theme="1"/>
        <rFont val="Calibri"/>
        <family val="2"/>
        <scheme val="minor"/>
      </rPr>
      <t>NS</t>
    </r>
    <r>
      <rPr>
        <sz val="14"/>
        <color theme="1"/>
        <rFont val="Calibri"/>
        <family val="2"/>
        <scheme val="minor"/>
      </rPr>
      <t xml:space="preserve"> N°36</t>
    </r>
  </si>
  <si>
    <t>250 µL</t>
  </si>
  <si>
    <t>16PR0033</t>
  </si>
  <si>
    <t>20mM</t>
  </si>
  <si>
    <t>15PR00136</t>
  </si>
  <si>
    <t>15PR0126</t>
  </si>
  <si>
    <t>CP-101,606</t>
  </si>
  <si>
    <t> potent noncompetitive antagonist NMDA</t>
  </si>
  <si>
    <t>114M4725V</t>
  </si>
  <si>
    <t>SML0053</t>
  </si>
  <si>
    <t>134234-12-1</t>
  </si>
  <si>
    <t>purity &gt;98 %</t>
  </si>
  <si>
    <t>dissolution NaCl 0.9% flocule</t>
  </si>
  <si>
    <t>DMSO figé, Aliquoté a reception</t>
  </si>
  <si>
    <t>11P9D4</t>
  </si>
  <si>
    <t>11P9TC</t>
  </si>
  <si>
    <t>3.9 mL</t>
  </si>
  <si>
    <t>11P9D5</t>
  </si>
  <si>
    <t>11P9D7</t>
  </si>
  <si>
    <t>APN15135-1-1</t>
  </si>
  <si>
    <t>200 µl 400µl</t>
  </si>
  <si>
    <t>APN13206-1-5</t>
  </si>
  <si>
    <t>ab120108</t>
  </si>
  <si>
    <t>55950-07-7</t>
  </si>
  <si>
    <t>200µl</t>
  </si>
  <si>
    <t>SGE-00118-03-A</t>
  </si>
  <si>
    <t>389538-1</t>
  </si>
  <si>
    <t>45.1 mg</t>
  </si>
  <si>
    <t>16PR0024/16PR0041</t>
  </si>
  <si>
    <t>30 mM pblm dissolution</t>
  </si>
  <si>
    <t>082M4736V</t>
  </si>
  <si>
    <t>20 % Cyclodextrin</t>
  </si>
  <si>
    <t>GABA</t>
  </si>
  <si>
    <t>Endogenous inhibitory neurotransmitter</t>
  </si>
  <si>
    <t>APN14073-1-1</t>
  </si>
  <si>
    <t>ab120359</t>
  </si>
  <si>
    <t>56-12-2</t>
  </si>
  <si>
    <t>124M4717V</t>
  </si>
  <si>
    <t>15PR0124</t>
  </si>
  <si>
    <t>dissolution 20 % HBC, difficile</t>
  </si>
  <si>
    <t>reprécipite apres congelation</t>
  </si>
  <si>
    <t>HBC ( 2-hydropropyl-β-cyclodextrin</t>
  </si>
  <si>
    <t>BCBN8227V</t>
  </si>
  <si>
    <t>~1460</t>
  </si>
  <si>
    <t>128446-35-5</t>
  </si>
  <si>
    <t>100 g</t>
  </si>
  <si>
    <t>20 % en solution</t>
  </si>
  <si>
    <t>NaOH 1N</t>
  </si>
  <si>
    <t>RNBF0718</t>
  </si>
  <si>
    <t>S2770</t>
  </si>
  <si>
    <t>1310-73-2</t>
  </si>
  <si>
    <t>stérile et filtré</t>
  </si>
  <si>
    <t>HCl 1N</t>
  </si>
  <si>
    <t>RNBF0712</t>
  </si>
  <si>
    <t>H9892</t>
  </si>
  <si>
    <t>7647-01-0</t>
  </si>
  <si>
    <t>NO-711 hydrochloride</t>
  </si>
  <si>
    <t>070M4603V</t>
  </si>
  <si>
    <t>N142</t>
  </si>
  <si>
    <t>145645-62-1</t>
  </si>
  <si>
    <t>SYR272400Z</t>
  </si>
  <si>
    <t>B0305688</t>
  </si>
  <si>
    <t>100.09 mg</t>
  </si>
  <si>
    <t>15PR0045</t>
  </si>
  <si>
    <t>350 µL 175 µL</t>
  </si>
  <si>
    <t>16PR0041 and amm</t>
  </si>
  <si>
    <t>H2O to 25 mM</t>
  </si>
  <si>
    <t>41725840-AAA-44993550</t>
  </si>
  <si>
    <t>Barcode : 9101095571</t>
  </si>
  <si>
    <t>3.20 mg</t>
  </si>
  <si>
    <t>114M4716V</t>
  </si>
  <si>
    <t>20% Cyclodextrine/ purity 98%</t>
  </si>
  <si>
    <t>Envoyé a INMED</t>
  </si>
  <si>
    <t>dissolution 20 % HBC</t>
  </si>
  <si>
    <t>UBP 310</t>
  </si>
  <si>
    <t>1A/168103</t>
  </si>
  <si>
    <t>902464-46-4</t>
  </si>
  <si>
    <t>soluble to 1 mg/ml in H2O mQ</t>
  </si>
  <si>
    <t>10 µM</t>
  </si>
  <si>
    <t>SYR248158Z</t>
  </si>
  <si>
    <t>B0261781</t>
  </si>
  <si>
    <t>5.01 mg</t>
  </si>
  <si>
    <t>15PR0058</t>
  </si>
  <si>
    <t>20 µL 50 µL</t>
  </si>
  <si>
    <t>Anisomycin</t>
  </si>
  <si>
    <t>APN11072-2-1</t>
  </si>
  <si>
    <t>ab120495</t>
  </si>
  <si>
    <t>22862-76-6</t>
  </si>
  <si>
    <t>15PR0036</t>
  </si>
  <si>
    <t>260 µL</t>
  </si>
  <si>
    <t>WHEIGHING BOARD</t>
  </si>
  <si>
    <t>Label</t>
  </si>
  <si>
    <t>DR-PNS 35-N°67 Database</t>
  </si>
  <si>
    <t>creation</t>
  </si>
  <si>
    <t>Purity</t>
  </si>
  <si>
    <r>
      <rPr>
        <b/>
        <sz val="11"/>
        <color theme="0"/>
        <rFont val="Calibri"/>
        <family val="2"/>
        <scheme val="minor"/>
      </rPr>
      <t xml:space="preserve"> LIGHT AND MOISTURE SENSITIVE </t>
    </r>
    <r>
      <rPr>
        <sz val="11"/>
        <color theme="0"/>
        <rFont val="Calibri"/>
        <family val="2"/>
        <scheme val="minor"/>
      </rPr>
      <t>NS14061801</t>
    </r>
  </si>
  <si>
    <t>Compound database</t>
  </si>
  <si>
    <t>COMPOUND DATABASE</t>
  </si>
  <si>
    <t>Wheighing Board</t>
  </si>
  <si>
    <t>Cycloheximide</t>
  </si>
  <si>
    <t>Protein synthesis inhibitor</t>
  </si>
  <si>
    <t>APN15064-1-1</t>
  </si>
  <si>
    <t>ab120093</t>
  </si>
  <si>
    <t>66-81-9</t>
  </si>
  <si>
    <t>25 mM in H2O</t>
  </si>
  <si>
    <t>&gt; 98 %</t>
  </si>
  <si>
    <t>Acetaminophen</t>
  </si>
  <si>
    <t>SLBM5923V</t>
  </si>
  <si>
    <t>Paracetamol, Analgesic</t>
  </si>
  <si>
    <t>A7085</t>
  </si>
  <si>
    <t>103-90-2</t>
  </si>
  <si>
    <t>&gt; 99 %</t>
  </si>
  <si>
    <t>Cyanure de potassium</t>
  </si>
  <si>
    <t>BCBQ7909V</t>
  </si>
  <si>
    <t>151-50-8</t>
  </si>
  <si>
    <t>1 M in H2O at 20°C</t>
  </si>
  <si>
    <t>0.1 M HCL, 22 mg/mL</t>
  </si>
  <si>
    <t>D-Erythro-Sphingosine, N-Hexanoyl</t>
  </si>
  <si>
    <t>Merck</t>
  </si>
  <si>
    <t>D00164400</t>
  </si>
  <si>
    <t>124753-97-5</t>
  </si>
  <si>
    <t>DMSO 25 mg / mL</t>
  </si>
  <si>
    <t>16PR0035</t>
  </si>
  <si>
    <t>SERVIER</t>
  </si>
  <si>
    <t>S 79759-3</t>
  </si>
  <si>
    <t>X14GDC003A_ORIL_79759A14SECD_BL</t>
  </si>
  <si>
    <t>208.69 mg</t>
  </si>
  <si>
    <t>soluble in OR2</t>
  </si>
  <si>
    <t>16PR0061</t>
  </si>
  <si>
    <t>A conserver à l'abri de la lumière et sous dessicateur</t>
  </si>
  <si>
    <t>Laminin</t>
  </si>
  <si>
    <t>105M4075V</t>
  </si>
  <si>
    <t>1-2 mg mL</t>
  </si>
  <si>
    <t>L2020</t>
  </si>
  <si>
    <t>114956-81-9</t>
  </si>
  <si>
    <t>1mg</t>
  </si>
  <si>
    <t>PNU 120596</t>
  </si>
  <si>
    <t>2A/178939</t>
  </si>
  <si>
    <t>2B/177659</t>
  </si>
  <si>
    <t>4A/177217</t>
  </si>
  <si>
    <t>501925-31-1</t>
  </si>
  <si>
    <t>H2O mQ to 75 mM, DMSO to 10 mM</t>
  </si>
  <si>
    <t>&gt; 99.5%</t>
  </si>
  <si>
    <t>1eq HCl to 100 mM DMSO to 100 mM</t>
  </si>
  <si>
    <t>Theophylline</t>
  </si>
  <si>
    <t>Phosphodiesterase inhibitor</t>
  </si>
  <si>
    <t>MKBV6764V</t>
  </si>
  <si>
    <t>T1633</t>
  </si>
  <si>
    <t>58-55-9</t>
  </si>
  <si>
    <t>H2O mQ to 8.3 mg/mL or 0.1m HCl</t>
  </si>
  <si>
    <t>Aminophylline</t>
  </si>
  <si>
    <t>Competitive non selective phosphodiesterase inhibitor</t>
  </si>
  <si>
    <t>GR134037-3</t>
  </si>
  <si>
    <t>ab1422558</t>
  </si>
  <si>
    <t>317-34-0</t>
  </si>
  <si>
    <t>Emetine dihydrochloride</t>
  </si>
  <si>
    <t>GR154630-6</t>
  </si>
  <si>
    <t>ab141478</t>
  </si>
  <si>
    <t>316-42-7</t>
  </si>
  <si>
    <t>SGE-01869-02-A</t>
  </si>
  <si>
    <t>#393057</t>
  </si>
  <si>
    <t xml:space="preserve">16PR0041 </t>
  </si>
  <si>
    <t>16RD0072</t>
  </si>
  <si>
    <t>N</t>
  </si>
  <si>
    <t>16PR0020</t>
  </si>
  <si>
    <t>Y</t>
  </si>
  <si>
    <t>FMA</t>
  </si>
  <si>
    <t>89 mg envoyé pour HBS 25 mg retourné par HBS</t>
  </si>
  <si>
    <t>&gt; 99%</t>
  </si>
  <si>
    <t>Eserine hemisulfate salt</t>
  </si>
  <si>
    <t>025K500</t>
  </si>
  <si>
    <t>E8625</t>
  </si>
  <si>
    <t>64-47-1</t>
  </si>
  <si>
    <t>SLBF5034V</t>
  </si>
  <si>
    <t>54-95-5</t>
  </si>
  <si>
    <t>P6500</t>
  </si>
  <si>
    <t>843 mg/mL  in DMSO</t>
  </si>
  <si>
    <t>15.4 mg</t>
  </si>
  <si>
    <t>160 µL</t>
  </si>
  <si>
    <t>RTE</t>
  </si>
  <si>
    <t>MOL</t>
  </si>
  <si>
    <t>BST</t>
  </si>
  <si>
    <t>16SAM008</t>
  </si>
  <si>
    <t>2 mM</t>
  </si>
  <si>
    <t>directly in ACSF</t>
  </si>
  <si>
    <t>CHDI-00488367-0000-003</t>
  </si>
  <si>
    <t>CHDI-00488367</t>
  </si>
  <si>
    <t>0.013 mg/ml in aqueous solubility</t>
  </si>
  <si>
    <t>11REF023</t>
  </si>
  <si>
    <t>50 µL</t>
  </si>
  <si>
    <t>GW Pharma</t>
  </si>
  <si>
    <t>CBD (pure cannabidiol)</t>
  </si>
  <si>
    <t>CBDA (pure cannabidiolic acid)</t>
  </si>
  <si>
    <t>CBDV (pure cannabidivarin)</t>
  </si>
  <si>
    <t>7-OH CBD</t>
  </si>
  <si>
    <t>7-COOH CBD</t>
  </si>
  <si>
    <t>7-OH CBDV</t>
  </si>
  <si>
    <t>7-COOH CBDV</t>
  </si>
  <si>
    <t>6046727R</t>
  </si>
  <si>
    <t>CBDA040912</t>
  </si>
  <si>
    <t>CBDV-CG-1102</t>
  </si>
  <si>
    <t>7-OH CBD-SR-1403</t>
  </si>
  <si>
    <t>NCT/1282/03</t>
  </si>
  <si>
    <t>NCT/1283/01</t>
  </si>
  <si>
    <t>NCT1284/01</t>
  </si>
  <si>
    <t>26 mg</t>
  </si>
  <si>
    <t>28 mg</t>
  </si>
  <si>
    <t>30 mM in DMSO</t>
  </si>
  <si>
    <t>15PR0143</t>
  </si>
  <si>
    <t>Barcode B0294158</t>
  </si>
  <si>
    <t>100.1 mg</t>
  </si>
  <si>
    <t xml:space="preserve"> -</t>
  </si>
  <si>
    <t>200 µl</t>
  </si>
  <si>
    <t>HSA</t>
  </si>
  <si>
    <t>ABA</t>
  </si>
  <si>
    <t>16PR0076</t>
  </si>
  <si>
    <t>50 µL 100 µL</t>
  </si>
  <si>
    <t>225 µL</t>
  </si>
  <si>
    <t>20  mM</t>
  </si>
  <si>
    <t>160 µL 500 µL</t>
  </si>
  <si>
    <t>16PR0045</t>
  </si>
  <si>
    <t>Copper (iii) chloride dihydrate</t>
  </si>
  <si>
    <t>SLBM5892V</t>
  </si>
  <si>
    <t>C3279</t>
  </si>
  <si>
    <t>10125-13-0</t>
  </si>
  <si>
    <t>16PR0077</t>
  </si>
  <si>
    <t>Capsaicin</t>
  </si>
  <si>
    <t>SLBQ9374V</t>
  </si>
  <si>
    <t>M2028</t>
  </si>
  <si>
    <t>404-86-4</t>
  </si>
  <si>
    <t>DMSO ( chloroform alcohol benzene)</t>
  </si>
  <si>
    <t>113168-57-2</t>
  </si>
  <si>
    <t>H2o mQ to 100 mM or DMSO to 100 mM</t>
  </si>
  <si>
    <t>600 µl</t>
  </si>
  <si>
    <t>16PR0032</t>
  </si>
  <si>
    <t>205 µL</t>
  </si>
  <si>
    <t>DHPG [ (S) -3.5-DHPG]</t>
  </si>
  <si>
    <t>36A/182979</t>
  </si>
  <si>
    <t>162870-29-3</t>
  </si>
  <si>
    <t>35A/177926</t>
  </si>
  <si>
    <t>selective group I mGlu receptor agonist</t>
  </si>
  <si>
    <t>H2O mQ to 50 mM</t>
  </si>
  <si>
    <t>&gt; 99.8 %</t>
  </si>
  <si>
    <t>ALL</t>
  </si>
  <si>
    <t>&gt; 99.4 %</t>
  </si>
  <si>
    <t>DMSO  100 %</t>
  </si>
  <si>
    <t>5 mL</t>
  </si>
  <si>
    <t>11PRJS</t>
  </si>
  <si>
    <t>5mL</t>
  </si>
  <si>
    <t>Arrivé congelé, aliquoté a reception</t>
  </si>
  <si>
    <t>11PRJQ</t>
  </si>
  <si>
    <t>11PRJT</t>
  </si>
  <si>
    <t>310 µL</t>
  </si>
  <si>
    <t>16PR0051</t>
  </si>
  <si>
    <t>Caffeine</t>
  </si>
  <si>
    <t>070M1642V</t>
  </si>
  <si>
    <t>C0750</t>
  </si>
  <si>
    <t>58-08-2</t>
  </si>
  <si>
    <t>15 mg/mL in H2O mQ</t>
  </si>
  <si>
    <t>16RD0071</t>
  </si>
  <si>
    <t>200 µM</t>
  </si>
  <si>
    <t>200 µM in DMSO</t>
  </si>
  <si>
    <t>1 mM in DMSO</t>
  </si>
  <si>
    <t>Norepinephrine</t>
  </si>
  <si>
    <t>SLBP6563V</t>
  </si>
  <si>
    <t>A7257</t>
  </si>
  <si>
    <t>51-41-2</t>
  </si>
  <si>
    <t>adrenergic neurotransmitter</t>
  </si>
  <si>
    <t>SLBP1800V</t>
  </si>
  <si>
    <t>492-27.3</t>
  </si>
  <si>
    <t>SYR214337Z</t>
  </si>
  <si>
    <t>B0307352</t>
  </si>
  <si>
    <t>OK database SRI</t>
  </si>
  <si>
    <t>5-Fluoro-2'-deoxyuridine</t>
  </si>
  <si>
    <t>SLBD5199V</t>
  </si>
  <si>
    <t>F0503</t>
  </si>
  <si>
    <t>50-91-9</t>
  </si>
  <si>
    <t>50 mg/mL in H2O mQ</t>
  </si>
  <si>
    <t>100, 1 mg</t>
  </si>
  <si>
    <t>SGE-00118-04-A</t>
  </si>
  <si>
    <t>16PR0065</t>
  </si>
  <si>
    <t>15REF047</t>
  </si>
  <si>
    <t>105 µL</t>
  </si>
  <si>
    <t>16PR0087</t>
  </si>
  <si>
    <t>16SAM121</t>
  </si>
  <si>
    <t>eq HCl</t>
  </si>
  <si>
    <t>2 eq HCL</t>
  </si>
  <si>
    <t>455 µL</t>
  </si>
  <si>
    <t>16PR0081</t>
  </si>
  <si>
    <t>APN14004-6-7</t>
  </si>
  <si>
    <t>ab120052</t>
  </si>
  <si>
    <t>CNQX disodium salt</t>
  </si>
  <si>
    <t>4B/184849</t>
  </si>
  <si>
    <t>&gt; 98.8%</t>
  </si>
  <si>
    <t>&gt; 98.8 %</t>
  </si>
  <si>
    <t>Glycine</t>
  </si>
  <si>
    <t>SZBE3310V</t>
  </si>
  <si>
    <t>G7126</t>
  </si>
  <si>
    <t>56-40-6</t>
  </si>
  <si>
    <t>Prototypical potent and selective 5-HT3 receptor agonist</t>
  </si>
  <si>
    <t>H2O mQ to 200 mg/mL</t>
  </si>
  <si>
    <t>BSA (Bovine Albumine Serum)</t>
  </si>
  <si>
    <t>H2O mQ to 40 mg/mL</t>
  </si>
  <si>
    <t>SLBN9917V</t>
  </si>
  <si>
    <t>A9418</t>
  </si>
  <si>
    <t>9048-46-8</t>
  </si>
  <si>
    <t>Dnase I</t>
  </si>
  <si>
    <t>SLBH8211 V</t>
  </si>
  <si>
    <t>soluble in 0.15 M NaCl at 5 mg/mL</t>
  </si>
  <si>
    <t>DN25</t>
  </si>
  <si>
    <t>9003-98-9</t>
  </si>
  <si>
    <t>16PR0088</t>
  </si>
  <si>
    <t>Nocodazole</t>
  </si>
  <si>
    <t>094M4122V</t>
  </si>
  <si>
    <t>M1404</t>
  </si>
  <si>
    <t>31430-18-9</t>
  </si>
  <si>
    <t>DMSO to 10 mg/mL</t>
  </si>
  <si>
    <t>16REF124</t>
  </si>
  <si>
    <t>Ketamine hydrochloride</t>
  </si>
  <si>
    <t>SYR 263066Z</t>
  </si>
  <si>
    <t>SYR 257784Z</t>
  </si>
  <si>
    <t>eq HCL</t>
  </si>
  <si>
    <t>Renvoyé</t>
  </si>
  <si>
    <t xml:space="preserve">Renvoyé quantité </t>
  </si>
  <si>
    <t>commandé trop grd (27/06/16)</t>
  </si>
  <si>
    <t>16PR0086</t>
  </si>
  <si>
    <t>16PR0078 (emergency)</t>
  </si>
  <si>
    <t>46 mg</t>
  </si>
  <si>
    <t>APN15179-2-3</t>
  </si>
  <si>
    <t>B0308773</t>
  </si>
  <si>
    <t>7.4 mg</t>
  </si>
  <si>
    <t>16PR0091</t>
  </si>
  <si>
    <t>TTX</t>
  </si>
  <si>
    <t>47681E / F17475 chlorydrate</t>
  </si>
  <si>
    <t>W0020A1</t>
  </si>
  <si>
    <t>100033362001</t>
  </si>
  <si>
    <t>MEA/CELL</t>
  </si>
  <si>
    <t>190 mg</t>
  </si>
  <si>
    <t>Diazepam</t>
  </si>
  <si>
    <t>D-0899</t>
  </si>
  <si>
    <t>439-14-5</t>
  </si>
  <si>
    <t>105F0451</t>
  </si>
  <si>
    <t>CHDI-00488215</t>
  </si>
  <si>
    <t>Unknown</t>
  </si>
  <si>
    <t>1mM</t>
  </si>
  <si>
    <t>14 µL</t>
  </si>
  <si>
    <t>LM</t>
  </si>
  <si>
    <t>Daiichi</t>
  </si>
  <si>
    <t>Pregabalin</t>
  </si>
  <si>
    <t>1L</t>
  </si>
  <si>
    <t>RTA</t>
  </si>
  <si>
    <t>16PR0056</t>
  </si>
  <si>
    <t>200µM</t>
  </si>
  <si>
    <t>15SAM131</t>
  </si>
  <si>
    <t>A 200-0700</t>
  </si>
  <si>
    <t>50 µM</t>
  </si>
  <si>
    <t>15SAM132</t>
  </si>
  <si>
    <t>50, 100, 200 µL</t>
  </si>
  <si>
    <t>8 mM</t>
  </si>
  <si>
    <t>30, 100, 260 µL</t>
  </si>
  <si>
    <t>Patch</t>
  </si>
  <si>
    <t>Daiicho Sankyo</t>
  </si>
  <si>
    <t>3,79mg</t>
  </si>
  <si>
    <t>PCH</t>
  </si>
  <si>
    <t>50µM</t>
  </si>
  <si>
    <t>3.53 mg</t>
  </si>
  <si>
    <t>1  mM</t>
  </si>
  <si>
    <t>8.770 mL</t>
  </si>
  <si>
    <t>mais utilisé  pour pierre fabre</t>
  </si>
  <si>
    <t>210 ml</t>
  </si>
  <si>
    <t>2.21 mg</t>
  </si>
  <si>
    <t>40.6 mg</t>
  </si>
  <si>
    <t>10.089 mL</t>
  </si>
  <si>
    <t>utilisé pour patch Daiishi</t>
  </si>
  <si>
    <t>empty manque une pesée</t>
  </si>
  <si>
    <t>205 mL</t>
  </si>
  <si>
    <t>1.07 mg</t>
  </si>
  <si>
    <t>101.29 ml</t>
  </si>
  <si>
    <t>AN1883 (Barcode 31000813)</t>
  </si>
  <si>
    <t>AN1381 (Barcode 31000814)</t>
  </si>
  <si>
    <t>SGE-02409</t>
  </si>
  <si>
    <t>SGE-02409-02-A</t>
  </si>
  <si>
    <t>30.1 mg</t>
  </si>
  <si>
    <t>1.27 mg</t>
  </si>
  <si>
    <t>2.579 ml</t>
  </si>
  <si>
    <t>Amiloride hydrochloride hydrate</t>
  </si>
  <si>
    <t>BCBP7839V</t>
  </si>
  <si>
    <t>A7410</t>
  </si>
  <si>
    <t>2016-88-8</t>
  </si>
  <si>
    <t>16PR0062</t>
  </si>
  <si>
    <t>ATAXION</t>
  </si>
  <si>
    <t>NSSy6355.0001</t>
  </si>
  <si>
    <t>MAN2624-3</t>
  </si>
  <si>
    <t>AN1287</t>
  </si>
  <si>
    <t>16PR0092</t>
  </si>
  <si>
    <t>16SAM149</t>
  </si>
  <si>
    <t>6.610 ml</t>
  </si>
  <si>
    <t>480 µL</t>
  </si>
  <si>
    <t>16SAM150</t>
  </si>
  <si>
    <t>7.707 ml</t>
  </si>
  <si>
    <t>16SAM153</t>
  </si>
  <si>
    <t>4.578 ml</t>
  </si>
  <si>
    <t>1A/183405</t>
  </si>
  <si>
    <t>148553-50-8</t>
  </si>
  <si>
    <t>for Daiichi directly in ACSF</t>
  </si>
  <si>
    <t>16REF074</t>
  </si>
  <si>
    <t>3.792 ml</t>
  </si>
  <si>
    <t>16SAM154</t>
  </si>
  <si>
    <t>???</t>
  </si>
  <si>
    <t>6.7 ml</t>
  </si>
  <si>
    <t>many</t>
  </si>
  <si>
    <t>204 ml</t>
  </si>
  <si>
    <t>6,51  mg</t>
  </si>
  <si>
    <t>54 mg</t>
  </si>
  <si>
    <t>10.639 ml</t>
  </si>
  <si>
    <t>16PR100 - 102</t>
  </si>
  <si>
    <t>10.9 mg</t>
  </si>
  <si>
    <t>342 ml</t>
  </si>
  <si>
    <t>AN3070 (Barcode310000849)</t>
  </si>
  <si>
    <t>16SAM155</t>
  </si>
  <si>
    <t>7.054 ml</t>
  </si>
  <si>
    <t>16SAM141</t>
  </si>
  <si>
    <t>16.593 ml</t>
  </si>
  <si>
    <t>JNJ-1</t>
  </si>
  <si>
    <t>8.3 mg</t>
  </si>
  <si>
    <t>16SAM151</t>
  </si>
  <si>
    <t>10.3 mg</t>
  </si>
  <si>
    <t>2.256 mL</t>
  </si>
  <si>
    <t>1.5 mg</t>
  </si>
  <si>
    <t>154 ml</t>
  </si>
  <si>
    <t>300 ml</t>
  </si>
  <si>
    <t>CLE</t>
  </si>
  <si>
    <t>ALIQUOTS A 4°C</t>
  </si>
  <si>
    <t>403.6 mg</t>
  </si>
  <si>
    <t>520, 260 µL</t>
  </si>
  <si>
    <t>16SAM148</t>
  </si>
  <si>
    <t>CHDI/evotec</t>
  </si>
  <si>
    <t>28.4 ml</t>
  </si>
  <si>
    <t>16PR0095</t>
  </si>
  <si>
    <t>AN1883</t>
  </si>
  <si>
    <t>AN1381</t>
  </si>
  <si>
    <t>Barcode 310000871</t>
  </si>
  <si>
    <t>16PR0116</t>
  </si>
  <si>
    <t>Barcode 310000872</t>
  </si>
  <si>
    <t>16REF137</t>
  </si>
  <si>
    <t>DNAse I</t>
  </si>
  <si>
    <t>16PR0100</t>
  </si>
  <si>
    <t>1.32 mg</t>
  </si>
  <si>
    <t>6.190 mL</t>
  </si>
  <si>
    <t>160, 460 µL</t>
  </si>
  <si>
    <t>Cloturée le 31 Aout 2016 SRI</t>
  </si>
  <si>
    <t>Sage</t>
  </si>
  <si>
    <t>NA</t>
  </si>
  <si>
    <t>Latoxan</t>
  </si>
  <si>
    <t>L8503</t>
  </si>
  <si>
    <t>5 X 1mg</t>
  </si>
  <si>
    <t>Tampon citatre</t>
  </si>
  <si>
    <t>SLBG9063V</t>
  </si>
  <si>
    <t>H65.24</t>
  </si>
  <si>
    <t>25 mg/mL in DMSO</t>
  </si>
  <si>
    <t>SYR268770Z</t>
  </si>
  <si>
    <t>Barcode B0294971</t>
  </si>
  <si>
    <t>15.13 mg</t>
  </si>
  <si>
    <t>Paclitaxel</t>
  </si>
  <si>
    <t>MKBT3791V</t>
  </si>
  <si>
    <t>T7402</t>
  </si>
  <si>
    <t>33069-62-4</t>
  </si>
  <si>
    <t>50 mg/mL in DMSO</t>
  </si>
  <si>
    <t>12.1 mg</t>
  </si>
  <si>
    <t>SYR236756Z</t>
  </si>
  <si>
    <t>Barcode B295124</t>
  </si>
  <si>
    <t>10.26 mg</t>
  </si>
  <si>
    <t>15PR0125</t>
  </si>
  <si>
    <t>2mg</t>
  </si>
  <si>
    <t>Citrate buffer</t>
  </si>
  <si>
    <t>5mM</t>
  </si>
  <si>
    <t>1.03 mg</t>
  </si>
  <si>
    <t>AN1551</t>
  </si>
  <si>
    <t>Barcode 310000956</t>
  </si>
  <si>
    <t>16PR0131</t>
  </si>
  <si>
    <t>LEAD DISCOVERY</t>
  </si>
  <si>
    <t>LDC049048:04 ( Spironolactone)</t>
  </si>
  <si>
    <t>LDC200345:03 ( Kinase inhibitor)</t>
  </si>
  <si>
    <t>60.63 mg</t>
  </si>
  <si>
    <t>60.88 mg</t>
  </si>
  <si>
    <t>64.10 mg</t>
  </si>
  <si>
    <t>16PR0130</t>
  </si>
  <si>
    <t>LDC202062:02 (unknown MOA)</t>
  </si>
  <si>
    <t>27 mM</t>
  </si>
  <si>
    <t>25 µL</t>
  </si>
  <si>
    <t>Barcode B0294659</t>
  </si>
  <si>
    <t>20.11 mg</t>
  </si>
  <si>
    <t>16PR0113</t>
  </si>
  <si>
    <t>DMSO / Water</t>
  </si>
  <si>
    <t>Cesium methanesulfonate</t>
  </si>
  <si>
    <t>MKBK5796V</t>
  </si>
  <si>
    <t>MKBQ0344V</t>
  </si>
  <si>
    <t>C1426</t>
  </si>
  <si>
    <t>2550-61-0</t>
  </si>
  <si>
    <t>H2O to 50 mg/ml</t>
  </si>
  <si>
    <t>5*1mg</t>
  </si>
  <si>
    <t>2A/181596</t>
  </si>
  <si>
    <t>100 mM in DMSO or H2O mQ</t>
  </si>
  <si>
    <t>2A/187787</t>
  </si>
  <si>
    <t>217480-26-7</t>
  </si>
  <si>
    <t>2A/173146</t>
  </si>
  <si>
    <t>LMA</t>
  </si>
  <si>
    <t>250, 25 µL</t>
  </si>
  <si>
    <t>5 mM</t>
  </si>
  <si>
    <t>305, 105 µL</t>
  </si>
  <si>
    <t>Attention precipite qd &gt; a 5µM en ACSF</t>
  </si>
  <si>
    <t>CHDI-00488215-0000-002</t>
  </si>
  <si>
    <t>Be careful PRECIPITATE</t>
  </si>
  <si>
    <t>Poly-D-Lysine Hydrobromide</t>
  </si>
  <si>
    <t>SLBQ4364V</t>
  </si>
  <si>
    <t>P6407</t>
  </si>
  <si>
    <t>27964-99-4</t>
  </si>
  <si>
    <t>Cesium Hydroxide Solution</t>
  </si>
  <si>
    <t>SHBF5693V</t>
  </si>
  <si>
    <t>21351-79-1</t>
  </si>
  <si>
    <t>CHDI-00491453-0000-003</t>
  </si>
  <si>
    <t>CHDI-00491453</t>
  </si>
  <si>
    <t>OP43049 (req 11892)</t>
  </si>
  <si>
    <t>CHDI-00490655</t>
  </si>
  <si>
    <t>CHDI-00490655-0000-001</t>
  </si>
  <si>
    <t>4 mg</t>
  </si>
  <si>
    <t>OP43050 (req11890)</t>
  </si>
  <si>
    <t>Lidocaine N-ethyl chloride</t>
  </si>
  <si>
    <t>MKBR2466V</t>
  </si>
  <si>
    <t>L1663</t>
  </si>
  <si>
    <t>5369-03-9</t>
  </si>
  <si>
    <t>MKBZ4464V</t>
  </si>
  <si>
    <t>16PR0141</t>
  </si>
  <si>
    <t>1A/184378</t>
  </si>
  <si>
    <t>se conserve a RT mais mis a -20 pour daiichi</t>
  </si>
  <si>
    <t>S01NDU008A</t>
  </si>
  <si>
    <t>~10 mg</t>
  </si>
  <si>
    <t>16PR0153</t>
  </si>
  <si>
    <t>AAOZYF</t>
  </si>
  <si>
    <t xml:space="preserve">10 mM in 95% DMSO 5% water </t>
  </si>
  <si>
    <t>9 mM</t>
  </si>
  <si>
    <t>180 µL</t>
  </si>
  <si>
    <t>GDN357</t>
  </si>
  <si>
    <t>80 µL</t>
  </si>
  <si>
    <t>160µL</t>
  </si>
  <si>
    <t>16SAM197</t>
  </si>
  <si>
    <t>QUARTET</t>
  </si>
  <si>
    <t>BH4</t>
  </si>
  <si>
    <t>(6R)-5,6,7,8-TetraHydroBiopterin*Dihydrochloride</t>
  </si>
  <si>
    <t>056M4069V</t>
  </si>
  <si>
    <t> 314.17</t>
  </si>
  <si>
    <t>T4425</t>
  </si>
  <si>
    <t> 69056-38-8</t>
  </si>
  <si>
    <t>20,0 mg/ml Free oxygen water (check specification sheet)</t>
  </si>
  <si>
    <t>16PR0154</t>
  </si>
  <si>
    <t>NGF</t>
  </si>
  <si>
    <t>Mouse Protein, Native, 7S Subunit</t>
  </si>
  <si>
    <t>13290-010</t>
  </si>
  <si>
    <t>100 µg</t>
  </si>
  <si>
    <t>17504-044</t>
  </si>
  <si>
    <t xml:space="preserve"> DLC May -2017 LIGHT SENSITIVE</t>
  </si>
  <si>
    <t>[50X]</t>
  </si>
  <si>
    <t>100 µg/ml in sterile 1-2% BSA</t>
  </si>
  <si>
    <t>&gt;95%</t>
  </si>
  <si>
    <t>MM:500701</t>
  </si>
  <si>
    <t>5.6 mg</t>
  </si>
  <si>
    <t>16PR0118</t>
  </si>
  <si>
    <t>B0295007</t>
  </si>
  <si>
    <t>25.72 mg</t>
  </si>
  <si>
    <t>SYR263770Z</t>
  </si>
  <si>
    <t>B0295009</t>
  </si>
  <si>
    <t>25.57 mg</t>
  </si>
  <si>
    <t>Sepiapterin</t>
  </si>
  <si>
    <t>BCBS8664V</t>
  </si>
  <si>
    <t>S154</t>
  </si>
  <si>
    <t>17094-01-8</t>
  </si>
  <si>
    <t>Month-yy</t>
  </si>
  <si>
    <t>DMSO to 27 mg/mL, 0.1M NaOH to 9.8 mg/mL or H2O mQ (hot) to 1 mg/mL</t>
  </si>
  <si>
    <t>SGE-00116-04-A</t>
  </si>
  <si>
    <t>50 µg/ml</t>
  </si>
  <si>
    <t>30 µl</t>
  </si>
  <si>
    <t>110M0003V</t>
  </si>
  <si>
    <t>G4500</t>
  </si>
  <si>
    <t>299-27-4</t>
  </si>
  <si>
    <t>50mg/mL in H2O mQ</t>
  </si>
  <si>
    <t>Magnesium chloride hexahydrate</t>
  </si>
  <si>
    <t>BCBQ7917V</t>
  </si>
  <si>
    <t>M2670</t>
  </si>
  <si>
    <t>779-18-6</t>
  </si>
  <si>
    <t>1M in H2O mQ</t>
  </si>
  <si>
    <t>HEPES</t>
  </si>
  <si>
    <t>SLBN6559V</t>
  </si>
  <si>
    <t>H3375</t>
  </si>
  <si>
    <t>Ethylene Glycol-bis(2-aminoethylether)</t>
  </si>
  <si>
    <t>SLBP2806V</t>
  </si>
  <si>
    <t>E3889</t>
  </si>
  <si>
    <t>67-42-5</t>
  </si>
  <si>
    <t>Phosphocreatine disodium salt hydrate</t>
  </si>
  <si>
    <t>SLBM3120V</t>
  </si>
  <si>
    <t>P7936</t>
  </si>
  <si>
    <t>19333-65-4</t>
  </si>
  <si>
    <t>Adenosine5'-triphosphate disodium salt hydrate</t>
  </si>
  <si>
    <t>SLBQ6014V</t>
  </si>
  <si>
    <t>A7699</t>
  </si>
  <si>
    <t>34369-07-8</t>
  </si>
  <si>
    <t>1g</t>
  </si>
  <si>
    <t>SLBQ9792V</t>
  </si>
  <si>
    <t>523..18</t>
  </si>
  <si>
    <t>G8877</t>
  </si>
  <si>
    <t>36051-31-7</t>
  </si>
  <si>
    <t>Potassium chloride</t>
  </si>
  <si>
    <t>SLBR9123V</t>
  </si>
  <si>
    <t>7447-40-7</t>
  </si>
  <si>
    <t>16REF188</t>
  </si>
  <si>
    <t xml:space="preserve">L-803,087 trifluoroacetate </t>
  </si>
  <si>
    <t>5.09 mg</t>
  </si>
  <si>
    <t>16PR0143</t>
  </si>
  <si>
    <t>SLBQ1805V</t>
  </si>
  <si>
    <t>SLBP3211V</t>
  </si>
  <si>
    <t>A9414</t>
  </si>
  <si>
    <t>39346-81-1</t>
  </si>
  <si>
    <t>Potassium hydroxide</t>
  </si>
  <si>
    <t>SZBF2160V</t>
  </si>
  <si>
    <t>P5958</t>
  </si>
  <si>
    <t>1310-58-3</t>
  </si>
  <si>
    <t>250 g</t>
  </si>
  <si>
    <t>BCBQ0895V</t>
  </si>
  <si>
    <t>P9541</t>
  </si>
  <si>
    <t>EGTA</t>
  </si>
  <si>
    <t>Adenosine5'-triphosphate dinatrium salt</t>
  </si>
  <si>
    <t>Roth</t>
  </si>
  <si>
    <t>HN78.1</t>
  </si>
  <si>
    <t>HN35.1</t>
  </si>
  <si>
    <t>AAA01EY</t>
  </si>
  <si>
    <t>unknow</t>
  </si>
  <si>
    <t>SYR273821Z</t>
  </si>
  <si>
    <t>B0401610</t>
  </si>
  <si>
    <t>10.04 mg</t>
  </si>
  <si>
    <t>quantity not communicated</t>
  </si>
  <si>
    <t>SGE-01882-02-A</t>
  </si>
  <si>
    <t>batch 007</t>
  </si>
  <si>
    <t>NRG1-beta1</t>
  </si>
  <si>
    <t>R&amp;D sytem</t>
  </si>
  <si>
    <t>ACD1515052</t>
  </si>
  <si>
    <t>396-HB</t>
  </si>
  <si>
    <t>100 µg/mL in sterile PBS containing at least 0.1% BSA</t>
  </si>
  <si>
    <t>&gt; 97%</t>
  </si>
  <si>
    <t>8 kDa</t>
  </si>
  <si>
    <t>16PR0107</t>
  </si>
  <si>
    <t>GTP</t>
  </si>
  <si>
    <t>K056.2</t>
  </si>
  <si>
    <t>exp 02/20108</t>
  </si>
  <si>
    <t>6A/179112</t>
  </si>
  <si>
    <t>81350-76-9</t>
  </si>
  <si>
    <t>83150-76-10</t>
  </si>
  <si>
    <t>81350-76-10</t>
  </si>
  <si>
    <t>83150-76-11</t>
  </si>
  <si>
    <t> 1.20 mg/ml in water</t>
  </si>
  <si>
    <t>14A</t>
  </si>
  <si>
    <t>Lidocaine N-ethyl bromide</t>
  </si>
  <si>
    <t>125M4112V</t>
  </si>
  <si>
    <t>L5783</t>
  </si>
  <si>
    <t>21306-56-9</t>
  </si>
  <si>
    <t>65 µL, 18 µL</t>
  </si>
  <si>
    <t>30µL, 15 µL</t>
  </si>
  <si>
    <t xml:space="preserve">PESEES NON MARQUEES </t>
  </si>
  <si>
    <t>ENVOYER A NEUROZENTRUM</t>
  </si>
  <si>
    <t>155µL</t>
  </si>
  <si>
    <t>260 µL, 30 µL</t>
  </si>
  <si>
    <t>ALIQUOTS at RT</t>
  </si>
  <si>
    <t>rhKLK8</t>
  </si>
  <si>
    <t>MVG021609A</t>
  </si>
  <si>
    <t>2025-SE</t>
  </si>
  <si>
    <t>DNQX</t>
  </si>
  <si>
    <t>apn13067-1-10</t>
  </si>
  <si>
    <t>ab120018</t>
  </si>
  <si>
    <t>2379-57-99</t>
  </si>
  <si>
    <t>50 mM Tris (activated by lysyl endopetidase)</t>
  </si>
  <si>
    <t>16PR0165</t>
  </si>
  <si>
    <t>16PR0157</t>
  </si>
  <si>
    <t xml:space="preserve">210 µL, 110 µL </t>
  </si>
  <si>
    <t>LY 354740</t>
  </si>
  <si>
    <t>Group II mGlu agonist</t>
  </si>
  <si>
    <t>APN10178-6-8</t>
  </si>
  <si>
    <t>ab120173</t>
  </si>
  <si>
    <t>176199-48-7</t>
  </si>
  <si>
    <t>up to 100 mM in 1 eq. NaOH</t>
  </si>
  <si>
    <t>Tris Buffered Saline</t>
  </si>
  <si>
    <t>SLBR4138V</t>
  </si>
  <si>
    <t>T6664-10PAK</t>
  </si>
  <si>
    <t>10 sachets</t>
  </si>
  <si>
    <r>
      <t>To be dissolved in 1 L H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O</t>
    </r>
  </si>
  <si>
    <t>Doxycycline hyclate</t>
  </si>
  <si>
    <t>065M4048V</t>
  </si>
  <si>
    <t>D9891</t>
  </si>
  <si>
    <t>24390-14-5</t>
  </si>
  <si>
    <r>
      <t>50 mg/mL in H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O mQ</t>
    </r>
  </si>
  <si>
    <t>eq NaOH</t>
  </si>
  <si>
    <t>15PR0159</t>
  </si>
  <si>
    <t>Amgen</t>
  </si>
  <si>
    <t>Lysyl Endopeptidase</t>
  </si>
  <si>
    <t>LKL1083</t>
  </si>
  <si>
    <t>W1W129-02541</t>
  </si>
  <si>
    <t>10 AU</t>
  </si>
  <si>
    <t>DPBS medium</t>
  </si>
  <si>
    <t>D-MEM medium</t>
  </si>
  <si>
    <t>milieu de culture</t>
  </si>
  <si>
    <t>4*500 ml</t>
  </si>
  <si>
    <t>16PR0155</t>
  </si>
  <si>
    <t>2*500 ml</t>
  </si>
  <si>
    <t>MEM NEAA</t>
  </si>
  <si>
    <t>supplement milieux de culture</t>
  </si>
  <si>
    <t>[100X]</t>
  </si>
  <si>
    <t>[1X]</t>
  </si>
  <si>
    <t>100 ml</t>
  </si>
  <si>
    <t>supplement acide amine milieux de culture</t>
  </si>
  <si>
    <t>Fetal Bovine Serum</t>
  </si>
  <si>
    <t>16B264</t>
  </si>
  <si>
    <t>F2442</t>
  </si>
  <si>
    <t>HT supplement</t>
  </si>
  <si>
    <t>50 ml</t>
  </si>
  <si>
    <t>Blasticidin</t>
  </si>
  <si>
    <t>Antibiotique nucléoside</t>
  </si>
  <si>
    <t>B001-02</t>
  </si>
  <si>
    <t>R210-01</t>
  </si>
  <si>
    <t>2079-00-7</t>
  </si>
  <si>
    <t>5-10 mg/ml in sterile water and filter-sterilize the solution</t>
  </si>
  <si>
    <t>ZEOCIN</t>
  </si>
  <si>
    <t>Antibiotique glycopeptidique</t>
  </si>
  <si>
    <t>R25001</t>
  </si>
  <si>
    <t>1 g (8*1.25ml)</t>
  </si>
  <si>
    <t>Trypsin 0.05% EDTA</t>
  </si>
  <si>
    <t>55 µL</t>
  </si>
  <si>
    <t>Tris</t>
  </si>
  <si>
    <t>2.81 ml</t>
  </si>
  <si>
    <t>50 µl</t>
  </si>
  <si>
    <t>20 U/ml</t>
  </si>
  <si>
    <t>Parthenolide</t>
  </si>
  <si>
    <t>Inhibits the realase of 5-HT</t>
  </si>
  <si>
    <t>13A/176277</t>
  </si>
  <si>
    <t>20554-84-1</t>
  </si>
  <si>
    <t>DMSO or EtOH to 100 mM</t>
  </si>
  <si>
    <t>SGE-02546-01-A</t>
  </si>
  <si>
    <t>5 ml</t>
  </si>
  <si>
    <t>130 µL</t>
  </si>
  <si>
    <t>55 µl</t>
  </si>
  <si>
    <t>7.47 mg</t>
  </si>
  <si>
    <t>9 sachets</t>
  </si>
  <si>
    <t>0.200 µg/l</t>
  </si>
  <si>
    <t>0.71 ml</t>
  </si>
  <si>
    <t>PBS</t>
  </si>
  <si>
    <t>155 µl</t>
  </si>
  <si>
    <t>130 µl</t>
  </si>
  <si>
    <t>31.98 mg</t>
  </si>
  <si>
    <t>2.5 mg/ml</t>
  </si>
  <si>
    <t>2.5 ml</t>
  </si>
  <si>
    <t>88 ml</t>
  </si>
  <si>
    <t>38 ml</t>
  </si>
  <si>
    <t>9.988 ml</t>
  </si>
  <si>
    <t>900 µl</t>
  </si>
  <si>
    <t>Tetracycline hydrochloride cell culture</t>
  </si>
  <si>
    <t>SLBQ2368V</t>
  </si>
  <si>
    <t>T7660</t>
  </si>
  <si>
    <t>64-75-5</t>
  </si>
  <si>
    <t>10 mg/L in H2O</t>
  </si>
  <si>
    <t>DMSO hybri-max stérile</t>
  </si>
  <si>
    <t>RNBF1753</t>
  </si>
  <si>
    <t>D2650</t>
  </si>
  <si>
    <t>67-68-5</t>
  </si>
  <si>
    <t>5*5 ml</t>
  </si>
  <si>
    <t>300 µl</t>
  </si>
  <si>
    <t>SGE-00237-03-A</t>
  </si>
  <si>
    <t>3.65 mg</t>
  </si>
  <si>
    <t>100 µg/ml</t>
  </si>
  <si>
    <t>4*5 ml</t>
  </si>
  <si>
    <t>1.2 mg/ml in water</t>
  </si>
  <si>
    <t>100 µl</t>
  </si>
  <si>
    <t>16D392</t>
  </si>
  <si>
    <t>056M4032V</t>
  </si>
  <si>
    <t>aliquoté en aliquot de 3mL</t>
  </si>
  <si>
    <t>3mL</t>
  </si>
  <si>
    <t xml:space="preserve"> 155 µL</t>
  </si>
  <si>
    <t>Taisho</t>
  </si>
  <si>
    <t>LY341495 disodium salt</t>
  </si>
  <si>
    <t>172-130221-1</t>
  </si>
  <si>
    <t>APN15070-1-1</t>
  </si>
  <si>
    <t>ab120818</t>
  </si>
  <si>
    <t xml:space="preserve">water mQ to 100 mM </t>
  </si>
  <si>
    <t>15PR0139</t>
  </si>
  <si>
    <t>MGS0008 (TP0071219 shipping name)</t>
  </si>
  <si>
    <t>15PR0144</t>
  </si>
  <si>
    <t>10 µL</t>
  </si>
  <si>
    <t>ASE</t>
  </si>
  <si>
    <t>L-AP4</t>
  </si>
  <si>
    <t>Selective group III mGlu agonist</t>
  </si>
  <si>
    <t>APN11049-2-10</t>
  </si>
  <si>
    <t>ab120002</t>
  </si>
  <si>
    <t>23052-81-5</t>
  </si>
  <si>
    <t>17PR0012</t>
  </si>
  <si>
    <t>1-2mg/ml</t>
  </si>
  <si>
    <t>Trid buffer NaCl</t>
  </si>
  <si>
    <t>Aucune pesée de rentré</t>
  </si>
  <si>
    <t>105, 505 µL</t>
  </si>
  <si>
    <t>DCG IV</t>
  </si>
  <si>
    <t>agonist group II mGlu receptors</t>
  </si>
  <si>
    <t>20A/188989</t>
  </si>
  <si>
    <t>147782-19-2</t>
  </si>
  <si>
    <t>H2O mQ to100 mM</t>
  </si>
  <si>
    <t>Domoic Acid</t>
  </si>
  <si>
    <t>Kainate agonist</t>
  </si>
  <si>
    <t>APN15128-1-2</t>
  </si>
  <si>
    <t>ab120338</t>
  </si>
  <si>
    <t>Non competitive AMPA/ Kainate antagonist</t>
  </si>
  <si>
    <t>H2O mQ, DMSO to 100 mM</t>
  </si>
  <si>
    <t>SGE-00237-04-A</t>
  </si>
  <si>
    <t>AAA024954</t>
  </si>
  <si>
    <t>S208326-1</t>
  </si>
  <si>
    <t>D03SPO155A</t>
  </si>
  <si>
    <t>AAAO3UX</t>
  </si>
  <si>
    <t>14.56mg</t>
  </si>
  <si>
    <t>17PR0013</t>
  </si>
  <si>
    <t>17RD0015</t>
  </si>
  <si>
    <t>Sodium pyruvate</t>
  </si>
  <si>
    <t>69056-38-8</t>
  </si>
  <si>
    <t>LRAA7131</t>
  </si>
  <si>
    <t>PHR1090</t>
  </si>
  <si>
    <t>LIGT SENSITIVE</t>
  </si>
  <si>
    <t>16PR0188</t>
  </si>
  <si>
    <t>Barcode B0402228</t>
  </si>
  <si>
    <t>SYR253625B</t>
  </si>
  <si>
    <t>17PR0005</t>
  </si>
  <si>
    <t>reçu en solution</t>
  </si>
  <si>
    <t>SYR302127A</t>
  </si>
  <si>
    <t>Barcode B0401350</t>
  </si>
  <si>
    <t>SYR300590A</t>
  </si>
  <si>
    <t>Barcode B0401341</t>
  </si>
  <si>
    <t xml:space="preserve">100 µL </t>
  </si>
  <si>
    <t>7 mM</t>
  </si>
  <si>
    <t>17PR0007</t>
  </si>
  <si>
    <t>1.20 mg/mL in H2O mQ</t>
  </si>
  <si>
    <t>405 µL</t>
  </si>
  <si>
    <t>BOEHRINGER</t>
  </si>
  <si>
    <t>Human NRG1</t>
  </si>
  <si>
    <t>PT117HNRG1</t>
  </si>
  <si>
    <t>RKQ02297</t>
  </si>
  <si>
    <t>7kDa</t>
  </si>
  <si>
    <t>16PR0151</t>
  </si>
  <si>
    <t>Stable 2 ans en lyophilisat, 6 mois en suspension a -20</t>
  </si>
  <si>
    <t>Barcode B0405022</t>
  </si>
  <si>
    <t>Barcode B0404837</t>
  </si>
  <si>
    <t>20.2 mg</t>
  </si>
  <si>
    <t>20.07 mg</t>
  </si>
  <si>
    <t>20 mM i n DMSO</t>
  </si>
  <si>
    <t>20 mM in DMSO</t>
  </si>
  <si>
    <t>[C]min 0.1mg/mL</t>
  </si>
  <si>
    <t>30 µM</t>
  </si>
  <si>
    <t>355 µL</t>
  </si>
  <si>
    <t>3179322#5</t>
  </si>
  <si>
    <t>265821/265822</t>
  </si>
  <si>
    <t>10.22 mg</t>
  </si>
  <si>
    <t xml:space="preserve">DMSO </t>
  </si>
  <si>
    <t>17PR0009</t>
  </si>
  <si>
    <t>Barcode 1700257909</t>
  </si>
  <si>
    <t xml:space="preserve">manque des pesée </t>
  </si>
  <si>
    <t>245 µL</t>
  </si>
  <si>
    <t>LDC203294:02</t>
  </si>
  <si>
    <t>LDC202434:01</t>
  </si>
  <si>
    <t>61.65 mg</t>
  </si>
  <si>
    <t>61.26 mg</t>
  </si>
  <si>
    <t>17PR0016</t>
  </si>
  <si>
    <t>ALIQUOTS @ RT</t>
  </si>
  <si>
    <t>FGA</t>
  </si>
  <si>
    <t>CROSSBETA</t>
  </si>
  <si>
    <t>203 µL</t>
  </si>
  <si>
    <t>Manque des pesées vide alors que reste masse theorique de 1,66g</t>
  </si>
  <si>
    <t>CHDI-00485194-0000-003</t>
  </si>
  <si>
    <t>15 µL</t>
  </si>
  <si>
    <t>Perampanel</t>
  </si>
  <si>
    <t>Interchim</t>
  </si>
  <si>
    <t>R2187</t>
  </si>
  <si>
    <t>349.3847 Da</t>
  </si>
  <si>
    <t>ORB181081</t>
  </si>
  <si>
    <t>380917-97-5</t>
  </si>
  <si>
    <t>EXP 23/08/2017</t>
  </si>
  <si>
    <t>tampon citrate</t>
  </si>
  <si>
    <t>220 µL</t>
  </si>
  <si>
    <t>SGE-00122-02-A</t>
  </si>
  <si>
    <t>17PR0031</t>
  </si>
  <si>
    <t>Barcode AAA026993</t>
  </si>
  <si>
    <t>20 mL</t>
  </si>
  <si>
    <t>EXP 08/2017</t>
  </si>
  <si>
    <t>365 µL</t>
  </si>
  <si>
    <t>Nifedipine</t>
  </si>
  <si>
    <t>APN14291-1-1</t>
  </si>
  <si>
    <t>ab120135</t>
  </si>
  <si>
    <t>Up to 100 mM in DMSO</t>
  </si>
  <si>
    <t>Up to 100 mM in H2O mQ</t>
  </si>
  <si>
    <t>21829-25-4</t>
  </si>
  <si>
    <t>L-type Ca2+ channel blocker</t>
  </si>
  <si>
    <t>17RD0051</t>
  </si>
  <si>
    <t>ALL CELL PROTO</t>
  </si>
  <si>
    <t>17PR0017</t>
  </si>
  <si>
    <t>(1S,3R)-ACPD</t>
  </si>
  <si>
    <t>ACDPP hydrochloride</t>
  </si>
  <si>
    <t>Agonist at both group I and II mGlu receptors</t>
  </si>
  <si>
    <t>29A/173272</t>
  </si>
  <si>
    <t>111900-32-4</t>
  </si>
  <si>
    <t>H2OmQ to 30 mM, 1 eq NaOH to 100 mM</t>
  </si>
  <si>
    <t xml:space="preserve">Antagonist mGluR5 </t>
  </si>
  <si>
    <t>1A/168111</t>
  </si>
  <si>
    <t>0284</t>
  </si>
  <si>
    <t>37804-11-8</t>
  </si>
  <si>
    <t>4368-28-9</t>
  </si>
  <si>
    <t>5*1 mg</t>
  </si>
  <si>
    <t>stable jusqu'au 30/05/2018 - 43.2 mg of compound discard on March 24 2017 (certificat of destruction available in project folder)</t>
  </si>
  <si>
    <t>Reste de poudre (30.43 mg) renvoyé au client (Mar 16, 2017)</t>
  </si>
  <si>
    <t>ALIQUOTS @ RT - Reste de poudre (35.85 mg) renvoyé au client (Mar 16, 2017)</t>
  </si>
  <si>
    <t>GSK3738185A</t>
  </si>
  <si>
    <t>SC213258-001A3</t>
  </si>
  <si>
    <t>Barcode : 0330162539</t>
  </si>
  <si>
    <t>GSK3772820A</t>
  </si>
  <si>
    <t>Barcode: 0330161679</t>
  </si>
  <si>
    <t>VT212019-061A3</t>
  </si>
  <si>
    <t>GSK3844775A</t>
  </si>
  <si>
    <t>Barcode: 0330162744</t>
  </si>
  <si>
    <t>SN213255-069A4</t>
  </si>
  <si>
    <t>20.5 mg</t>
  </si>
  <si>
    <t>GSK3799355A</t>
  </si>
  <si>
    <t>MB212029-172A2</t>
  </si>
  <si>
    <t>Barcode: 0330161259</t>
  </si>
  <si>
    <t>NaCl 0.9%</t>
  </si>
  <si>
    <t>15mg/mL</t>
  </si>
  <si>
    <t>800 µL</t>
  </si>
  <si>
    <t>17PR0047</t>
  </si>
  <si>
    <t>Barcode: 310001374</t>
  </si>
  <si>
    <t>up to 10 mM in DMSO</t>
  </si>
  <si>
    <t>17PR0029</t>
  </si>
  <si>
    <t xml:space="preserve"> (Barcode 31000813)</t>
  </si>
  <si>
    <t xml:space="preserve"> AAA026993</t>
  </si>
  <si>
    <t>#3011251-1</t>
  </si>
  <si>
    <t>SYR300375A</t>
  </si>
  <si>
    <t>SYR312686A</t>
  </si>
  <si>
    <t>Barcode: B0403873</t>
  </si>
  <si>
    <t>Barcode: B0403992</t>
  </si>
  <si>
    <t>35.44 mg</t>
  </si>
  <si>
    <t>35.56 mg</t>
  </si>
  <si>
    <t>17PR0057</t>
  </si>
  <si>
    <t>SLBP5730V</t>
  </si>
  <si>
    <t>7365-45-9</t>
  </si>
  <si>
    <t>SLBR4577V</t>
  </si>
  <si>
    <t>H2O mQ to 10mg/mL</t>
  </si>
  <si>
    <t>GABA A receptor antagonist</t>
  </si>
  <si>
    <t>3355688#3</t>
  </si>
  <si>
    <t>Barcode: 1700261237</t>
  </si>
  <si>
    <t>275971/275972</t>
  </si>
  <si>
    <t>10,06 mg</t>
  </si>
  <si>
    <t>17PR009</t>
  </si>
  <si>
    <t>223 µL</t>
  </si>
  <si>
    <t>197 µL</t>
  </si>
  <si>
    <t>100µL</t>
  </si>
  <si>
    <t>173 µL</t>
  </si>
  <si>
    <t>SLBR8046V</t>
  </si>
  <si>
    <t>MED LIFE</t>
  </si>
  <si>
    <t>PPI 1040</t>
  </si>
  <si>
    <t>-80°C</t>
  </si>
  <si>
    <t>5* 100 µL</t>
  </si>
  <si>
    <t>17PR0054</t>
  </si>
  <si>
    <t>receipt with DRY ICE, congelé</t>
  </si>
  <si>
    <t>B27</t>
  </si>
  <si>
    <t>500 mL</t>
  </si>
  <si>
    <t>PROTECT FROM LIGHT</t>
  </si>
  <si>
    <t>L Glutamine</t>
  </si>
  <si>
    <t>HBSS</t>
  </si>
  <si>
    <t>[10X]</t>
  </si>
  <si>
    <t>JNJ65124098</t>
  </si>
  <si>
    <t>JNJ40875094</t>
  </si>
  <si>
    <t>barcode: 9700380567</t>
  </si>
  <si>
    <t>barcode:9101081796</t>
  </si>
  <si>
    <t>3.26 mg</t>
  </si>
  <si>
    <t>16PR0189</t>
  </si>
  <si>
    <t>DA assay</t>
  </si>
  <si>
    <t>3.08 mg</t>
  </si>
  <si>
    <t>EPSC Assay</t>
  </si>
  <si>
    <t>51 µL</t>
  </si>
  <si>
    <t>barcode: 0330161389</t>
  </si>
  <si>
    <t>10.7 mg</t>
  </si>
  <si>
    <t>barcode:0330162003</t>
  </si>
  <si>
    <t>10.8 mg</t>
  </si>
  <si>
    <t>NM213257-003A1</t>
  </si>
  <si>
    <t>barcode:0330161396</t>
  </si>
  <si>
    <t>JR211722-015A2</t>
  </si>
  <si>
    <t>10.5g</t>
  </si>
  <si>
    <t>40 mM</t>
  </si>
  <si>
    <t>barcode:0330162645</t>
  </si>
  <si>
    <t>1mg/mL</t>
  </si>
  <si>
    <t>3*100 µL</t>
  </si>
  <si>
    <t>Gardé @ RT pendant + de 6 mois</t>
  </si>
  <si>
    <t>360, 105 µL</t>
  </si>
  <si>
    <t>H2O mQ to 100mM</t>
  </si>
  <si>
    <t>53 µL</t>
  </si>
  <si>
    <t>SGE-02817-02-A</t>
  </si>
  <si>
    <t>SGE-005550-08-A</t>
  </si>
  <si>
    <t>Ord#3014107-1</t>
  </si>
  <si>
    <t>Ord#3014107-2</t>
  </si>
  <si>
    <t>AAA019790</t>
  </si>
  <si>
    <t>40.1 mg</t>
  </si>
  <si>
    <t>17PR0078</t>
  </si>
  <si>
    <t>17PR0070</t>
  </si>
  <si>
    <t>100mM</t>
  </si>
  <si>
    <r>
      <t xml:space="preserve">This document contains 4 tabs: 
</t>
    </r>
    <r>
      <rPr>
        <u/>
        <sz val="11"/>
        <color theme="1"/>
        <rFont val="Calibri"/>
        <family val="2"/>
        <scheme val="minor"/>
      </rPr>
      <t>Database:</t>
    </r>
    <r>
      <rPr>
        <sz val="11"/>
        <color theme="1"/>
        <rFont val="Calibri"/>
        <family val="2"/>
        <scheme val="minor"/>
      </rPr>
      <t xml:space="preserve"> to register of all the compound (reference &amp; customer) received at Neuroservice
</t>
    </r>
    <r>
      <rPr>
        <u/>
        <sz val="11"/>
        <color theme="1"/>
        <rFont val="Calibri"/>
        <family val="2"/>
        <scheme val="minor"/>
      </rPr>
      <t>Weighing board</t>
    </r>
    <r>
      <rPr>
        <sz val="11"/>
        <color theme="1"/>
        <rFont val="Calibri"/>
        <family val="2"/>
        <scheme val="minor"/>
      </rPr>
      <t xml:space="preserve"> (per month): to write the weighing of each compound
</t>
    </r>
    <r>
      <rPr>
        <u/>
        <sz val="11"/>
        <color theme="1"/>
        <rFont val="Calibri"/>
        <family val="2"/>
        <scheme val="minor"/>
      </rPr>
      <t>Compound label</t>
    </r>
    <r>
      <rPr>
        <sz val="11"/>
        <color theme="1"/>
        <rFont val="Calibri"/>
        <family val="2"/>
        <scheme val="minor"/>
      </rPr>
      <t xml:space="preserve"> and </t>
    </r>
    <r>
      <rPr>
        <u/>
        <sz val="11"/>
        <color theme="1"/>
        <rFont val="Calibri"/>
        <family val="2"/>
        <scheme val="minor"/>
      </rPr>
      <t>Aliquots label</t>
    </r>
    <r>
      <rPr>
        <sz val="11"/>
        <color theme="1"/>
        <rFont val="Calibri"/>
        <family val="2"/>
        <scheme val="minor"/>
      </rPr>
      <t xml:space="preserve"> (tabs hidden): templates to be used with Label editor software to print labels for compounds vials and aliquots box .</t>
    </r>
  </si>
  <si>
    <t>VGA</t>
  </si>
  <si>
    <t>4.5188 mL</t>
  </si>
  <si>
    <t>DGU</t>
  </si>
  <si>
    <t>MK-801 maleate (Dizocilpine)</t>
  </si>
  <si>
    <t xml:space="preserve">water mQ to 25 mM </t>
  </si>
  <si>
    <t>Gabazine (SR95531)</t>
  </si>
  <si>
    <t>Non competitive NMDA antagonist</t>
  </si>
  <si>
    <t xml:space="preserve">water mQ to 50 mM </t>
  </si>
  <si>
    <t>JNJ26116220</t>
  </si>
  <si>
    <t>barcode: 9101081799</t>
  </si>
  <si>
    <t>3.10 mg</t>
  </si>
  <si>
    <t>JNJ1750632</t>
  </si>
  <si>
    <t>barcode: 9101146442</t>
  </si>
  <si>
    <t>3.28 mg</t>
  </si>
  <si>
    <t>10 µM in the Domoic assay</t>
  </si>
  <si>
    <t>10 µM in the evoked EPSC assay</t>
  </si>
  <si>
    <t>15PR144</t>
  </si>
  <si>
    <t>A17GP0155A-CHA-R43384</t>
  </si>
  <si>
    <t>20.87 mg</t>
  </si>
  <si>
    <t>Epothilone D</t>
  </si>
  <si>
    <t>16PR0164</t>
  </si>
  <si>
    <t>5-HT receptors agonist</t>
  </si>
  <si>
    <t>2A/195479</t>
  </si>
  <si>
    <t>water mQ or DMSO to 100 mM</t>
  </si>
  <si>
    <t>Ritanserin</t>
  </si>
  <si>
    <t>5-HT2 recepors antagonist</t>
  </si>
  <si>
    <t>8A/192415</t>
  </si>
  <si>
    <t>87051-43-2</t>
  </si>
  <si>
    <t>DMSO to 100 mM or ethanol 25 mM</t>
  </si>
  <si>
    <t>17PR0075</t>
  </si>
  <si>
    <t>Barcode B0411806</t>
  </si>
  <si>
    <t>26.28 mg</t>
  </si>
  <si>
    <t>17PR0024</t>
  </si>
  <si>
    <t xml:space="preserve">Cpd tester au MEA (resupplie) reste de la poudre </t>
  </si>
  <si>
    <t>Barcode AAA028731</t>
  </si>
  <si>
    <t>SAGE-PQQ-1113-P1</t>
  </si>
  <si>
    <t>SGE-03170-02-A</t>
  </si>
  <si>
    <t>VIP</t>
  </si>
  <si>
    <t>15A</t>
  </si>
  <si>
    <t>40077-57-4</t>
  </si>
  <si>
    <t>1mg/mL in water</t>
  </si>
  <si>
    <t>17PR0053</t>
  </si>
  <si>
    <t>[D-p-Cl-Phe6,Leu17]-VIP</t>
  </si>
  <si>
    <t>5A</t>
  </si>
  <si>
    <t>102805-45-8</t>
  </si>
  <si>
    <t>LIGT SENSITIVE (freshly prepared each day in DMSO)</t>
  </si>
  <si>
    <t>(freshly prepared each day in DMSO)</t>
  </si>
  <si>
    <t>10 mg/mL in H2O mQ</t>
  </si>
  <si>
    <t>95.6.%</t>
  </si>
  <si>
    <t>Dissolution impossible @ 10 mM</t>
  </si>
  <si>
    <t>205, 405 µL</t>
  </si>
  <si>
    <t>30, 60, 120,24 µL</t>
  </si>
  <si>
    <t>LDC202062:04</t>
  </si>
  <si>
    <t>LDC208092:04</t>
  </si>
  <si>
    <t>PT916HNRG</t>
  </si>
  <si>
    <t>100 ng/mL</t>
  </si>
  <si>
    <t>RECEPTION @RT HUMIDITE</t>
  </si>
  <si>
    <t>15 mM</t>
  </si>
  <si>
    <t>B_ID5073953</t>
  </si>
  <si>
    <t>17PR0092</t>
  </si>
  <si>
    <t>8B/198020</t>
  </si>
  <si>
    <t>23A/196165</t>
  </si>
  <si>
    <t>32A/196792</t>
  </si>
  <si>
    <t>149184-22-5</t>
  </si>
  <si>
    <t>0103</t>
  </si>
  <si>
    <t>H2O mQ to 20 mM</t>
  </si>
  <si>
    <t>selective GABAB receptor antagonist</t>
  </si>
  <si>
    <t>H2OmQ to 5 mM, 1eq NaOH to 100 mM</t>
  </si>
  <si>
    <t>BCBV19140</t>
  </si>
  <si>
    <t>M2004</t>
  </si>
  <si>
    <t>6284-40-8</t>
  </si>
  <si>
    <t>BCB1844V</t>
  </si>
  <si>
    <t>NAVITOR</t>
  </si>
  <si>
    <t>NV-5138</t>
  </si>
  <si>
    <t>Vehicle (0.5% MC &amp; 0.1% Tween80)</t>
  </si>
  <si>
    <t>~~150 mL</t>
  </si>
  <si>
    <t>460 mg</t>
  </si>
  <si>
    <t>17PR0069</t>
  </si>
  <si>
    <t>17PR0093</t>
  </si>
  <si>
    <t>73A/199668</t>
  </si>
  <si>
    <t>017M4615V</t>
  </si>
  <si>
    <t>Glycerol</t>
  </si>
  <si>
    <t>SHBJ0588</t>
  </si>
  <si>
    <t>G7757</t>
  </si>
  <si>
    <t>56-81-5</t>
  </si>
  <si>
    <t>23mg/mL in 0.1M HCl</t>
  </si>
  <si>
    <t xml:space="preserve">stock solution 160 mg/mL in Navitor Vehicle </t>
  </si>
  <si>
    <t>25mM</t>
  </si>
  <si>
    <t>200 µL 400µL</t>
  </si>
  <si>
    <t>Phosphocreatine dis(tris) salt</t>
  </si>
  <si>
    <t>SLBL8185V</t>
  </si>
  <si>
    <t>P1937</t>
  </si>
  <si>
    <t>108321-17-1</t>
  </si>
  <si>
    <t>103 µL</t>
  </si>
  <si>
    <t>100, 200 µL</t>
  </si>
  <si>
    <t>GTP tris</t>
  </si>
  <si>
    <t>BCBR7183V</t>
  </si>
  <si>
    <t>SLBQ1769V</t>
  </si>
  <si>
    <t>G9002</t>
  </si>
  <si>
    <t>103192-46-7</t>
  </si>
  <si>
    <t> Kv7.2-7.5  neuronal potassium channel opener witrh anticonvulsant activity.</t>
  </si>
  <si>
    <t>GS21</t>
  </si>
  <si>
    <t>32A/197836</t>
  </si>
  <si>
    <t>RQ_ID 13723</t>
  </si>
  <si>
    <t>H2O mQ to 5 mM, 1eq NaOH to 100 mM</t>
  </si>
  <si>
    <t>17PR0099</t>
  </si>
  <si>
    <t>Sodium L-Ascorbate</t>
  </si>
  <si>
    <t>SLBS08063</t>
  </si>
  <si>
    <t>YKP3089</t>
  </si>
  <si>
    <t>89 mg</t>
  </si>
  <si>
    <t>SLBV0845</t>
  </si>
  <si>
    <t>G0800</t>
  </si>
  <si>
    <t>50 X</t>
  </si>
  <si>
    <t>42, 84 µL</t>
  </si>
  <si>
    <t>20, 40, 100 µL</t>
  </si>
  <si>
    <t>155, 310, 620µL</t>
  </si>
  <si>
    <t>175µL</t>
  </si>
  <si>
    <t>155, 310 µL</t>
  </si>
  <si>
    <t>CHDI-00578723-0000-001</t>
  </si>
  <si>
    <t>17PR0082</t>
  </si>
  <si>
    <t>17PR0023</t>
  </si>
  <si>
    <t>ALKERMES</t>
  </si>
  <si>
    <t>DAMGO</t>
  </si>
  <si>
    <t>Selective peptide agonist for the µ opioid receptor</t>
  </si>
  <si>
    <t>30H</t>
  </si>
  <si>
    <t>78123-71-4</t>
  </si>
  <si>
    <t>up to 2ml/mL in H2O mQ</t>
  </si>
  <si>
    <t>73A/200377</t>
  </si>
  <si>
    <t>23B/197152</t>
  </si>
  <si>
    <t>0106</t>
  </si>
  <si>
    <t>20 mM in H2O mQ</t>
  </si>
  <si>
    <t>SKBP</t>
  </si>
  <si>
    <t>20, 10, 5 µL</t>
  </si>
  <si>
    <t>60 µL</t>
  </si>
  <si>
    <t>erreur de preparation cpd non utilisé</t>
  </si>
  <si>
    <t>620, 310, 155 µL</t>
  </si>
  <si>
    <t>400, 50 µL</t>
  </si>
  <si>
    <t>NMDG</t>
  </si>
  <si>
    <t>BCBV1910</t>
  </si>
  <si>
    <t>SLBK9595V</t>
  </si>
  <si>
    <t>S4250</t>
  </si>
  <si>
    <t>312-84-5</t>
  </si>
  <si>
    <t>up to 25 mM in H2O mQ</t>
  </si>
  <si>
    <t>CGP-55845</t>
  </si>
  <si>
    <t>GABA B receptor antagonist, inhibits GABA B respondes to baclofen</t>
  </si>
  <si>
    <t>8B/198335</t>
  </si>
  <si>
    <t>Heparine sodium salt</t>
  </si>
  <si>
    <t>SLB6690V</t>
  </si>
  <si>
    <t>9041-08-1</t>
  </si>
  <si>
    <t>300 USP</t>
  </si>
  <si>
    <t>300 USP/Vial</t>
  </si>
  <si>
    <t>5 mL H2O mQ / Vial</t>
  </si>
  <si>
    <t>21.3 mg</t>
  </si>
  <si>
    <t>17PR0066</t>
  </si>
  <si>
    <t>VISTAGEN THERAPEUTICS</t>
  </si>
  <si>
    <t>AV-101 or L-4-chlorokynurenine</t>
  </si>
  <si>
    <t>VGEN-125.API1480.1</t>
  </si>
  <si>
    <t>Sodium Phosphate Buffer (CF CHF)</t>
  </si>
  <si>
    <t>17PR100</t>
  </si>
  <si>
    <t>Sodium phosphate monobasic monohydrate</t>
  </si>
  <si>
    <t>sodium phosphate dibasic</t>
  </si>
  <si>
    <t>BCBT2102</t>
  </si>
  <si>
    <t>slbs1095V</t>
  </si>
  <si>
    <t>10049-21-5</t>
  </si>
  <si>
    <t>S3264</t>
  </si>
  <si>
    <t>7558-79-4</t>
  </si>
  <si>
    <t>100 mg/mL in H2O</t>
  </si>
  <si>
    <t>95,6 %</t>
  </si>
  <si>
    <t>A17 GP0155A_CHA_R43384</t>
  </si>
  <si>
    <t>21.33 mg</t>
  </si>
  <si>
    <t>155, 310, 620 µL</t>
  </si>
  <si>
    <t>20 Mm</t>
  </si>
  <si>
    <t>50, 620 µL</t>
  </si>
  <si>
    <t>205, 405µL</t>
  </si>
  <si>
    <t>17PR0109</t>
  </si>
  <si>
    <t>17PR0108</t>
  </si>
  <si>
    <t>73A/200616</t>
  </si>
  <si>
    <t>73A/202111</t>
  </si>
  <si>
    <t>32A/199731</t>
  </si>
  <si>
    <t>32A/201859</t>
  </si>
  <si>
    <t>23B/200123</t>
  </si>
  <si>
    <t>5 mM in H2O mQ / 1eq NaOH to 100 mM</t>
  </si>
  <si>
    <t>17PR0111</t>
  </si>
  <si>
    <t>Barcode: B0419093</t>
  </si>
  <si>
    <t>51.11 mg</t>
  </si>
  <si>
    <t>32B/202361</t>
  </si>
  <si>
    <t>17RD0077</t>
  </si>
  <si>
    <t>SLBT6741</t>
  </si>
  <si>
    <t>A7631</t>
  </si>
  <si>
    <t>+ 261,19 mg pesée</t>
  </si>
  <si>
    <t>405, 205 µL</t>
  </si>
  <si>
    <t>PROTECT FROM LIGHT (contient plus que 25 mg)</t>
  </si>
  <si>
    <t>105, 405 µL</t>
  </si>
  <si>
    <t>17PR0189</t>
  </si>
  <si>
    <t>Multiprojet</t>
  </si>
  <si>
    <t>16.1 mg</t>
  </si>
  <si>
    <t>GYKI53655</t>
  </si>
  <si>
    <t>JNJ-65124098</t>
  </si>
  <si>
    <t>BID#45074701</t>
  </si>
  <si>
    <t>5,69 mg</t>
  </si>
  <si>
    <t>H2O or DMSO to 100 mM</t>
  </si>
  <si>
    <t>Non competitive AMPA/ Kainate receptor antagonist</t>
  </si>
  <si>
    <t>batch12</t>
  </si>
  <si>
    <t>1.09 g</t>
  </si>
  <si>
    <t>in buffer navitor</t>
  </si>
  <si>
    <t>buffer 0.5% MC 0.1% TWEEN</t>
  </si>
  <si>
    <t>250 mL</t>
  </si>
  <si>
    <t>Somatostatin</t>
  </si>
  <si>
    <t>047M4751V</t>
  </si>
  <si>
    <t>S9129</t>
  </si>
  <si>
    <t>38916-34-6</t>
  </si>
  <si>
    <t>Nalbuphine hydrochloride hydrate</t>
  </si>
  <si>
    <t>MKBW2529V</t>
  </si>
  <si>
    <t>N4396</t>
  </si>
  <si>
    <t>23277-43-2</t>
  </si>
  <si>
    <t>NO</t>
  </si>
  <si>
    <t>BID#31193330</t>
  </si>
  <si>
    <t>Resupply / Puff Domoic Acid</t>
  </si>
  <si>
    <t>17PR0116</t>
  </si>
  <si>
    <t>360 µL</t>
  </si>
  <si>
    <t>067M4886V</t>
  </si>
  <si>
    <t>90 mM</t>
  </si>
  <si>
    <t>17PR0080</t>
  </si>
  <si>
    <t>7-chlorokynurenic acid sodium salt</t>
  </si>
  <si>
    <t>NMDA receptor antagonist</t>
  </si>
  <si>
    <t>2A/201378</t>
  </si>
  <si>
    <t>1263094-00-3</t>
  </si>
  <si>
    <t>17PR0123</t>
  </si>
  <si>
    <r>
      <t>DH</t>
    </r>
    <r>
      <rPr>
        <sz val="11"/>
        <rFont val="Calibri"/>
        <family val="2"/>
      </rPr>
      <t>βE</t>
    </r>
  </si>
  <si>
    <t>Competitive nicotinic acetylcholine receptor</t>
  </si>
  <si>
    <t>10A/198241</t>
  </si>
  <si>
    <t>29734-68-7</t>
  </si>
  <si>
    <t>Water to 100 mM / DMSO to 25 mM</t>
  </si>
  <si>
    <t>22A/199880</t>
  </si>
  <si>
    <t>112825-05-5</t>
  </si>
  <si>
    <t>100 mM in H2O mQ or DMSO</t>
  </si>
  <si>
    <t>99,70%</t>
  </si>
  <si>
    <t>Anticonvulsant; selectively binds the α2δ subunit of voltage-sensitive calcium channels</t>
  </si>
  <si>
    <t>1A/196052</t>
  </si>
  <si>
    <t>Up to 100 mM in water</t>
  </si>
  <si>
    <t>Usually store at RT but Daiichi requested to store at -20°C</t>
  </si>
  <si>
    <t>3.468 mL</t>
  </si>
  <si>
    <t>Methyllycaconitine citrate salt (MLA)</t>
  </si>
  <si>
    <t>046M4732V</t>
  </si>
  <si>
    <t>M168</t>
  </si>
  <si>
    <t>Potent and specific nicotinic receptor antagonist</t>
  </si>
  <si>
    <t>Up to 42 mg/ml in H2O</t>
  </si>
  <si>
    <t>Competitive nonselective antagonist at central and peripheral muscarinic acetylcholine receptors</t>
  </si>
  <si>
    <t>MKBX0745V</t>
  </si>
  <si>
    <t>Up to 2 mg/ml in H2O</t>
  </si>
  <si>
    <t>Acetylcholine chloride</t>
  </si>
  <si>
    <t>BCBV3168</t>
  </si>
  <si>
    <t>A6625</t>
  </si>
  <si>
    <t>60-31-1</t>
  </si>
  <si>
    <t>Up to 100 mg/ml in H2O</t>
  </si>
  <si>
    <t>167/334/668 µl</t>
  </si>
  <si>
    <t>360 µl</t>
  </si>
  <si>
    <t>250 mM</t>
  </si>
  <si>
    <t>HCL solution</t>
  </si>
  <si>
    <t>RNBG0669</t>
  </si>
  <si>
    <t>NaOH solution</t>
  </si>
  <si>
    <t>RNBG1063</t>
  </si>
  <si>
    <t>MKBW4001V</t>
  </si>
  <si>
    <t>PROTECT FROM LIGHT 6 month in aliquots</t>
  </si>
  <si>
    <t>intracellular voltage-gated sodium channel blocker.</t>
  </si>
  <si>
    <t>Analgesic</t>
  </si>
  <si>
    <t>SLBR2060V</t>
  </si>
  <si>
    <t>DMSO or EtOH @ 0.5 M</t>
  </si>
  <si>
    <t>17PR0118</t>
  </si>
  <si>
    <t>KAO</t>
  </si>
  <si>
    <t>Caffeic acid</t>
  </si>
  <si>
    <t>trans-Ferulic acid</t>
  </si>
  <si>
    <t>SLBT5907</t>
  </si>
  <si>
    <t>C0625</t>
  </si>
  <si>
    <t>EtOH to 50mg/mL</t>
  </si>
  <si>
    <t>17PR0084</t>
  </si>
  <si>
    <t>anti-oxidant</t>
  </si>
  <si>
    <t>anti-oxidant, Inhibits the synthesis of leukotrienes, Inhibits Cu2+-induced LDL oxidation</t>
  </si>
  <si>
    <t>331-39-5</t>
  </si>
  <si>
    <t>SLBS0103V</t>
  </si>
  <si>
    <t>C3878</t>
  </si>
  <si>
    <t>327-97-9</t>
  </si>
  <si>
    <t>EtOH</t>
  </si>
  <si>
    <t>BCBT5224</t>
  </si>
  <si>
    <t>537-98-4</t>
  </si>
  <si>
    <t>95% EtOH 50mg/mL</t>
  </si>
  <si>
    <t>SLBM8513V</t>
  </si>
  <si>
    <t>5-Feruloylquinic acid</t>
  </si>
  <si>
    <t>251.10 mg</t>
  </si>
  <si>
    <t>H2O mQ (hot) / Protect fromn light</t>
  </si>
  <si>
    <t>17SAM207</t>
  </si>
  <si>
    <t>17SAM208</t>
  </si>
  <si>
    <t>17SAM212</t>
  </si>
  <si>
    <t>1A/203728</t>
  </si>
  <si>
    <t>up to 100 mM in water</t>
  </si>
  <si>
    <t>005</t>
  </si>
  <si>
    <t>40.03 mg</t>
  </si>
  <si>
    <t>Barcode B0436318</t>
  </si>
  <si>
    <t>Urethane</t>
  </si>
  <si>
    <t>WXBC3505V</t>
  </si>
  <si>
    <t>U2500</t>
  </si>
  <si>
    <t>607-149-00-6</t>
  </si>
  <si>
    <t>SLBS2995V</t>
  </si>
  <si>
    <t>067M4776V</t>
  </si>
  <si>
    <t>perte de 5.39 mg</t>
  </si>
  <si>
    <t>Chloronergic acid</t>
  </si>
  <si>
    <t>Creatine phosphokinase type I</t>
  </si>
  <si>
    <t xml:space="preserve">Guanosine 5''-triphosphate sodium </t>
  </si>
  <si>
    <t>SLBV1450</t>
  </si>
  <si>
    <t>C3755</t>
  </si>
  <si>
    <t>Tetraethylammonium chloride</t>
  </si>
  <si>
    <t>BCBQ7343</t>
  </si>
  <si>
    <t>T2265</t>
  </si>
  <si>
    <t>17.5 KU</t>
  </si>
  <si>
    <t>9001-15-4</t>
  </si>
  <si>
    <t>56-34-8</t>
  </si>
  <si>
    <t>APN17074-1-4</t>
  </si>
  <si>
    <t>5 mg/mL in 0.25 M glycyl-glycine,</t>
  </si>
  <si>
    <t>SLBK1472V</t>
  </si>
  <si>
    <t>~81000</t>
  </si>
  <si>
    <t>Handle under Argon, Moisture sensitive</t>
  </si>
  <si>
    <t>17RD0139</t>
  </si>
  <si>
    <t>17PR0110</t>
  </si>
  <si>
    <t>SLBP9252V</t>
  </si>
  <si>
    <t>64 mg/mL in H2O mQ</t>
  </si>
  <si>
    <t>2.1 mg</t>
  </si>
  <si>
    <t>1.37 mg</t>
  </si>
  <si>
    <t>17PR0145</t>
  </si>
  <si>
    <t>MC Twin</t>
  </si>
  <si>
    <t>4 x 50 mL</t>
  </si>
  <si>
    <t>8A/204436</t>
  </si>
  <si>
    <t xml:space="preserve">Potent and long-acting 5-HT2 receptor antagonist, Anxiolytic in vivo.
</t>
  </si>
  <si>
    <t>(S)-3,5-DHPG</t>
  </si>
  <si>
    <t>selective group I mGlu  agonist</t>
  </si>
  <si>
    <t>APN15188-5-5</t>
  </si>
  <si>
    <t>ab120007</t>
  </si>
  <si>
    <t>NNC 711</t>
  </si>
  <si>
    <t>APN12448-1-6</t>
  </si>
  <si>
    <t>ab120364</t>
  </si>
  <si>
    <t>potent, selective GAT-1 inhibitor</t>
  </si>
  <si>
    <t>jetée trop vieux</t>
  </si>
  <si>
    <t>17PR0018+17PR0138</t>
  </si>
  <si>
    <t>YES</t>
  </si>
  <si>
    <t>SGE-00516-07-A</t>
  </si>
  <si>
    <t>17PR0143</t>
  </si>
  <si>
    <t>SGE-00334-02-A</t>
  </si>
  <si>
    <t>#3024909-1</t>
  </si>
  <si>
    <t xml:space="preserve"> #3024909-2</t>
  </si>
  <si>
    <t/>
  </si>
  <si>
    <t>#3024909-3</t>
  </si>
  <si>
    <t>SGE-00109-01-A</t>
  </si>
  <si>
    <t>#3024909-4</t>
  </si>
  <si>
    <t>SGE-00112-08-A</t>
  </si>
  <si>
    <t>APN12514-7-14</t>
  </si>
  <si>
    <t>ab120325</t>
  </si>
  <si>
    <t>69308-37-8</t>
  </si>
  <si>
    <t>33A/155298</t>
  </si>
  <si>
    <t>0114</t>
  </si>
  <si>
    <t>Stock Cell rentré le 04/12/17</t>
  </si>
  <si>
    <t>( R ) -Baclofen</t>
  </si>
  <si>
    <t>H2O mQ up to 50 mM and in 1 eq. NaOH to 100 mM</t>
  </si>
  <si>
    <t xml:space="preserve">( E ) - Capsaicin </t>
  </si>
  <si>
    <t>6B/138422</t>
  </si>
  <si>
    <t>0462</t>
  </si>
  <si>
    <t>DMSO or ethanol to 50 mM</t>
  </si>
  <si>
    <t>stock Cell rentré le 04/12/17</t>
  </si>
  <si>
    <t>Agonist for nicotinic and muscarinic acetylcholine receptors</t>
  </si>
  <si>
    <t>H2O mQ to 100 mg/mL</t>
  </si>
  <si>
    <t>BCBV5862</t>
  </si>
  <si>
    <t>99,9%</t>
  </si>
  <si>
    <t>Treeway</t>
  </si>
  <si>
    <t>RDC-05225-01-02</t>
  </si>
  <si>
    <t>300.58 mg</t>
  </si>
  <si>
    <t>TREEWAY</t>
  </si>
  <si>
    <t>142312-62-1</t>
  </si>
  <si>
    <t>SLBR3960V</t>
  </si>
  <si>
    <t>NNC-711</t>
  </si>
  <si>
    <t>SGE-00550-09-A</t>
  </si>
  <si>
    <t>17PR0129</t>
  </si>
  <si>
    <t>N-Acetyl-L-Cysteine</t>
  </si>
  <si>
    <t>BCBW1164</t>
  </si>
  <si>
    <t>WXBC2104V</t>
  </si>
  <si>
    <t>A7250</t>
  </si>
  <si>
    <t>616-91-1</t>
  </si>
  <si>
    <t>H2O to 1g/mL</t>
  </si>
  <si>
    <t>H2O mQ to 100mg/mL (with heating)</t>
  </si>
  <si>
    <t>201, 402 µL</t>
  </si>
  <si>
    <t>15, 500 µL</t>
  </si>
  <si>
    <t>No</t>
  </si>
  <si>
    <t>10.46 mg</t>
  </si>
  <si>
    <t>0.5806 mL</t>
  </si>
  <si>
    <t>HSA/RTA</t>
  </si>
  <si>
    <t>18.30 mg</t>
  </si>
  <si>
    <t>0.5164 mL</t>
  </si>
  <si>
    <t>13.8 mg</t>
  </si>
  <si>
    <t>766 µL</t>
  </si>
  <si>
    <t>Cholinergic acid</t>
  </si>
  <si>
    <t>39.2 mg</t>
  </si>
  <si>
    <t>1.101 mL</t>
  </si>
  <si>
    <t>1.095 mL</t>
  </si>
  <si>
    <t>18.2 mg</t>
  </si>
  <si>
    <t>3.868 mL</t>
  </si>
  <si>
    <t>17REF202</t>
  </si>
  <si>
    <t>Acétylcholine chloride</t>
  </si>
  <si>
    <t>17RD0040</t>
  </si>
  <si>
    <t>17SAM248</t>
  </si>
  <si>
    <t>21.7 mg</t>
  </si>
  <si>
    <t>4.903 mL</t>
  </si>
  <si>
    <t>Emergent</t>
  </si>
  <si>
    <t>GC-205</t>
  </si>
  <si>
    <t>GC-72K</t>
  </si>
  <si>
    <t>GC-205 HCL Salt (SUT-MA1709-41)</t>
  </si>
  <si>
    <t>GC-72K (CRO-K-4-1)</t>
  </si>
  <si>
    <t>SEB-PO1605-52</t>
  </si>
  <si>
    <t>43.8 mg</t>
  </si>
  <si>
    <t>up to 30 mM in DMSO (instructions in CHF 17PR0042)</t>
  </si>
  <si>
    <t>VAK-AB-168-1</t>
  </si>
  <si>
    <t>42.7 mg</t>
  </si>
  <si>
    <t>17REF215</t>
  </si>
  <si>
    <t>urethane</t>
  </si>
  <si>
    <t>7 g</t>
  </si>
  <si>
    <t>17PR0131</t>
  </si>
  <si>
    <t>17SAM242</t>
  </si>
  <si>
    <t>9.9mM</t>
  </si>
  <si>
    <t>11.28mg</t>
  </si>
  <si>
    <t>2.915mL</t>
  </si>
  <si>
    <t>17SAM251</t>
  </si>
  <si>
    <t>17SAM252</t>
  </si>
  <si>
    <t>17REF0174</t>
  </si>
  <si>
    <t>47.75 mg</t>
  </si>
  <si>
    <t>7.4796 mL</t>
  </si>
  <si>
    <t>VGA / PCH</t>
  </si>
  <si>
    <t>2.56 mg</t>
  </si>
  <si>
    <t>217µL</t>
  </si>
  <si>
    <t>2.42 mg</t>
  </si>
  <si>
    <t>17PR0042</t>
  </si>
  <si>
    <t>pb solubilisation</t>
  </si>
  <si>
    <t>22.3 mg</t>
  </si>
  <si>
    <t>1.892 ml</t>
  </si>
  <si>
    <t>21.29 mg</t>
  </si>
  <si>
    <t>5.313 mL</t>
  </si>
  <si>
    <t>17REF048</t>
  </si>
  <si>
    <t>kynurenic acid</t>
  </si>
  <si>
    <t>18RD0003</t>
  </si>
  <si>
    <t>17REF049</t>
  </si>
  <si>
    <t>36.2 mg</t>
  </si>
  <si>
    <t>D-aCSF</t>
  </si>
  <si>
    <t>887 µl</t>
  </si>
  <si>
    <t>1011 µL</t>
  </si>
  <si>
    <t>17REF223</t>
  </si>
  <si>
    <t>26.07 mg</t>
  </si>
  <si>
    <t>5.029 ml</t>
  </si>
  <si>
    <t>17PR0117</t>
  </si>
  <si>
    <t>15.2 mg</t>
  </si>
  <si>
    <t>12.5 mg</t>
  </si>
  <si>
    <t>1.290 mL</t>
  </si>
  <si>
    <t>2.036 mL</t>
  </si>
  <si>
    <t>ok MAJ 17/01/18 MGL</t>
  </si>
  <si>
    <t>17SAM221</t>
  </si>
  <si>
    <t>3.573 mL</t>
  </si>
  <si>
    <t>17PR0105</t>
  </si>
  <si>
    <t>4.830 mL</t>
  </si>
  <si>
    <t>17REF250</t>
  </si>
  <si>
    <t>A sortir de la database</t>
  </si>
  <si>
    <t>17REF216</t>
  </si>
  <si>
    <t>17REF211</t>
  </si>
  <si>
    <t>17REF193</t>
  </si>
  <si>
    <t>Fini le 15/01/2018</t>
  </si>
  <si>
    <t>17REF178</t>
  </si>
  <si>
    <t>7.542 mL</t>
  </si>
  <si>
    <t>&gt;95 %</t>
  </si>
  <si>
    <t>&gt; 95%</t>
  </si>
  <si>
    <t>SLBW2890</t>
  </si>
  <si>
    <t>Cesium fluoride</t>
  </si>
  <si>
    <t>STBG7361</t>
  </si>
  <si>
    <t>13400-13-0</t>
  </si>
  <si>
    <t>MKBX6613V</t>
  </si>
  <si>
    <t>SLBS9388</t>
  </si>
  <si>
    <t>P5655</t>
  </si>
  <si>
    <t>7778-77-0</t>
  </si>
  <si>
    <t>SLBS0301V</t>
  </si>
  <si>
    <t>N-Methyl-D-glucamine (NMDG)</t>
  </si>
  <si>
    <t>BCBW0722</t>
  </si>
  <si>
    <t>17REF038</t>
  </si>
  <si>
    <t>1.240 mL</t>
  </si>
  <si>
    <t>17PR0147</t>
  </si>
  <si>
    <t>17REF209</t>
  </si>
  <si>
    <t>trans ferulic acid</t>
  </si>
  <si>
    <t>1, 390 mL</t>
  </si>
  <si>
    <t>148 mg</t>
  </si>
  <si>
    <t>Buprenorphine hydrochloride</t>
  </si>
  <si>
    <t>SLBR2034V</t>
  </si>
  <si>
    <t>B9275</t>
  </si>
  <si>
    <t>53152-21-9</t>
  </si>
  <si>
    <t>Oxycodone hydrochloride</t>
  </si>
  <si>
    <t>SLBT8952</t>
  </si>
  <si>
    <t>O1378</t>
  </si>
  <si>
    <t>124-90-3</t>
  </si>
  <si>
    <t>Fentanyl citrate salt</t>
  </si>
  <si>
    <t>SLBQ7077V</t>
  </si>
  <si>
    <t>F3886</t>
  </si>
  <si>
    <t>990-73-8</t>
  </si>
  <si>
    <t>40.3 mg</t>
  </si>
  <si>
    <t>43 mg</t>
  </si>
  <si>
    <t>38.02 mg</t>
  </si>
  <si>
    <t>1.0323 mL</t>
  </si>
  <si>
    <t>17SAM132</t>
  </si>
  <si>
    <t>8.649 mL</t>
  </si>
  <si>
    <t>1.81 mg</t>
  </si>
  <si>
    <t>18SAM017</t>
  </si>
  <si>
    <t>18SAM018</t>
  </si>
  <si>
    <t>14.3 mg</t>
  </si>
  <si>
    <t>16.4 mg</t>
  </si>
  <si>
    <t>1.223 mL</t>
  </si>
  <si>
    <t>2.671 mL</t>
  </si>
  <si>
    <t>4.527 mL</t>
  </si>
  <si>
    <t>Choline bicarbonate</t>
  </si>
  <si>
    <t>C7519</t>
  </si>
  <si>
    <t>78-73-9</t>
  </si>
  <si>
    <t>250 ml</t>
  </si>
  <si>
    <t>Ethyl pyruvate</t>
  </si>
  <si>
    <t>STBG6563</t>
  </si>
  <si>
    <t>E47808</t>
  </si>
  <si>
    <t>617-35-6</t>
  </si>
  <si>
    <t>Poly(ethylene glycol)</t>
  </si>
  <si>
    <t>BCBT4031</t>
  </si>
  <si>
    <t>25322-68-3</t>
  </si>
  <si>
    <t>ok MAJ 24/01/18 MGL</t>
  </si>
  <si>
    <t>11.2 mg</t>
  </si>
  <si>
    <t>1.824 mL</t>
  </si>
  <si>
    <t>Compound number</t>
  </si>
  <si>
    <t>Owner</t>
  </si>
  <si>
    <t>Compound name</t>
  </si>
  <si>
    <t>Open date</t>
  </si>
  <si>
    <t>Quote/Protocol</t>
  </si>
  <si>
    <t>16REF217</t>
  </si>
  <si>
    <t>Agarose</t>
  </si>
  <si>
    <t>17REF210</t>
  </si>
  <si>
    <t>Terg-a-zyme enzyme detergent</t>
  </si>
  <si>
    <t>MKCD7582</t>
  </si>
  <si>
    <t>Z273287</t>
  </si>
  <si>
    <t>1.8 kg</t>
  </si>
  <si>
    <t>ok MAJ 25/01/18 MGL</t>
  </si>
  <si>
    <t>1.1 mg</t>
  </si>
  <si>
    <t>1.08 mg</t>
  </si>
  <si>
    <t>5.256 mL</t>
  </si>
  <si>
    <t>5.16mL</t>
  </si>
  <si>
    <t>5.89 mg</t>
  </si>
  <si>
    <t>2.714 mL</t>
  </si>
  <si>
    <t>13REF043</t>
  </si>
  <si>
    <t>16.7 mg</t>
  </si>
  <si>
    <t>3.549 mL</t>
  </si>
  <si>
    <t>1.65 mg</t>
  </si>
  <si>
    <t>7.884 mL</t>
  </si>
  <si>
    <t>capsaicin</t>
  </si>
  <si>
    <t>11.6 mg</t>
  </si>
  <si>
    <t>5.339 mL</t>
  </si>
  <si>
    <t>Concentration (mM)</t>
  </si>
  <si>
    <t>Weight
(mg)</t>
  </si>
  <si>
    <t xml:space="preserve">Volume
(ml) </t>
  </si>
  <si>
    <t>450 µL</t>
  </si>
  <si>
    <t>3.101 mL</t>
  </si>
  <si>
    <t>Neurobasal medium</t>
  </si>
  <si>
    <t>500 ml</t>
  </si>
  <si>
    <t>20 ml</t>
  </si>
  <si>
    <t>A1895601</t>
  </si>
  <si>
    <t>B-27 supplement, minus insulin</t>
  </si>
  <si>
    <t>Protect from light</t>
  </si>
  <si>
    <t>10 ml</t>
  </si>
  <si>
    <t>Hepes buffer</t>
  </si>
  <si>
    <t>Trypsin (2.5%)</t>
  </si>
  <si>
    <t>Sodium pyruvate (100 mM)</t>
  </si>
  <si>
    <t>15REF0000</t>
  </si>
  <si>
    <t>Cpd name</t>
  </si>
  <si>
    <t>Example</t>
  </si>
  <si>
    <t>18RD0000</t>
  </si>
  <si>
    <t>ok MAJ 01/02/18 MGL</t>
  </si>
  <si>
    <t>02-A</t>
  </si>
  <si>
    <t>SGE-03152-04-A</t>
  </si>
  <si>
    <t>04-A</t>
  </si>
  <si>
    <t>Make fresh stock solution every week</t>
  </si>
  <si>
    <t>16REF253</t>
  </si>
  <si>
    <t>Jeté car Périmé</t>
  </si>
  <si>
    <t>16REF254</t>
  </si>
  <si>
    <t>16REF251</t>
  </si>
  <si>
    <t>16PR01155</t>
  </si>
  <si>
    <t>Yes</t>
  </si>
  <si>
    <t>18REF026</t>
  </si>
  <si>
    <t>Penicilin Streptomycin</t>
  </si>
  <si>
    <t>Totalement Aliquoté</t>
  </si>
  <si>
    <t>18REF029</t>
  </si>
  <si>
    <t>Trypsin  2,5%</t>
  </si>
  <si>
    <t>18REF027</t>
  </si>
  <si>
    <t>B27 Minus Insulin</t>
  </si>
  <si>
    <t>18REF030</t>
  </si>
  <si>
    <t>17REF130</t>
  </si>
  <si>
    <t>18REF028</t>
  </si>
  <si>
    <t>Ouvert_doit sortir de la database</t>
  </si>
  <si>
    <t>17REF238</t>
  </si>
  <si>
    <t>17PR084</t>
  </si>
  <si>
    <t>17REF052</t>
  </si>
  <si>
    <t>Totalement Aliquoté à 1mg/ml</t>
  </si>
  <si>
    <t>16REF136</t>
  </si>
  <si>
    <t>Bovine Serum Albumine</t>
  </si>
  <si>
    <t>Aliquoté à 4% dans du L15 medium</t>
  </si>
  <si>
    <t>18REF023</t>
  </si>
  <si>
    <t>Neurobasal Medium</t>
  </si>
  <si>
    <t>L15 medium</t>
  </si>
  <si>
    <t>Arrivé aujourd'hui, j'ai  pas encore le numéro +  Ouvert_doit sortir de la database</t>
  </si>
  <si>
    <t>18SAM031</t>
  </si>
  <si>
    <t>18SAM032</t>
  </si>
  <si>
    <t>SGE-02817</t>
  </si>
  <si>
    <t>SGE-03152</t>
  </si>
  <si>
    <t>MGL</t>
  </si>
  <si>
    <t>Collagenase</t>
  </si>
  <si>
    <t>Dispase</t>
  </si>
  <si>
    <t>L-15 medium</t>
  </si>
  <si>
    <t>HBSS (10X)</t>
  </si>
  <si>
    <t>BSA</t>
  </si>
  <si>
    <t>Deoxyribonuclease</t>
  </si>
  <si>
    <t>SLBV1446</t>
  </si>
  <si>
    <t>097M4084V</t>
  </si>
  <si>
    <t>Adenosine 5''-Triphosphate magnesium</t>
  </si>
  <si>
    <t>Choline chloride</t>
  </si>
  <si>
    <t>WXBC4028V</t>
  </si>
  <si>
    <t>SLBR2781V</t>
  </si>
  <si>
    <t>BCBR5145V</t>
  </si>
  <si>
    <t>SLBV1698</t>
  </si>
  <si>
    <t>A9187</t>
  </si>
  <si>
    <t>74804-12-9</t>
  </si>
  <si>
    <t>C7527</t>
  </si>
  <si>
    <t>67-48-1</t>
  </si>
  <si>
    <t>sage</t>
  </si>
  <si>
    <t>B27 supplement</t>
  </si>
  <si>
    <t>A 803467</t>
  </si>
  <si>
    <t>APN08176-2-6</t>
  </si>
  <si>
    <t>ab120282</t>
  </si>
  <si>
    <t>944261-79-4</t>
  </si>
  <si>
    <t>Kynurenic acid sodium salt</t>
  </si>
  <si>
    <t>E0505-1-1</t>
  </si>
  <si>
    <t>HB0363</t>
  </si>
  <si>
    <t>2439-02-3</t>
  </si>
  <si>
    <t>E0368-3-2</t>
  </si>
  <si>
    <t>HB0205</t>
  </si>
  <si>
    <t>18REF046</t>
  </si>
  <si>
    <t>up to 100 mM DMSO</t>
  </si>
  <si>
    <t>17REF240</t>
  </si>
  <si>
    <t>18PR0012</t>
  </si>
  <si>
    <t>17REF059</t>
  </si>
  <si>
    <t>L-Glutamine 200 mM</t>
  </si>
  <si>
    <t>17REF060</t>
  </si>
  <si>
    <t>HBSS 50X</t>
  </si>
  <si>
    <t>18REF037</t>
  </si>
  <si>
    <t>18REF036</t>
  </si>
  <si>
    <t>16REF089</t>
  </si>
  <si>
    <t>Laminine</t>
  </si>
  <si>
    <t>17REF057</t>
  </si>
  <si>
    <t>18REF040</t>
  </si>
  <si>
    <t>E0253-4-5</t>
  </si>
  <si>
    <t>HB0442</t>
  </si>
  <si>
    <t>up to 100 mM in DMSO</t>
  </si>
  <si>
    <t>E0495-3-8</t>
  </si>
  <si>
    <t>HB0225</t>
  </si>
  <si>
    <t>SLBV6959</t>
  </si>
  <si>
    <t>MAJ Database 
14.Fev.18 MGL</t>
  </si>
  <si>
    <t>18PR0008</t>
  </si>
  <si>
    <t>18REF038</t>
  </si>
  <si>
    <t>ok MAJ 14/02/18 MGL</t>
  </si>
  <si>
    <t>Cloturée le 14 février 2018 par MGL</t>
  </si>
  <si>
    <t>KYNURENIC ACID</t>
  </si>
  <si>
    <t>18REF054</t>
  </si>
  <si>
    <t>18REF005</t>
  </si>
  <si>
    <t>Intra CsF</t>
  </si>
  <si>
    <t>17PR0142</t>
  </si>
  <si>
    <t>15SAM033</t>
  </si>
  <si>
    <t>Roche</t>
  </si>
  <si>
    <t>PTX</t>
  </si>
  <si>
    <t>17REF218</t>
  </si>
  <si>
    <t>quantité restante faible</t>
  </si>
  <si>
    <t>PATCH / MEA</t>
  </si>
  <si>
    <t>17SAM0207</t>
  </si>
  <si>
    <t>MSD-473667650</t>
  </si>
  <si>
    <t>5.7 mg</t>
  </si>
  <si>
    <t>18SAM056</t>
  </si>
  <si>
    <t>fini 18SAM031, complété avec celui-ci</t>
  </si>
  <si>
    <t>18REF052</t>
  </si>
  <si>
    <t>18SAM058</t>
  </si>
  <si>
    <t>16REF0182</t>
  </si>
  <si>
    <t>Non noté</t>
  </si>
  <si>
    <t>17REF205</t>
  </si>
  <si>
    <t>Pour compléter le 16REF0182 fini</t>
  </si>
  <si>
    <t>18REF001</t>
  </si>
  <si>
    <t>18REF002</t>
  </si>
  <si>
    <t>18REF007</t>
  </si>
  <si>
    <t>Tetrodotoxin (TTX)</t>
  </si>
  <si>
    <t>MAJ Database 
01.Mar.18 HSA</t>
  </si>
  <si>
    <t>18REF015</t>
  </si>
  <si>
    <t>Alkermes</t>
  </si>
  <si>
    <t>Oxycodone hydrochloride C-II</t>
  </si>
  <si>
    <t>18PR0005</t>
  </si>
  <si>
    <t>Biogen</t>
  </si>
  <si>
    <t>BIO-0877099-02</t>
  </si>
  <si>
    <t>BIO-1772733-03</t>
  </si>
  <si>
    <t>BIO-1411318-04</t>
  </si>
  <si>
    <t>BIO-0102380-07</t>
  </si>
  <si>
    <t>C19H16ClNO4</t>
  </si>
  <si>
    <t>C20H21F3N4O.H2O4S</t>
  </si>
  <si>
    <t>C18H19FN2O2.ClH</t>
  </si>
  <si>
    <t>C15H12N2O</t>
  </si>
  <si>
    <t>2.64 mg</t>
  </si>
  <si>
    <t>3.3 mg</t>
  </si>
  <si>
    <t>3.72 mg</t>
  </si>
  <si>
    <t>3.4 mg</t>
  </si>
  <si>
    <t>29-Janv-18</t>
  </si>
  <si>
    <t>17PR0085</t>
  </si>
  <si>
    <t>Fentanyl</t>
  </si>
  <si>
    <t>18REF016</t>
  </si>
  <si>
    <t>17SAM0182</t>
  </si>
  <si>
    <t>MAJ Database 
07.Mar.18 HSA</t>
  </si>
  <si>
    <t>18SAM062</t>
  </si>
  <si>
    <t>18SAM063</t>
  </si>
  <si>
    <t>18SAM064</t>
  </si>
  <si>
    <t>18SAM065</t>
  </si>
  <si>
    <t>MAJ Database 
08.Mar.18 HSA</t>
  </si>
  <si>
    <t>18REF009</t>
  </si>
  <si>
    <t>18REF010</t>
  </si>
  <si>
    <t>Agarose low gelling temperature</t>
  </si>
  <si>
    <t>Guanosine 5'-triphosphate sodium</t>
  </si>
  <si>
    <t>WXBC5687V</t>
  </si>
  <si>
    <t>619-91-1</t>
  </si>
  <si>
    <t>SLBV6923</t>
  </si>
  <si>
    <t>H2O mQ to 500mg/mL</t>
  </si>
  <si>
    <t>H2O mQ to 50 mg/mL</t>
  </si>
  <si>
    <t>SLBQ4086V</t>
  </si>
  <si>
    <t xml:space="preserve">H2O mQ to 100mg/mL </t>
  </si>
  <si>
    <t>MKCD4583</t>
  </si>
  <si>
    <t>7.16 mg</t>
  </si>
  <si>
    <t>SGE-03152-03-A</t>
  </si>
  <si>
    <t>03-A</t>
  </si>
  <si>
    <t>17REF037</t>
  </si>
  <si>
    <t>18REF067</t>
  </si>
  <si>
    <t>2 tubes terminés sur une boite de 5 tubes (teste 3 tubes)</t>
  </si>
  <si>
    <t>Ouverture bouteille</t>
  </si>
  <si>
    <t>17REF055</t>
  </si>
  <si>
    <t>17REF054</t>
  </si>
  <si>
    <t>Bouteille finie</t>
  </si>
  <si>
    <t>18SAM075</t>
  </si>
  <si>
    <t>18PR0021</t>
  </si>
  <si>
    <t>18SAM074</t>
  </si>
  <si>
    <t>up to 100 mM H2O mQ</t>
  </si>
  <si>
    <t>MAJ Database 
21.Mar.18 HSA</t>
  </si>
  <si>
    <t>Tetraethylammonium chloride (TEA-Cl)</t>
  </si>
  <si>
    <t>Bloqueur des cannaux K+</t>
  </si>
  <si>
    <t>N-Acetyl-L-Cysteine (NAC)</t>
  </si>
  <si>
    <t>Brinj</t>
  </si>
  <si>
    <t>Aβ 1-40</t>
  </si>
  <si>
    <t>0.1 mg</t>
  </si>
  <si>
    <t>1 mg/mL in DMSO</t>
  </si>
  <si>
    <t xml:space="preserve">Peptide 1-19 </t>
  </si>
  <si>
    <t>93921880001/PE6086</t>
  </si>
  <si>
    <t>93921880003/PE6088</t>
  </si>
  <si>
    <t>Peptide 20-40</t>
  </si>
  <si>
    <t>18SAM081</t>
  </si>
  <si>
    <t>18SAM082</t>
  </si>
  <si>
    <t>18SAM083</t>
  </si>
  <si>
    <t>BRINJ</t>
  </si>
  <si>
    <t>Abeta 1-40</t>
  </si>
  <si>
    <t>Abeta 20-40</t>
  </si>
  <si>
    <t>Abeta 1-19</t>
  </si>
  <si>
    <t>17PR0152</t>
  </si>
  <si>
    <t>18PR0011</t>
  </si>
  <si>
    <t>16SAM135</t>
  </si>
  <si>
    <t>17REF237</t>
  </si>
  <si>
    <t>carbachol</t>
  </si>
  <si>
    <t>18PR0026</t>
  </si>
  <si>
    <t>18REF079</t>
  </si>
  <si>
    <t>TEA-Cl</t>
  </si>
  <si>
    <t>Vertex</t>
  </si>
  <si>
    <t>Orexin A (humain, rate, mouse)</t>
  </si>
  <si>
    <t>205640-90-0</t>
  </si>
  <si>
    <t>500 µg</t>
  </si>
  <si>
    <t>Endogenous agonist at orexin receptors</t>
  </si>
  <si>
    <t>Orexin B (humain)</t>
  </si>
  <si>
    <t>205640-91-1</t>
  </si>
  <si>
    <t>Light sensitive/less stable in solution</t>
  </si>
  <si>
    <t>less stable in solution</t>
  </si>
  <si>
    <t>Astellas</t>
  </si>
  <si>
    <t>ARIA-01</t>
  </si>
  <si>
    <t>ARIA-02</t>
  </si>
  <si>
    <t>2.46 mg</t>
  </si>
  <si>
    <t>14B</t>
  </si>
  <si>
    <t>18SAM084</t>
  </si>
  <si>
    <t>18SAM085</t>
  </si>
  <si>
    <t>Orexine A</t>
  </si>
  <si>
    <t>18PR0028</t>
  </si>
  <si>
    <t>18SAM087</t>
  </si>
  <si>
    <t>18SAM088</t>
  </si>
  <si>
    <t>Orexine B</t>
  </si>
  <si>
    <t>13REF041</t>
  </si>
  <si>
    <t>18SAM089</t>
  </si>
  <si>
    <t>Aria-01</t>
  </si>
  <si>
    <t>18SAM090</t>
  </si>
  <si>
    <t>Aria-02</t>
  </si>
  <si>
    <t>RDC-58603-01-03</t>
  </si>
  <si>
    <t>30.21 mg</t>
  </si>
  <si>
    <t>30.17 mg</t>
  </si>
  <si>
    <t>RDC-58669-08-02</t>
  </si>
  <si>
    <t>RDC-10291-01-05</t>
  </si>
  <si>
    <t>30.14 mg</t>
  </si>
  <si>
    <t>RDC-10003-08-03</t>
  </si>
  <si>
    <t>30.08 mg</t>
  </si>
  <si>
    <t>18SAM092</t>
  </si>
  <si>
    <t>18PR0017</t>
  </si>
  <si>
    <t>18SAM093</t>
  </si>
  <si>
    <t>18SAM094</t>
  </si>
  <si>
    <t>18SAM095</t>
  </si>
  <si>
    <t>17REF0178</t>
  </si>
  <si>
    <t>(+)-Sodium L-ascorbate</t>
  </si>
  <si>
    <t>17REF0037</t>
  </si>
  <si>
    <t xml:space="preserve">TTX </t>
  </si>
  <si>
    <t>17REF243</t>
  </si>
  <si>
    <t>Sodium Puryvate</t>
  </si>
  <si>
    <t>All</t>
  </si>
  <si>
    <t>3384355#2</t>
  </si>
  <si>
    <t>(124916-22-11)</t>
  </si>
  <si>
    <t>10.6 mg</t>
  </si>
  <si>
    <t>3141488#4</t>
  </si>
  <si>
    <t>Barcode: 1700274190</t>
  </si>
  <si>
    <t>312351/312352</t>
  </si>
  <si>
    <t>2.28 mg</t>
  </si>
  <si>
    <t>18PR0015</t>
  </si>
  <si>
    <t>17SAM0192</t>
  </si>
  <si>
    <t>CNQX</t>
  </si>
  <si>
    <t>0.8 mg</t>
  </si>
  <si>
    <t>0.82 mg</t>
  </si>
  <si>
    <t>Barcode: 210013408</t>
  </si>
  <si>
    <t>Barcode: AAA019829</t>
  </si>
  <si>
    <t>Barcode: 210005514</t>
  </si>
  <si>
    <t>Barcode: 210000484</t>
  </si>
  <si>
    <t>Barcode: 210007224</t>
  </si>
  <si>
    <t>Barcode 210005514</t>
  </si>
  <si>
    <t>Ord#3032907-1</t>
  </si>
  <si>
    <t>18PR0034</t>
  </si>
  <si>
    <t>Make fresh stock solution every week and dilution in aCSF 0.01% CrEL</t>
  </si>
  <si>
    <t>18SAM0098</t>
  </si>
  <si>
    <t>18REF0077</t>
  </si>
  <si>
    <t>treeway</t>
  </si>
  <si>
    <t>MAJ Database 
17.Avr.18 HSA</t>
  </si>
  <si>
    <t>Nous avons suivi les instructions du client, nous n'avons pas tenu compte de la purté</t>
  </si>
  <si>
    <t>Cloturée le 17 Avril 2018 par HSA</t>
  </si>
  <si>
    <t>17REF245</t>
  </si>
  <si>
    <t>18PR0051</t>
  </si>
  <si>
    <t>89,09</t>
  </si>
  <si>
    <t>1,034</t>
  </si>
  <si>
    <t>320mg/mL</t>
  </si>
  <si>
    <t xml:space="preserve">3,231 </t>
  </si>
  <si>
    <t>SGE-03171-02-A</t>
  </si>
  <si>
    <t>SGE-02765-03-A</t>
  </si>
  <si>
    <t>Ord#3033528-2</t>
  </si>
  <si>
    <t>AAB011748</t>
  </si>
  <si>
    <t>AAA064365</t>
  </si>
  <si>
    <t>7.8 mg</t>
  </si>
  <si>
    <t>3 mM in DMSO</t>
  </si>
  <si>
    <t>il va falloir racler le verre !</t>
  </si>
  <si>
    <t>18SAM0100</t>
  </si>
  <si>
    <t>18REF101</t>
  </si>
  <si>
    <t>Patch / MEA</t>
  </si>
  <si>
    <t xml:space="preserve">Pas dissout, essai à 5 mM, toujours pas. Dissous à 2 mM après chauffage (45°C )+ sonication </t>
  </si>
  <si>
    <t>17SAM045</t>
  </si>
  <si>
    <t>MAJ Database 26 Apr 18 HSA</t>
  </si>
  <si>
    <t>17SAM235</t>
  </si>
  <si>
    <t>18RD0055</t>
  </si>
  <si>
    <t>18REF078</t>
  </si>
  <si>
    <t>MAJ Database 27 Apr 18 HSA</t>
  </si>
  <si>
    <t>15.45  mg</t>
  </si>
  <si>
    <t>21.74 mg</t>
  </si>
  <si>
    <t>21.36 mg</t>
  </si>
  <si>
    <t>18SAM0099</t>
  </si>
  <si>
    <t>dissout à 10 mM avec sonication et chauffage (bain marie)</t>
  </si>
  <si>
    <t>reste environ 2 mg</t>
  </si>
  <si>
    <t>3,031</t>
  </si>
  <si>
    <t>Servier</t>
  </si>
  <si>
    <t>A17GPO161A</t>
  </si>
  <si>
    <t>17PR0046</t>
  </si>
  <si>
    <t>18SAM0103</t>
  </si>
  <si>
    <t>BIOGEN</t>
  </si>
  <si>
    <t>16SAM035</t>
  </si>
  <si>
    <t>Pierre Fabre</t>
  </si>
  <si>
    <t>18SAM096</t>
  </si>
  <si>
    <t>18PR0001</t>
  </si>
  <si>
    <t>8 aliquots pour old rats (et culture Biogen)</t>
  </si>
  <si>
    <t>17REF0247</t>
  </si>
  <si>
    <t>18SAM086</t>
  </si>
  <si>
    <t>18SAM0107</t>
  </si>
  <si>
    <t>18SAM0108</t>
  </si>
  <si>
    <t>18SAM0109</t>
  </si>
  <si>
    <t>Pot fini à sortir de la database</t>
  </si>
  <si>
    <t xml:space="preserve">Pot ouvert </t>
  </si>
  <si>
    <t>18REF080</t>
  </si>
  <si>
    <t>18REF068</t>
  </si>
  <si>
    <t>13REF036</t>
  </si>
  <si>
    <t>25-Jui-13</t>
  </si>
  <si>
    <t>3387782#1</t>
  </si>
  <si>
    <t>order: 318206/318207</t>
  </si>
  <si>
    <t>Barcode: 0302892488</t>
  </si>
  <si>
    <t>13.49 mg</t>
  </si>
  <si>
    <t>9.7 mg</t>
  </si>
  <si>
    <t>18SAM0110</t>
  </si>
  <si>
    <t>15REF020</t>
  </si>
  <si>
    <t>Problème de dissution: 2 mM après chauffage (45°C) et sonication</t>
  </si>
  <si>
    <t>10 mM in DMSO (avec chauffage BM et sonication)</t>
  </si>
  <si>
    <t>MAJ Database 17 May 18 HSA</t>
  </si>
  <si>
    <t>Cloturée le 12.Avril.2018 HSA</t>
  </si>
  <si>
    <t>Cloturée le 17 May 2018 HSA</t>
  </si>
  <si>
    <t>18/05/2018</t>
  </si>
  <si>
    <t>18SAM097</t>
  </si>
  <si>
    <t>18SAM111</t>
  </si>
  <si>
    <t>5/18/2018*</t>
  </si>
  <si>
    <t>18SAM112</t>
  </si>
  <si>
    <t>18SAM113</t>
  </si>
  <si>
    <t>18SAM114</t>
  </si>
  <si>
    <t>18SAM115</t>
  </si>
  <si>
    <t>18REF003</t>
  </si>
  <si>
    <t>3386645#2</t>
  </si>
  <si>
    <t>E0408-1-4</t>
  </si>
  <si>
    <t>HB0355</t>
  </si>
  <si>
    <t>11REF021</t>
  </si>
  <si>
    <t>MAJ Database 22 Mai 18 HSA</t>
  </si>
  <si>
    <t>Bicuculline methiodide</t>
  </si>
  <si>
    <t>E0251-1-4</t>
  </si>
  <si>
    <t>HB0893</t>
  </si>
  <si>
    <t>20 mM in H2O mQ or 50 mM in DMSO</t>
  </si>
  <si>
    <t>MJA</t>
  </si>
  <si>
    <t>18REF119</t>
  </si>
  <si>
    <t>Jeté date d’ouverture trop vieille</t>
  </si>
  <si>
    <t>suvorexant (code Bar: 850502125)</t>
  </si>
  <si>
    <t>V-18-000329</t>
  </si>
  <si>
    <t>20.05 mg</t>
  </si>
  <si>
    <t>molecule 1 (code Bar:850469368)</t>
  </si>
  <si>
    <t>V-18-000301</t>
  </si>
  <si>
    <t>25.8 mg</t>
  </si>
  <si>
    <t>Ord#3036662-1</t>
  </si>
  <si>
    <t>18PR0056</t>
  </si>
  <si>
    <t>dilution in aCSF 0.01% CrEL</t>
  </si>
  <si>
    <t>18SAM125</t>
  </si>
  <si>
    <t>Molecule 1</t>
  </si>
  <si>
    <t>Suvorexant</t>
  </si>
  <si>
    <t>18SAM0124</t>
  </si>
  <si>
    <t>WXBC5588V</t>
  </si>
  <si>
    <t>SLBS5578</t>
  </si>
  <si>
    <t>myo-inositol</t>
  </si>
  <si>
    <t>SLBR5805V</t>
  </si>
  <si>
    <t>18SAM0118</t>
  </si>
  <si>
    <t>I5125</t>
  </si>
  <si>
    <t>87-89-8</t>
  </si>
  <si>
    <t>059K1526</t>
  </si>
  <si>
    <t>CNQKX disodium salt</t>
  </si>
  <si>
    <t>18PR011</t>
  </si>
  <si>
    <t>18REF051</t>
  </si>
  <si>
    <t>18REF020</t>
  </si>
  <si>
    <t>Ethyl-Pyruvate</t>
  </si>
  <si>
    <t>18REF0137</t>
  </si>
  <si>
    <t>18SAM0104</t>
  </si>
  <si>
    <t>18SAM0105</t>
  </si>
  <si>
    <t>SLBW8302</t>
  </si>
  <si>
    <t>non-selective antagonist at NMDA and AMPA/kainate receptors</t>
  </si>
  <si>
    <t>18REF055</t>
  </si>
  <si>
    <t>18REF141</t>
  </si>
  <si>
    <t>18PR0046</t>
  </si>
  <si>
    <t>.-</t>
  </si>
  <si>
    <t>18SAM106</t>
  </si>
  <si>
    <t>17REF0131</t>
  </si>
  <si>
    <t>Picrotoxine</t>
  </si>
  <si>
    <t>SLBT6919</t>
  </si>
  <si>
    <t>20 mM in H2O Mq</t>
  </si>
  <si>
    <t>17REF0215</t>
  </si>
  <si>
    <t>18REF144</t>
  </si>
  <si>
    <t>Myo-inositol</t>
  </si>
  <si>
    <t>18PR0046/18PR0011</t>
  </si>
  <si>
    <t>18REF145</t>
  </si>
  <si>
    <t>MAJ Database 05 Jun 18 HSA</t>
  </si>
  <si>
    <t>18REF048</t>
  </si>
  <si>
    <t>150 mg</t>
  </si>
  <si>
    <t>15REF044</t>
  </si>
  <si>
    <t>Jeté date d'ouverture trop vieille</t>
  </si>
  <si>
    <t>MAJ Database 07 Jun 18 HSA</t>
  </si>
  <si>
    <t>Cloturé le 7 juin 2018 par HSA</t>
  </si>
  <si>
    <t>18REF0119</t>
  </si>
  <si>
    <t>kainate</t>
  </si>
  <si>
    <t>RO7171680-000-006</t>
  </si>
  <si>
    <t>DBA0153178</t>
  </si>
  <si>
    <t>10.03 mg</t>
  </si>
  <si>
    <t>16SAM142</t>
  </si>
  <si>
    <t>17REF0167</t>
  </si>
  <si>
    <t>13SAM027</t>
  </si>
  <si>
    <t>17REF167</t>
  </si>
  <si>
    <t>MAJ Database 
13.Jun.18 HSA</t>
  </si>
  <si>
    <t>Mnemosyne</t>
  </si>
  <si>
    <t>18REF150</t>
  </si>
  <si>
    <t>E0714-4-2</t>
  </si>
  <si>
    <t>H2O mQ to 25 mM (chauffez légèrement)</t>
  </si>
  <si>
    <t>18REF102</t>
  </si>
  <si>
    <t>18SAM116</t>
  </si>
  <si>
    <t>Orexin A</t>
  </si>
  <si>
    <t>18PR0027</t>
  </si>
  <si>
    <t>18SAM149</t>
  </si>
  <si>
    <t>18REF156</t>
  </si>
  <si>
    <t>18REF0146</t>
  </si>
  <si>
    <t>18REF120</t>
  </si>
  <si>
    <t>Agar low melting</t>
  </si>
  <si>
    <t>18REF070</t>
  </si>
  <si>
    <t>SGE-03686-02-A</t>
  </si>
  <si>
    <t>Ord#3039862-1</t>
  </si>
  <si>
    <t>Barcode: AAB011528</t>
  </si>
  <si>
    <t>18PR0065</t>
  </si>
  <si>
    <t>SGE-03505-02-A</t>
  </si>
  <si>
    <t>Ord#3039862-2</t>
  </si>
  <si>
    <t>Barcode: AAA079995</t>
  </si>
  <si>
    <t>SGE-03170-03-A</t>
  </si>
  <si>
    <t>Ord#3039862-3</t>
  </si>
  <si>
    <t>Barcode: AAA028838</t>
  </si>
  <si>
    <t>SGE-03152-05-A</t>
  </si>
  <si>
    <t>Ord#3039862-4</t>
  </si>
  <si>
    <t>Barcode:210013377</t>
  </si>
  <si>
    <t>18SAM157</t>
  </si>
  <si>
    <t>18SAM162</t>
  </si>
  <si>
    <t>no</t>
  </si>
  <si>
    <t>18SAM158</t>
  </si>
  <si>
    <t>0000030847</t>
  </si>
  <si>
    <t>L8668</t>
  </si>
  <si>
    <t>18PR0041</t>
  </si>
  <si>
    <t>18SAM0106</t>
  </si>
  <si>
    <t>18REF121</t>
  </si>
  <si>
    <t>yes</t>
  </si>
  <si>
    <t>18REF163</t>
  </si>
  <si>
    <t>18REF123</t>
  </si>
  <si>
    <t>BAY-73-6691</t>
  </si>
  <si>
    <t>inhibiteur de la phosphodiesterase 9 (en preclinique pour traitement d'Alzheimer)</t>
  </si>
  <si>
    <t>089K4608V</t>
  </si>
  <si>
    <t>B3561</t>
  </si>
  <si>
    <t>794568-92-6</t>
  </si>
  <si>
    <t>&gt; 20 mg/ml DMO</t>
  </si>
  <si>
    <t>&gt; 5 mg/ml in H2O</t>
  </si>
  <si>
    <t>BCBJ9364V</t>
  </si>
  <si>
    <t>MAJ Database 
02.July.18 HSA</t>
  </si>
  <si>
    <t>MAJ Database 
04.July.18 HSA</t>
  </si>
  <si>
    <t>17SAM121</t>
  </si>
  <si>
    <t>17SAM227</t>
  </si>
  <si>
    <t>Solvant Jeté</t>
  </si>
  <si>
    <t>Cloturé le 04. juillet.2018 par HSA</t>
  </si>
  <si>
    <t>18SAM163</t>
  </si>
  <si>
    <t>16REF206</t>
  </si>
  <si>
    <t>Potassium D-Gluconate</t>
  </si>
  <si>
    <t>Presque vide</t>
  </si>
  <si>
    <t>18REF008</t>
  </si>
  <si>
    <t>Potassium phosphate monobasic</t>
  </si>
  <si>
    <t>100 g salle de pesée</t>
  </si>
  <si>
    <t>ANIMALERIE</t>
  </si>
  <si>
    <t>071M0262V</t>
  </si>
  <si>
    <t>ED</t>
  </si>
  <si>
    <t>60-00-4</t>
  </si>
  <si>
    <t>Ethylenediaminetetraacetic acid (EDTA)</t>
  </si>
  <si>
    <t>13REF045</t>
  </si>
  <si>
    <t>13REF046</t>
  </si>
  <si>
    <t>Trizma hydrochloride (TRIS-HCl)</t>
  </si>
  <si>
    <t>SLBC6004V</t>
  </si>
  <si>
    <t>T5941</t>
  </si>
  <si>
    <t>1185-53-1</t>
  </si>
  <si>
    <t>SLBF3343V</t>
  </si>
  <si>
    <t>500 g/l in H2O</t>
  </si>
  <si>
    <t>14REF049</t>
  </si>
  <si>
    <t>160 g/L in 3M NaOH</t>
  </si>
  <si>
    <t>4.23 mol/L in H2O</t>
  </si>
  <si>
    <t>rentré dans le stock le 07/07/2018</t>
  </si>
  <si>
    <t>rentré dans le stock le 05/07/2018</t>
  </si>
  <si>
    <t>13REF001</t>
  </si>
  <si>
    <t>Soduim L-Ascorbate</t>
  </si>
  <si>
    <t>Jeté, poudre ouverte depuis trop longtemps</t>
  </si>
  <si>
    <t>18REF006</t>
  </si>
  <si>
    <t>Cesium Methanesulfonate</t>
  </si>
  <si>
    <t>Intra CsMet 01</t>
  </si>
  <si>
    <t>16REF220</t>
  </si>
  <si>
    <t>17REF220</t>
  </si>
  <si>
    <t>18REF073</t>
  </si>
  <si>
    <t>Guanosine 5-triphosphate sodium</t>
  </si>
  <si>
    <t>18REF142</t>
  </si>
  <si>
    <t>18REF143</t>
  </si>
  <si>
    <t>17SAM114</t>
  </si>
  <si>
    <t>CGP55845</t>
  </si>
  <si>
    <t>Intra KGlu 01</t>
  </si>
  <si>
    <t>18REF059</t>
  </si>
  <si>
    <t>18SAM161</t>
  </si>
  <si>
    <t>17PR0153A</t>
  </si>
  <si>
    <t>17PR0153B</t>
  </si>
  <si>
    <t>17PR0153C</t>
  </si>
  <si>
    <t>17PR0153D</t>
  </si>
  <si>
    <t>20.39 mg</t>
  </si>
  <si>
    <t>20.25 mg</t>
  </si>
  <si>
    <t>17.67 mg</t>
  </si>
  <si>
    <t>2.68 mg</t>
  </si>
  <si>
    <t>10 mM DMSO</t>
  </si>
  <si>
    <t>10 mM DMSO (possible en H2O pour des concentrations basses)</t>
  </si>
  <si>
    <t>17PR0153</t>
  </si>
  <si>
    <t>18PR0002_A</t>
  </si>
  <si>
    <t>18PR0002_B</t>
  </si>
  <si>
    <t>37.95 mg</t>
  </si>
  <si>
    <t>30.37 mg</t>
  </si>
  <si>
    <t>18PR0002</t>
  </si>
  <si>
    <t>18REF122</t>
  </si>
  <si>
    <t>OPTOPATH</t>
  </si>
  <si>
    <t>SYR237041Z</t>
  </si>
  <si>
    <t>Barcode B0436613</t>
  </si>
  <si>
    <t>Barcode B0440213</t>
  </si>
  <si>
    <t>Barcode B0440439</t>
  </si>
  <si>
    <t>Barcode B0441099</t>
  </si>
  <si>
    <t>25.82 mg</t>
  </si>
  <si>
    <t>25.94 mg</t>
  </si>
  <si>
    <t>25.44 mg</t>
  </si>
  <si>
    <t>25.78 mg</t>
  </si>
  <si>
    <t>SYR237041 Takeda Proposal 56 Compound formulation Infos.xlsx</t>
  </si>
  <si>
    <t>18PR0059</t>
  </si>
  <si>
    <t>18REF132</t>
  </si>
  <si>
    <t>17REF179</t>
  </si>
  <si>
    <t>Envoyé le: 16.07.18</t>
  </si>
  <si>
    <t>Potassium D-gluconate</t>
  </si>
  <si>
    <t>Tween 80</t>
  </si>
  <si>
    <t>SLBW7267</t>
  </si>
  <si>
    <t>SLBT6311</t>
  </si>
  <si>
    <t>100 mg/mL in H2O mQ</t>
  </si>
  <si>
    <t>SLBT8131</t>
  </si>
  <si>
    <t>299.27-4</t>
  </si>
  <si>
    <t>BCBW9985</t>
  </si>
  <si>
    <t>P1754</t>
  </si>
  <si>
    <t>9005-65-6</t>
  </si>
  <si>
    <t>1 mL in 10 mL H2O</t>
  </si>
  <si>
    <t>BCBV8968</t>
  </si>
  <si>
    <t>C5135</t>
  </si>
  <si>
    <t>61791-12-6</t>
  </si>
  <si>
    <t>Cremophor EL</t>
  </si>
  <si>
    <t>E0368-3-3</t>
  </si>
  <si>
    <t>SYR300375K</t>
  </si>
  <si>
    <t>Barcode B0435864</t>
  </si>
  <si>
    <t>SYR353593Z</t>
  </si>
  <si>
    <t>Barcode B0433586</t>
  </si>
  <si>
    <t>014</t>
  </si>
  <si>
    <t>70.2 mg</t>
  </si>
  <si>
    <t>17/07/2018</t>
  </si>
  <si>
    <t>18SAM165</t>
  </si>
  <si>
    <t>18SAM0169</t>
  </si>
  <si>
    <t>18SAM197</t>
  </si>
  <si>
    <t>SYR300375</t>
  </si>
  <si>
    <t>18SAM167</t>
  </si>
  <si>
    <t>Ord#3042168-2</t>
  </si>
  <si>
    <t>Barcode:AAA019771</t>
  </si>
  <si>
    <t>18PR0072</t>
  </si>
  <si>
    <t>Ord#3042168-1</t>
  </si>
  <si>
    <t>Barcode:AAA019790</t>
  </si>
  <si>
    <t>D2HG</t>
  </si>
  <si>
    <t>18REF148</t>
  </si>
  <si>
    <t>18PR0071</t>
  </si>
  <si>
    <t>10 mM in DMSO &amp; 0.01% cremophor</t>
  </si>
  <si>
    <t>Aliquots stocké à RT</t>
  </si>
  <si>
    <t>DMSO, Water</t>
  </si>
  <si>
    <r>
      <t>D2HG</t>
    </r>
    <r>
      <rPr>
        <sz val="10"/>
        <rFont val="Calibri"/>
        <family val="2"/>
        <scheme val="minor"/>
      </rPr>
      <t xml:space="preserve"> (D-</t>
    </r>
    <r>
      <rPr>
        <sz val="10"/>
        <rFont val="Calibri"/>
        <family val="2"/>
      </rPr>
      <t>α-Hydroxyglutaric acid disodium salt)</t>
    </r>
  </si>
  <si>
    <t>SLBV3930</t>
  </si>
  <si>
    <t>SLBP6935V</t>
  </si>
  <si>
    <t>103404-90-6</t>
  </si>
  <si>
    <t>H8378</t>
  </si>
  <si>
    <t>18SAM199</t>
  </si>
  <si>
    <t>18SAM200</t>
  </si>
  <si>
    <t>18SAM201</t>
  </si>
  <si>
    <t>18SAM202</t>
  </si>
  <si>
    <t>18SAM204</t>
  </si>
  <si>
    <t>BID_514111</t>
  </si>
  <si>
    <t>Barcode RSH0050721</t>
  </si>
  <si>
    <t>10.92 mg</t>
  </si>
  <si>
    <t>18PR0049</t>
  </si>
  <si>
    <t>SYR301234Z</t>
  </si>
  <si>
    <t>008</t>
  </si>
  <si>
    <t>11 mg</t>
  </si>
  <si>
    <t>18PR0069</t>
  </si>
  <si>
    <t>Barcode B0429370</t>
  </si>
  <si>
    <t>Barcode B0429646</t>
  </si>
  <si>
    <t>017</t>
  </si>
  <si>
    <t>10.11 mg</t>
  </si>
  <si>
    <t>18SAM0210</t>
  </si>
  <si>
    <t>MAJ Database 
01.Agus.18 HSA</t>
  </si>
  <si>
    <t>18SAM166</t>
  </si>
  <si>
    <t>SGE-2817-02-A</t>
  </si>
  <si>
    <t>SGE-3152-03-A</t>
  </si>
  <si>
    <t>MAJ Database 
02.Agus.18 HSA</t>
  </si>
  <si>
    <t>Cloturé le 02.August.18 HSA</t>
  </si>
  <si>
    <t>Je ne sais pas à quoi cela correspond HSA</t>
  </si>
  <si>
    <t>J'ai ajusté à 2.485 mL (HSA)</t>
  </si>
  <si>
    <t>J'ai ajusté à 1.955 mL (HSA)</t>
  </si>
  <si>
    <t>Flumazenil</t>
  </si>
  <si>
    <t>ab120242</t>
  </si>
  <si>
    <t>78755-81-4</t>
  </si>
  <si>
    <t>25 mM DMSO (with warming)</t>
  </si>
  <si>
    <t>APN08108-1-1</t>
  </si>
  <si>
    <t xml:space="preserve">Aliquots stocké à RT </t>
  </si>
  <si>
    <t>18RD0068</t>
  </si>
  <si>
    <t>Cesium chloride</t>
  </si>
  <si>
    <t>Merck (Sigma)</t>
  </si>
  <si>
    <t>K48660838</t>
  </si>
  <si>
    <t>1.02038.0025</t>
  </si>
  <si>
    <t>7647-17-8</t>
  </si>
  <si>
    <t>up to 1860 g/l</t>
  </si>
  <si>
    <t>XE-991 dihydrochloride</t>
  </si>
  <si>
    <t>selective KCNQ channel blocker</t>
  </si>
  <si>
    <t>APN06127-2-1</t>
  </si>
  <si>
    <t>ab120089</t>
  </si>
  <si>
    <t>122955-13-9</t>
  </si>
  <si>
    <t>100 mM in H2O mQ</t>
  </si>
  <si>
    <t>18REF213</t>
  </si>
  <si>
    <t>Barcode B0417546</t>
  </si>
  <si>
    <t>85 mg</t>
  </si>
  <si>
    <t>18SAM214</t>
  </si>
  <si>
    <t>18SAM198</t>
  </si>
  <si>
    <t>18REF212</t>
  </si>
  <si>
    <t>EdTA</t>
  </si>
  <si>
    <t>hepes</t>
  </si>
  <si>
    <t>Intra CsCl01</t>
  </si>
  <si>
    <t>18SAM160</t>
  </si>
  <si>
    <t>SGE-0305-02-A</t>
  </si>
  <si>
    <t>&gt;97%</t>
  </si>
  <si>
    <t>059H0821</t>
  </si>
  <si>
    <t>D0899</t>
  </si>
  <si>
    <t>18REF211</t>
  </si>
  <si>
    <t>18REF217</t>
  </si>
  <si>
    <t>160 mg/ml</t>
  </si>
  <si>
    <t>SLBW6173</t>
  </si>
  <si>
    <t>MAJ Database 
22.Aug.18 MGL</t>
  </si>
  <si>
    <t>17REF219</t>
  </si>
  <si>
    <t>TIS</t>
  </si>
  <si>
    <t>18REF076</t>
  </si>
  <si>
    <t>18REF053</t>
  </si>
  <si>
    <t>100 µg/ml in PBS</t>
  </si>
  <si>
    <t>MAJ Database 
27.Aug.18 MGL</t>
  </si>
  <si>
    <t>18REF195</t>
  </si>
  <si>
    <t>18SAM208</t>
  </si>
  <si>
    <t>17REF131</t>
  </si>
  <si>
    <t>Acide Kynurenique</t>
  </si>
  <si>
    <t>18PR049</t>
  </si>
  <si>
    <t>17REF074</t>
  </si>
  <si>
    <t>Strychine hydroxyde</t>
  </si>
  <si>
    <t>18SAM168</t>
  </si>
  <si>
    <t>17PR153D</t>
  </si>
  <si>
    <t>17PR153</t>
  </si>
  <si>
    <t>L-glutamine 200 mM</t>
  </si>
  <si>
    <t>Neurobasal A medium (1X)</t>
  </si>
  <si>
    <t>Penicillin streptomycin (5 000 U/mL)</t>
  </si>
  <si>
    <t>Penicillin streptomycin (10 000 U/mL)</t>
  </si>
  <si>
    <t>FisherScientific</t>
  </si>
  <si>
    <t>18REF224</t>
  </si>
  <si>
    <t>Penivcilin Streptomycin</t>
  </si>
  <si>
    <t>Totalement aliquoté</t>
  </si>
  <si>
    <t>18SAM170</t>
  </si>
  <si>
    <t>18SAM171</t>
  </si>
  <si>
    <t>2,932</t>
  </si>
  <si>
    <t>2,688</t>
  </si>
  <si>
    <t>127M4092V</t>
  </si>
  <si>
    <t>1 mg/mL in tris buffered NaCl</t>
  </si>
  <si>
    <t>VX-745</t>
  </si>
  <si>
    <t>076M4709V</t>
  </si>
  <si>
    <t>SML1638</t>
  </si>
  <si>
    <t>DMSO 10 mg/ml</t>
  </si>
  <si>
    <t>18REF0226</t>
  </si>
  <si>
    <t>1 - 2 mg/ml</t>
  </si>
  <si>
    <t>18REF228</t>
  </si>
  <si>
    <t>18REF215</t>
  </si>
  <si>
    <t>Interleukin</t>
  </si>
  <si>
    <t>20 µg/ml</t>
  </si>
  <si>
    <t>Soluble in water to 100 mM</t>
  </si>
  <si>
    <t>18REF0133</t>
  </si>
  <si>
    <t>320 mg/ml</t>
  </si>
  <si>
    <t xml:space="preserve"> 1 aliquot de 1 g</t>
  </si>
  <si>
    <t xml:space="preserve"> 15 aliquots de 1 g</t>
  </si>
  <si>
    <t>18REF216</t>
  </si>
  <si>
    <t>18PR0077</t>
  </si>
  <si>
    <t>18REF219</t>
  </si>
  <si>
    <t>18REF229</t>
  </si>
  <si>
    <t>18REF0102</t>
  </si>
  <si>
    <t>18PR0085</t>
  </si>
  <si>
    <t>ICM</t>
  </si>
  <si>
    <t>RO7283328-000-001</t>
  </si>
  <si>
    <t>Barcode DBA0155489</t>
  </si>
  <si>
    <t>4.8 mg</t>
  </si>
  <si>
    <t>Citrate buffer Solution, 0.09 M</t>
  </si>
  <si>
    <t>SLBW3726</t>
  </si>
  <si>
    <t>C2488</t>
  </si>
  <si>
    <t>WVBC6663V</t>
  </si>
  <si>
    <t>51-79-6</t>
  </si>
  <si>
    <t>18REF155</t>
  </si>
  <si>
    <t>Gluconate de Potassium</t>
  </si>
  <si>
    <t>ATP Disodium</t>
  </si>
  <si>
    <t>GTP Sodium</t>
  </si>
  <si>
    <t>18PR0003</t>
  </si>
  <si>
    <t>18PR0004</t>
  </si>
  <si>
    <t>18PR0006</t>
  </si>
  <si>
    <t>18REF194</t>
  </si>
  <si>
    <t>D2HG (D-α-Hydroxyglutaric acid disodium salt)</t>
  </si>
  <si>
    <t>STBC6565V</t>
  </si>
  <si>
    <t>17SAM0114</t>
  </si>
  <si>
    <t>17SAM0146</t>
  </si>
  <si>
    <t>18REF154</t>
  </si>
  <si>
    <t>ethyl pyruvate</t>
  </si>
  <si>
    <t>18REF203</t>
  </si>
  <si>
    <t>18REF204</t>
  </si>
  <si>
    <t>18REF233</t>
  </si>
  <si>
    <t>Poly-D-lysine</t>
  </si>
  <si>
    <t>selective non-competitive benzodiazepine antagonist</t>
  </si>
  <si>
    <t>18REF218</t>
  </si>
  <si>
    <t>18REF236</t>
  </si>
  <si>
    <t>18REF137</t>
  </si>
  <si>
    <t>MAJ Database 
24.Sep.18 HSA</t>
  </si>
  <si>
    <t>18SAM061</t>
  </si>
  <si>
    <t>18REF189</t>
  </si>
  <si>
    <t>Sodium salicylate</t>
  </si>
  <si>
    <t>Inhibits components of the MAPK cascade, NF-kB and AP-1</t>
  </si>
  <si>
    <t>ab120746</t>
  </si>
  <si>
    <t>APN11400-1-1</t>
  </si>
  <si>
    <t>54-21-7</t>
  </si>
  <si>
    <t>18REF240</t>
  </si>
  <si>
    <t>Sodium Salicylate</t>
  </si>
  <si>
    <t>Emmené à l'ICM par BSA le 26/09/18</t>
  </si>
  <si>
    <t>MAJ Database 
27.Sep.18 HSA</t>
  </si>
  <si>
    <t>APN17030-1-3</t>
  </si>
  <si>
    <t>up to 25 mM H2O mQ</t>
  </si>
  <si>
    <t>3A/201649</t>
  </si>
  <si>
    <t>18PR0094</t>
  </si>
  <si>
    <t xml:space="preserve">Methanesulfonate de cesium </t>
  </si>
  <si>
    <t>18REF069</t>
  </si>
  <si>
    <t>Methanesulfonate de sodium</t>
  </si>
  <si>
    <t>Chlorure de lidocaïne N-éthyle</t>
  </si>
  <si>
    <t>ATP magnésium</t>
  </si>
  <si>
    <t>GTP sodium hydrate</t>
  </si>
  <si>
    <t>Methyl cellulose</t>
  </si>
  <si>
    <t>MKCD3894</t>
  </si>
  <si>
    <t>H7509</t>
  </si>
  <si>
    <t>9004-65-3</t>
  </si>
  <si>
    <t>up to 10 mg/ml H2O</t>
  </si>
  <si>
    <t>18REF241</t>
  </si>
  <si>
    <t>18REF133</t>
  </si>
  <si>
    <t>FRO</t>
  </si>
  <si>
    <t>18REF159</t>
  </si>
  <si>
    <t>18PR065</t>
  </si>
  <si>
    <t>Sera repris en DMSO demain</t>
  </si>
  <si>
    <t>SYR309215Z</t>
  </si>
  <si>
    <t>001</t>
  </si>
  <si>
    <t>71.02 mg</t>
  </si>
  <si>
    <t>18PR0097</t>
  </si>
  <si>
    <t>Aide à la dilussion de composé non soluble</t>
  </si>
  <si>
    <t>Barcode 0446215</t>
  </si>
  <si>
    <t>18REF252</t>
  </si>
  <si>
    <t>18REF185</t>
  </si>
  <si>
    <t>Tween80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</si>
</sst>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8" formatCode="&quot;$&quot;#,##0.00_);[Red]\(&quot;$&quot;#,##0.00\)"/>
    <numFmt numFmtId="43" formatCode="_(* #,##0.00_);_(* \(#,##0.00\);_(* &quot;-&quot;??_);_(@_)"/>
    <numFmt numFmtId="164" formatCode="[$-40C]d\-mmm\-yy;@"/>
    <numFmt numFmtId="165" formatCode="[$-40C]dd\-mmm\-yy;@"/>
    <numFmt numFmtId="166" formatCode="dd/mm/yy;@"/>
    <numFmt numFmtId="167" formatCode="[$-409]d\-mmm\-yy;@"/>
    <numFmt numFmtId="168" formatCode="0.0%"/>
    <numFmt numFmtId="169" formatCode="0.000"/>
    <numFmt numFmtId="170" formatCode="0.0"/>
  </numFmts>
  <fonts count="7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26"/>
      <color theme="4" tint="0.39997558519241921"/>
      <name val="Arial"/>
      <family val="2"/>
    </font>
    <font>
      <b/>
      <sz val="28"/>
      <name val="Arial"/>
      <family val="2"/>
    </font>
    <font>
      <sz val="18"/>
      <color theme="1"/>
      <name val="Arial"/>
      <family val="2"/>
    </font>
    <font>
      <sz val="10"/>
      <color theme="1"/>
      <name val="Calibri"/>
      <family val="2"/>
    </font>
    <font>
      <b/>
      <sz val="18"/>
      <color rgb="FF6B95C7"/>
      <name val="Arial"/>
      <family val="2"/>
    </font>
    <font>
      <b/>
      <i/>
      <sz val="18"/>
      <color theme="4" tint="0.59999389629810485"/>
      <name val="Arial"/>
      <family val="2"/>
    </font>
    <font>
      <b/>
      <sz val="18"/>
      <color theme="4" tint="0.59999389629810485"/>
      <name val="Arial"/>
      <family val="2"/>
    </font>
    <font>
      <b/>
      <sz val="18"/>
      <color theme="4" tint="0.39997558519241921"/>
      <name val="Arial"/>
      <family val="2"/>
    </font>
    <font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F29400"/>
      <name val="Calibri"/>
      <family val="2"/>
      <scheme val="minor"/>
    </font>
    <font>
      <b/>
      <sz val="11"/>
      <color rgb="FFF29400"/>
      <name val="Calibri"/>
      <family val="2"/>
      <scheme val="minor"/>
    </font>
    <font>
      <b/>
      <i/>
      <sz val="10"/>
      <color theme="1"/>
      <name val="Calibri"/>
      <family val="2"/>
    </font>
    <font>
      <b/>
      <vertAlign val="subscript"/>
      <sz val="12"/>
      <color theme="0"/>
      <name val="Calibri"/>
      <family val="2"/>
      <scheme val="minor"/>
    </font>
    <font>
      <sz val="9"/>
      <color theme="0" tint="-0.14999847407452621"/>
      <name val="Calibri"/>
      <family val="2"/>
      <scheme val="minor"/>
    </font>
    <font>
      <i/>
      <sz val="9"/>
      <color theme="1"/>
      <name val="Calibri"/>
      <family val="2"/>
    </font>
    <font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9" tint="-0.249977111117893"/>
      <name val="Calibri"/>
      <family val="2"/>
      <scheme val="minor"/>
    </font>
    <font>
      <b/>
      <sz val="2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1"/>
      <name val="Symbol"/>
      <family val="1"/>
      <charset val="2"/>
    </font>
    <font>
      <b/>
      <sz val="18"/>
      <color rgb="FFE4801C"/>
      <name val="Calibri"/>
      <family val="2"/>
      <scheme val="minor"/>
    </font>
    <font>
      <sz val="10"/>
      <color theme="1"/>
      <name val="Arial"/>
      <family val="2"/>
    </font>
    <font>
      <strike/>
      <sz val="11"/>
      <color theme="1"/>
      <name val="Calibri"/>
      <family val="2"/>
      <scheme val="minor"/>
    </font>
    <font>
      <strike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rgb="FFC00000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sz val="11"/>
      <name val="Calibri"/>
      <family val="2"/>
    </font>
    <font>
      <sz val="9.35"/>
      <name val="Calibri"/>
      <family val="2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sz val="26"/>
      <color indexed="81"/>
      <name val="Tahoma"/>
      <family val="2"/>
    </font>
    <font>
      <b/>
      <sz val="20"/>
      <color rgb="FFC00000"/>
      <name val="Calibri"/>
      <family val="2"/>
      <scheme val="minor"/>
    </font>
    <font>
      <sz val="11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20"/>
      <color rgb="FFFF0000"/>
      <name val="Calibri"/>
      <family val="2"/>
      <scheme val="minor"/>
    </font>
    <font>
      <b/>
      <i/>
      <sz val="18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0"/>
      <name val="Calibri"/>
      <family val="2"/>
      <scheme val="minor"/>
    </font>
    <font>
      <sz val="12"/>
      <color indexed="81"/>
      <name val="Tahoma"/>
      <family val="2"/>
    </font>
    <font>
      <b/>
      <i/>
      <sz val="18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indexed="81"/>
      <name val="Tahoma"/>
      <family val="2"/>
    </font>
    <font>
      <b/>
      <sz val="24"/>
      <color rgb="FFFF0000"/>
      <name val="Calibri"/>
      <family val="2"/>
      <scheme val="minor"/>
    </font>
    <font>
      <sz val="10"/>
      <name val="Calibri"/>
      <family val="2"/>
    </font>
    <font>
      <i/>
      <sz val="10"/>
      <color theme="0" tint="-0.499984740745262"/>
      <name val="Calibri"/>
      <family val="2"/>
      <scheme val="minor"/>
    </font>
    <font>
      <sz val="10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1F5F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91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rgb="FFF29400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rgb="FFFFC000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 style="hair">
        <color theme="4" tint="0.39994506668294322"/>
      </right>
      <top/>
      <bottom style="hair">
        <color theme="4" tint="0.39991454817346722"/>
      </bottom>
      <diagonal/>
    </border>
    <border>
      <left/>
      <right style="hair">
        <color theme="4" tint="0.39994506668294322"/>
      </right>
      <top/>
      <bottom style="hair">
        <color theme="4" tint="0.39991454817346722"/>
      </bottom>
      <diagonal/>
    </border>
    <border>
      <left style="hair">
        <color theme="4" tint="0.39994506668294322"/>
      </left>
      <right style="hair">
        <color theme="4" tint="0.39994506668294322"/>
      </right>
      <top/>
      <bottom style="hair">
        <color theme="4" tint="0.39991454817346722"/>
      </bottom>
      <diagonal/>
    </border>
    <border>
      <left style="hair">
        <color theme="4" tint="0.39994506668294322"/>
      </left>
      <right/>
      <top/>
      <bottom style="hair">
        <color theme="4" tint="0.39991454817346722"/>
      </bottom>
      <diagonal/>
    </border>
    <border>
      <left style="thin">
        <color theme="4"/>
      </left>
      <right style="thin">
        <color theme="4"/>
      </right>
      <top/>
      <bottom style="hair">
        <color theme="4" tint="0.39991454817346722"/>
      </bottom>
      <diagonal/>
    </border>
    <border>
      <left/>
      <right/>
      <top/>
      <bottom style="hair">
        <color theme="4" tint="0.39991454817346722"/>
      </bottom>
      <diagonal/>
    </border>
    <border>
      <left style="thin">
        <color indexed="64"/>
      </left>
      <right style="hair">
        <color theme="4" tint="0.39994506668294322"/>
      </right>
      <top style="hair">
        <color theme="4" tint="0.39991454817346722"/>
      </top>
      <bottom style="hair">
        <color theme="4" tint="0.39994506668294322"/>
      </bottom>
      <diagonal/>
    </border>
    <border>
      <left style="hair">
        <color theme="4" tint="0.39994506668294322"/>
      </left>
      <right style="hair">
        <color theme="4" tint="0.39994506668294322"/>
      </right>
      <top style="hair">
        <color theme="4" tint="0.39991454817346722"/>
      </top>
      <bottom style="hair">
        <color theme="4" tint="0.39994506668294322"/>
      </bottom>
      <diagonal/>
    </border>
    <border>
      <left style="hair">
        <color theme="4" tint="0.39994506668294322"/>
      </left>
      <right style="hair">
        <color theme="4" tint="0.39994506668294322"/>
      </right>
      <top/>
      <bottom style="hair">
        <color theme="4" tint="0.39994506668294322"/>
      </bottom>
      <diagonal/>
    </border>
    <border>
      <left style="thin">
        <color indexed="64"/>
      </left>
      <right style="hair">
        <color theme="4" tint="0.39994506668294322"/>
      </right>
      <top/>
      <bottom style="hair">
        <color theme="4" tint="0.39994506668294322"/>
      </bottom>
      <diagonal/>
    </border>
    <border>
      <left/>
      <right style="hair">
        <color theme="4" tint="0.39994506668294322"/>
      </right>
      <top style="hair">
        <color theme="4" tint="0.39991454817346722"/>
      </top>
      <bottom style="hair">
        <color theme="4" tint="0.39991454817346722"/>
      </bottom>
      <diagonal/>
    </border>
    <border>
      <left style="hair">
        <color theme="4" tint="0.39994506668294322"/>
      </left>
      <right style="hair">
        <color theme="4" tint="0.39994506668294322"/>
      </right>
      <top style="hair">
        <color theme="4" tint="0.39991454817346722"/>
      </top>
      <bottom style="hair">
        <color theme="4" tint="0.39991454817346722"/>
      </bottom>
      <diagonal/>
    </border>
    <border>
      <left style="medium">
        <color theme="4" tint="0.39991454817346722"/>
      </left>
      <right style="hair">
        <color theme="4" tint="0.39994506668294322"/>
      </right>
      <top style="hair">
        <color theme="4" tint="0.39991454817346722"/>
      </top>
      <bottom style="hair">
        <color theme="4" tint="0.39991454817346722"/>
      </bottom>
      <diagonal/>
    </border>
    <border>
      <left style="hair">
        <color theme="4" tint="0.39994506668294322"/>
      </left>
      <right style="hair">
        <color theme="4" tint="0.39994506668294322"/>
      </right>
      <top/>
      <bottom/>
      <diagonal/>
    </border>
    <border>
      <left style="hair">
        <color theme="4" tint="0.39994506668294322"/>
      </left>
      <right style="hair">
        <color theme="4" tint="0.39994506668294322"/>
      </right>
      <top style="hair">
        <color theme="4" tint="0.39991454817346722"/>
      </top>
      <bottom/>
      <diagonal/>
    </border>
    <border>
      <left style="hair">
        <color theme="4" tint="0.39994506668294322"/>
      </left>
      <right/>
      <top style="hair">
        <color theme="4" tint="0.39991454817346722"/>
      </top>
      <bottom style="hair">
        <color theme="4" tint="0.39991454817346722"/>
      </bottom>
      <diagonal/>
    </border>
    <border>
      <left style="thin">
        <color theme="4"/>
      </left>
      <right/>
      <top/>
      <bottom style="hair">
        <color theme="4" tint="0.39991454817346722"/>
      </bottom>
      <diagonal/>
    </border>
    <border>
      <left style="thin">
        <color theme="4"/>
      </left>
      <right style="thin">
        <color theme="4"/>
      </right>
      <top style="hair">
        <color theme="4" tint="0.39991454817346722"/>
      </top>
      <bottom style="hair">
        <color theme="4" tint="0.39991454817346722"/>
      </bottom>
      <diagonal/>
    </border>
    <border>
      <left/>
      <right style="medium">
        <color theme="4"/>
      </right>
      <top style="hair">
        <color theme="4" tint="0.39991454817346722"/>
      </top>
      <bottom style="hair">
        <color theme="4" tint="0.39991454817346722"/>
      </bottom>
      <diagonal/>
    </border>
    <border>
      <left/>
      <right style="medium">
        <color theme="4"/>
      </right>
      <top/>
      <bottom style="hair">
        <color theme="4" tint="0.39991454817346722"/>
      </bottom>
      <diagonal/>
    </border>
    <border>
      <left/>
      <right style="hair">
        <color theme="4" tint="0.39994506668294322"/>
      </right>
      <top/>
      <bottom/>
      <diagonal/>
    </border>
    <border>
      <left style="hair">
        <color theme="4" tint="0.39994506668294322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theme="4" tint="0.39991454817346722"/>
      </bottom>
      <diagonal/>
    </border>
    <border>
      <left/>
      <right style="hair">
        <color theme="4" tint="0.39994506668294322"/>
      </right>
      <top style="hair">
        <color theme="4" tint="0.39991454817346722"/>
      </top>
      <bottom style="hair">
        <color theme="4" tint="0.39994506668294322"/>
      </bottom>
      <diagonal/>
    </border>
    <border>
      <left style="medium">
        <color indexed="64"/>
      </left>
      <right style="medium">
        <color indexed="64"/>
      </right>
      <top/>
      <bottom style="hair">
        <color theme="4" tint="0.3999145481734672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tted">
        <color rgb="FFD7D7D7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hair">
        <color theme="4" tint="0.39994506668294322"/>
      </right>
      <top style="hair">
        <color theme="4" tint="0.39991454817346722"/>
      </top>
      <bottom style="medium">
        <color indexed="64"/>
      </bottom>
      <diagonal/>
    </border>
    <border>
      <left style="hair">
        <color theme="4" tint="0.39994506668294322"/>
      </left>
      <right style="hair">
        <color theme="4" tint="0.39994506668294322"/>
      </right>
      <top/>
      <bottom style="medium">
        <color indexed="64"/>
      </bottom>
      <diagonal/>
    </border>
    <border>
      <left style="hair">
        <color theme="4" tint="0.39994506668294322"/>
      </left>
      <right style="hair">
        <color theme="4" tint="0.39994506668294322"/>
      </right>
      <top style="hair">
        <color theme="4" tint="0.39991454817346722"/>
      </top>
      <bottom style="medium">
        <color indexed="64"/>
      </bottom>
      <diagonal/>
    </border>
    <border>
      <left style="hair">
        <color theme="4" tint="0.39994506668294322"/>
      </left>
      <right/>
      <top/>
      <bottom style="medium">
        <color indexed="64"/>
      </bottom>
      <diagonal/>
    </border>
    <border>
      <left style="thin">
        <color indexed="64"/>
      </left>
      <right style="hair">
        <color theme="4" tint="0.39994506668294322"/>
      </right>
      <top style="hair">
        <color theme="4" tint="0.39991454817346722"/>
      </top>
      <bottom style="medium">
        <color indexed="64"/>
      </bottom>
      <diagonal/>
    </border>
    <border>
      <left style="hair">
        <color theme="4" tint="0.39994506668294322"/>
      </left>
      <right/>
      <top style="hair">
        <color theme="4" tint="0.39991454817346722"/>
      </top>
      <bottom style="medium">
        <color indexed="64"/>
      </bottom>
      <diagonal/>
    </border>
    <border>
      <left/>
      <right style="hair">
        <color theme="4" tint="0.39994506668294322"/>
      </right>
      <top/>
      <bottom style="medium">
        <color indexed="64"/>
      </bottom>
      <diagonal/>
    </border>
    <border>
      <left style="thin">
        <color indexed="64"/>
      </left>
      <right style="hair">
        <color theme="4" tint="0.39994506668294322"/>
      </right>
      <top/>
      <bottom style="medium">
        <color indexed="64"/>
      </bottom>
      <diagonal/>
    </border>
    <border>
      <left style="hair">
        <color theme="4" tint="0.39994506668294322"/>
      </left>
      <right style="thin">
        <color indexed="64"/>
      </right>
      <top/>
      <bottom style="hair">
        <color theme="4" tint="0.39991454817346722"/>
      </bottom>
      <diagonal/>
    </border>
    <border>
      <left style="thin">
        <color indexed="64"/>
      </left>
      <right style="hair">
        <color theme="4" tint="0.39994506668294322"/>
      </right>
      <top/>
      <bottom/>
      <diagonal/>
    </border>
    <border>
      <left style="thin">
        <color theme="4"/>
      </left>
      <right style="thin">
        <color theme="4"/>
      </right>
      <top style="hair">
        <color theme="4" tint="0.39991454817346722"/>
      </top>
      <bottom style="hair">
        <color theme="4"/>
      </bottom>
      <diagonal/>
    </border>
    <border>
      <left style="thin">
        <color theme="4"/>
      </left>
      <right style="thin">
        <color theme="4"/>
      </right>
      <top style="hair">
        <color theme="4"/>
      </top>
      <bottom style="hair">
        <color theme="4"/>
      </bottom>
      <diagonal/>
    </border>
    <border>
      <left style="thin">
        <color theme="4"/>
      </left>
      <right style="thin">
        <color theme="4"/>
      </right>
      <top style="hair">
        <color theme="4"/>
      </top>
      <bottom style="hair">
        <color theme="4" tint="0.39991454817346722"/>
      </bottom>
      <diagonal/>
    </border>
    <border>
      <left style="thin">
        <color theme="4"/>
      </left>
      <right style="medium">
        <color theme="4"/>
      </right>
      <top style="hair">
        <color theme="4" tint="0.39991454817346722"/>
      </top>
      <bottom style="hair">
        <color theme="4"/>
      </bottom>
      <diagonal/>
    </border>
    <border>
      <left style="thin">
        <color theme="4"/>
      </left>
      <right style="medium">
        <color theme="4"/>
      </right>
      <top style="hair">
        <color theme="4"/>
      </top>
      <bottom style="hair">
        <color theme="4"/>
      </bottom>
      <diagonal/>
    </border>
    <border>
      <left style="thin">
        <color theme="4"/>
      </left>
      <right style="medium">
        <color theme="4"/>
      </right>
      <top style="hair">
        <color theme="4"/>
      </top>
      <bottom style="hair">
        <color theme="4" tint="0.39991454817346722"/>
      </bottom>
      <diagonal/>
    </border>
    <border>
      <left style="hair">
        <color theme="4" tint="0.39994506668294322"/>
      </left>
      <right style="hair">
        <color theme="4" tint="0.39991454817346722"/>
      </right>
      <top style="hair">
        <color theme="4" tint="0.39991454817346722"/>
      </top>
      <bottom style="hair">
        <color theme="4" tint="0.39991454817346722"/>
      </bottom>
      <diagonal/>
    </border>
    <border>
      <left style="medium">
        <color theme="4"/>
      </left>
      <right/>
      <top/>
      <bottom/>
      <diagonal/>
    </border>
    <border>
      <left style="hair">
        <color rgb="FF00B0F0"/>
      </left>
      <right style="hair">
        <color rgb="FF00B0F0"/>
      </right>
      <top style="hair">
        <color rgb="FF00B0F0"/>
      </top>
      <bottom/>
      <diagonal/>
    </border>
    <border>
      <left/>
      <right/>
      <top style="hair">
        <color theme="4" tint="0.39991454817346722"/>
      </top>
      <bottom style="hair">
        <color theme="4" tint="0.39991454817346722"/>
      </bottom>
      <diagonal/>
    </border>
    <border>
      <left style="medium">
        <color theme="4" tint="0.39991454817346722"/>
      </left>
      <right/>
      <top style="hair">
        <color theme="4" tint="0.39991454817346722"/>
      </top>
      <bottom style="hair">
        <color theme="4" tint="0.39991454817346722"/>
      </bottom>
      <diagonal/>
    </border>
    <border>
      <left style="hair">
        <color rgb="FF00B0F0"/>
      </left>
      <right style="hair">
        <color rgb="FF00B0F0"/>
      </right>
      <top style="hair">
        <color rgb="FF00B0F0"/>
      </top>
      <bottom style="hair">
        <color rgb="FF00B0F0"/>
      </bottom>
      <diagonal/>
    </border>
    <border>
      <left/>
      <right/>
      <top style="hair">
        <color theme="4" tint="0.39991454817346722"/>
      </top>
      <bottom/>
      <diagonal/>
    </border>
    <border>
      <left style="hair">
        <color theme="4" tint="0.39991454817346722"/>
      </left>
      <right style="hair">
        <color theme="4" tint="0.39994506668294322"/>
      </right>
      <top style="hair">
        <color theme="4" tint="0.39991454817346722"/>
      </top>
      <bottom style="hair">
        <color theme="4" tint="0.39991454817346722"/>
      </bottom>
      <diagonal/>
    </border>
    <border>
      <left style="hair">
        <color theme="4" tint="0.39991454817346722"/>
      </left>
      <right style="hair">
        <color theme="4" tint="0.39991454817346722"/>
      </right>
      <top style="hair">
        <color theme="4" tint="0.39991454817346722"/>
      </top>
      <bottom style="hair">
        <color theme="4" tint="0.39991454817346722"/>
      </bottom>
      <diagonal/>
    </border>
    <border>
      <left style="medium">
        <color theme="4"/>
      </left>
      <right style="hair">
        <color theme="4"/>
      </right>
      <top style="hair">
        <color theme="4"/>
      </top>
      <bottom style="hair">
        <color theme="4"/>
      </bottom>
      <diagonal/>
    </border>
    <border>
      <left style="thin">
        <color theme="4"/>
      </left>
      <right style="hair">
        <color theme="4" tint="0.39994506668294322"/>
      </right>
      <top/>
      <bottom/>
      <diagonal/>
    </border>
    <border>
      <left style="hair">
        <color theme="4"/>
      </left>
      <right style="hair">
        <color theme="4"/>
      </right>
      <top style="hair">
        <color theme="4"/>
      </top>
      <bottom style="hair">
        <color theme="4"/>
      </bottom>
      <diagonal/>
    </border>
    <border>
      <left/>
      <right/>
      <top style="hair">
        <color theme="4"/>
      </top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 style="hair">
        <color theme="4"/>
      </right>
      <top style="hair">
        <color theme="4"/>
      </top>
      <bottom/>
      <diagonal/>
    </border>
    <border>
      <left style="hair">
        <color theme="4"/>
      </left>
      <right style="hair">
        <color theme="4"/>
      </right>
      <top style="hair">
        <color theme="4"/>
      </top>
      <bottom/>
      <diagonal/>
    </border>
    <border>
      <left style="hair">
        <color theme="4"/>
      </left>
      <right style="hair">
        <color rgb="FF00B0F0"/>
      </right>
      <top style="hair">
        <color theme="4"/>
      </top>
      <bottom style="hair">
        <color theme="4"/>
      </bottom>
      <diagonal/>
    </border>
    <border>
      <left style="thin">
        <color theme="4"/>
      </left>
      <right/>
      <top style="hair">
        <color theme="4"/>
      </top>
      <bottom style="hair">
        <color theme="4"/>
      </bottom>
      <diagonal/>
    </border>
    <border>
      <left/>
      <right style="hair">
        <color theme="4"/>
      </right>
      <top style="hair">
        <color theme="4"/>
      </top>
      <bottom style="hair">
        <color theme="4"/>
      </bottom>
      <diagonal/>
    </border>
    <border>
      <left style="hair">
        <color rgb="FF00B0F0"/>
      </left>
      <right style="hair">
        <color rgb="FF00B0F0"/>
      </right>
      <top/>
      <bottom/>
      <diagonal/>
    </border>
    <border>
      <left style="hair">
        <color rgb="FF00B0F0"/>
      </left>
      <right style="hair">
        <color rgb="FF00B0F0"/>
      </right>
      <top/>
      <bottom style="hair">
        <color rgb="FF00B0F0"/>
      </bottom>
      <diagonal/>
    </border>
  </borders>
  <cellStyleXfs count="3">
    <xf numFmtId="0" fontId="0" fillId="0" borderId="0"/>
    <xf numFmtId="0" fontId="53" fillId="0" borderId="0" applyNumberFormat="0" applyFill="0" applyBorder="0" applyAlignment="0" applyProtection="0"/>
    <xf numFmtId="43" fontId="59" fillId="0" borderId="0" applyFont="0" applyFill="0" applyBorder="0" applyAlignment="0" applyProtection="0"/>
  </cellStyleXfs>
  <cellXfs count="800">
    <xf numFmtId="0" fontId="0" fillId="0" borderId="0" xfId="0"/>
    <xf numFmtId="0" fontId="1" fillId="0" borderId="0" xfId="0" applyFont="1"/>
    <xf numFmtId="0" fontId="3" fillId="0" borderId="0" xfId="0" applyFont="1" applyAlignment="1"/>
    <xf numFmtId="0" fontId="4" fillId="0" borderId="0" xfId="0" applyFo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>
      <alignment horizontal="center"/>
    </xf>
    <xf numFmtId="0" fontId="0" fillId="2" borderId="0" xfId="0" applyFill="1"/>
    <xf numFmtId="0" fontId="13" fillId="0" borderId="5" xfId="0" applyFont="1" applyBorder="1" applyAlignment="1"/>
    <xf numFmtId="0" fontId="0" fillId="0" borderId="5" xfId="0" applyBorder="1" applyAlignment="1"/>
    <xf numFmtId="0" fontId="17" fillId="2" borderId="1" xfId="0" applyFont="1" applyFill="1" applyBorder="1"/>
    <xf numFmtId="14" fontId="17" fillId="2" borderId="1" xfId="0" applyNumberFormat="1" applyFont="1" applyFill="1" applyBorder="1" applyAlignment="1">
      <alignment horizontal="left"/>
    </xf>
    <xf numFmtId="0" fontId="15" fillId="3" borderId="6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18" xfId="0" applyFont="1" applyBorder="1" applyAlignment="1">
      <alignment vertical="top"/>
    </xf>
    <xf numFmtId="0" fontId="0" fillId="0" borderId="0" xfId="0" applyAlignment="1">
      <alignment wrapText="1"/>
    </xf>
    <xf numFmtId="0" fontId="5" fillId="3" borderId="12" xfId="0" applyFont="1" applyFill="1" applyBorder="1" applyAlignment="1">
      <alignment horizontal="center" vertical="center" wrapText="1"/>
    </xf>
    <xf numFmtId="14" fontId="5" fillId="3" borderId="13" xfId="0" applyNumberFormat="1" applyFont="1" applyFill="1" applyBorder="1" applyAlignment="1">
      <alignment horizontal="justify" vertical="center" wrapText="1"/>
    </xf>
    <xf numFmtId="0" fontId="15" fillId="3" borderId="7" xfId="0" applyFont="1" applyFill="1" applyBorder="1" applyAlignment="1">
      <alignment horizontal="center" wrapText="1"/>
    </xf>
    <xf numFmtId="1" fontId="22" fillId="4" borderId="19" xfId="0" applyNumberFormat="1" applyFont="1" applyFill="1" applyBorder="1" applyAlignment="1">
      <alignment horizontal="center" vertical="center" wrapText="1"/>
    </xf>
    <xf numFmtId="1" fontId="22" fillId="4" borderId="20" xfId="0" applyNumberFormat="1" applyFont="1" applyFill="1" applyBorder="1" applyAlignment="1">
      <alignment horizontal="center" vertical="center" wrapText="1"/>
    </xf>
    <xf numFmtId="0" fontId="24" fillId="6" borderId="0" xfId="0" applyFont="1" applyFill="1" applyBorder="1" applyAlignment="1">
      <alignment horizontal="center" vertical="center"/>
    </xf>
    <xf numFmtId="49" fontId="25" fillId="5" borderId="25" xfId="0" applyNumberFormat="1" applyFont="1" applyFill="1" applyBorder="1" applyAlignment="1">
      <alignment horizontal="center" vertical="top" wrapText="1"/>
    </xf>
    <xf numFmtId="49" fontId="25" fillId="5" borderId="26" xfId="0" applyNumberFormat="1" applyFont="1" applyFill="1" applyBorder="1" applyAlignment="1">
      <alignment horizontal="center" vertical="top" wrapText="1"/>
    </xf>
    <xf numFmtId="0" fontId="25" fillId="5" borderId="27" xfId="0" applyNumberFormat="1" applyFont="1" applyFill="1" applyBorder="1" applyAlignment="1">
      <alignment horizontal="center" vertical="top" wrapText="1"/>
    </xf>
    <xf numFmtId="0" fontId="25" fillId="5" borderId="27" xfId="0" applyFont="1" applyFill="1" applyBorder="1" applyAlignment="1">
      <alignment horizontal="center" vertical="top" wrapText="1"/>
    </xf>
    <xf numFmtId="0" fontId="25" fillId="6" borderId="0" xfId="0" applyFont="1" applyFill="1" applyBorder="1" applyAlignment="1">
      <alignment horizontal="center" vertical="top" wrapText="1"/>
    </xf>
    <xf numFmtId="166" fontId="25" fillId="6" borderId="0" xfId="0" applyNumberFormat="1" applyFont="1" applyFill="1" applyBorder="1" applyAlignment="1">
      <alignment horizontal="center" vertical="top" wrapText="1"/>
    </xf>
    <xf numFmtId="1" fontId="26" fillId="7" borderId="30" xfId="0" applyNumberFormat="1" applyFont="1" applyFill="1" applyBorder="1" applyAlignment="1">
      <alignment horizontal="left" vertical="center" wrapText="1"/>
    </xf>
    <xf numFmtId="1" fontId="26" fillId="7" borderId="30" xfId="0" applyNumberFormat="1" applyFont="1" applyFill="1" applyBorder="1" applyAlignment="1">
      <alignment horizontal="center" vertical="center" wrapText="1"/>
    </xf>
    <xf numFmtId="49" fontId="25" fillId="13" borderId="26" xfId="0" applyNumberFormat="1" applyFont="1" applyFill="1" applyBorder="1" applyAlignment="1">
      <alignment horizontal="center" vertical="center" wrapText="1"/>
    </xf>
    <xf numFmtId="0" fontId="25" fillId="13" borderId="27" xfId="0" applyNumberFormat="1" applyFont="1" applyFill="1" applyBorder="1" applyAlignment="1">
      <alignment horizontal="center" vertical="center" wrapText="1"/>
    </xf>
    <xf numFmtId="164" fontId="25" fillId="13" borderId="27" xfId="0" applyNumberFormat="1" applyFont="1" applyFill="1" applyBorder="1" applyAlignment="1">
      <alignment horizontal="center" vertical="center" wrapText="1"/>
    </xf>
    <xf numFmtId="0" fontId="25" fillId="5" borderId="0" xfId="0" applyFont="1" applyFill="1" applyBorder="1" applyAlignment="1">
      <alignment horizontal="center" vertical="center" wrapText="1"/>
    </xf>
    <xf numFmtId="0" fontId="25" fillId="13" borderId="28" xfId="0" applyFont="1" applyFill="1" applyBorder="1" applyAlignment="1">
      <alignment horizontal="center" vertical="center" wrapText="1"/>
    </xf>
    <xf numFmtId="165" fontId="0" fillId="0" borderId="31" xfId="0" applyNumberFormat="1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25" fillId="5" borderId="0" xfId="0" applyNumberFormat="1" applyFont="1" applyFill="1" applyBorder="1" applyAlignment="1">
      <alignment horizontal="center" vertical="center" wrapText="1"/>
    </xf>
    <xf numFmtId="1" fontId="26" fillId="8" borderId="30" xfId="0" applyNumberFormat="1" applyFont="1" applyFill="1" applyBorder="1" applyAlignment="1">
      <alignment horizontal="left" vertical="center" wrapText="1"/>
    </xf>
    <xf numFmtId="1" fontId="26" fillId="8" borderId="30" xfId="0" applyNumberFormat="1" applyFont="1" applyFill="1" applyBorder="1" applyAlignment="1">
      <alignment horizontal="center" vertical="center" wrapText="1"/>
    </xf>
    <xf numFmtId="165" fontId="0" fillId="0" borderId="34" xfId="0" applyNumberFormat="1" applyFill="1" applyBorder="1" applyAlignment="1">
      <alignment horizontal="center" vertical="center"/>
    </xf>
    <xf numFmtId="1" fontId="22" fillId="9" borderId="30" xfId="0" applyNumberFormat="1" applyFont="1" applyFill="1" applyBorder="1" applyAlignment="1">
      <alignment horizontal="left" vertical="center" wrapText="1"/>
    </xf>
    <xf numFmtId="1" fontId="22" fillId="9" borderId="30" xfId="0" applyNumberFormat="1" applyFont="1" applyFill="1" applyBorder="1" applyAlignment="1">
      <alignment horizontal="center" vertical="center" wrapText="1"/>
    </xf>
    <xf numFmtId="0" fontId="25" fillId="13" borderId="27" xfId="0" quotePrefix="1" applyNumberFormat="1" applyFont="1" applyFill="1" applyBorder="1" applyAlignment="1">
      <alignment horizontal="center" vertical="center" wrapText="1"/>
    </xf>
    <xf numFmtId="1" fontId="26" fillId="9" borderId="30" xfId="0" applyNumberFormat="1" applyFont="1" applyFill="1" applyBorder="1" applyAlignment="1">
      <alignment horizontal="left" vertical="center" wrapText="1"/>
    </xf>
    <xf numFmtId="1" fontId="26" fillId="9" borderId="30" xfId="0" applyNumberFormat="1" applyFont="1" applyFill="1" applyBorder="1" applyAlignment="1">
      <alignment horizontal="center" vertical="center" wrapText="1"/>
    </xf>
    <xf numFmtId="1" fontId="22" fillId="10" borderId="30" xfId="0" applyNumberFormat="1" applyFont="1" applyFill="1" applyBorder="1" applyAlignment="1">
      <alignment horizontal="left" vertical="center" wrapText="1"/>
    </xf>
    <xf numFmtId="1" fontId="22" fillId="10" borderId="30" xfId="0" applyNumberFormat="1" applyFont="1" applyFill="1" applyBorder="1" applyAlignment="1">
      <alignment horizontal="center" vertical="center" wrapText="1"/>
    </xf>
    <xf numFmtId="1" fontId="26" fillId="10" borderId="30" xfId="0" applyNumberFormat="1" applyFont="1" applyFill="1" applyBorder="1" applyAlignment="1">
      <alignment horizontal="left" vertical="center" wrapText="1"/>
    </xf>
    <xf numFmtId="1" fontId="26" fillId="10" borderId="30" xfId="0" applyNumberFormat="1" applyFont="1" applyFill="1" applyBorder="1" applyAlignment="1">
      <alignment horizontal="center" vertical="center" wrapText="1"/>
    </xf>
    <xf numFmtId="1" fontId="26" fillId="11" borderId="30" xfId="0" applyNumberFormat="1" applyFont="1" applyFill="1" applyBorder="1" applyAlignment="1">
      <alignment horizontal="left" vertical="center" wrapText="1"/>
    </xf>
    <xf numFmtId="1" fontId="26" fillId="11" borderId="30" xfId="0" applyNumberFormat="1" applyFont="1" applyFill="1" applyBorder="1" applyAlignment="1">
      <alignment horizontal="center" vertical="center" wrapText="1"/>
    </xf>
    <xf numFmtId="1" fontId="22" fillId="11" borderId="30" xfId="0" applyNumberFormat="1" applyFont="1" applyFill="1" applyBorder="1" applyAlignment="1">
      <alignment horizontal="left" vertical="center" wrapText="1"/>
    </xf>
    <xf numFmtId="1" fontId="22" fillId="11" borderId="30" xfId="0" applyNumberFormat="1" applyFont="1" applyFill="1" applyBorder="1" applyAlignment="1">
      <alignment horizontal="center" vertical="center" wrapText="1"/>
    </xf>
    <xf numFmtId="2" fontId="25" fillId="13" borderId="27" xfId="0" applyNumberFormat="1" applyFont="1" applyFill="1" applyBorder="1" applyAlignment="1">
      <alignment horizontal="center" vertical="center" wrapText="1"/>
    </xf>
    <xf numFmtId="1" fontId="26" fillId="12" borderId="30" xfId="0" applyNumberFormat="1" applyFont="1" applyFill="1" applyBorder="1" applyAlignment="1">
      <alignment horizontal="left" vertical="center" wrapText="1"/>
    </xf>
    <xf numFmtId="1" fontId="26" fillId="12" borderId="30" xfId="0" applyNumberFormat="1" applyFont="1" applyFill="1" applyBorder="1" applyAlignment="1">
      <alignment horizontal="center" vertical="center" wrapText="1"/>
    </xf>
    <xf numFmtId="1" fontId="27" fillId="12" borderId="30" xfId="0" applyNumberFormat="1" applyFont="1" applyFill="1" applyBorder="1" applyAlignment="1">
      <alignment horizontal="left" vertical="center" wrapText="1"/>
    </xf>
    <xf numFmtId="1" fontId="27" fillId="12" borderId="30" xfId="0" applyNumberFormat="1" applyFont="1" applyFill="1" applyBorder="1" applyAlignment="1">
      <alignment horizontal="center" vertical="center" wrapText="1"/>
    </xf>
    <xf numFmtId="1" fontId="29" fillId="12" borderId="30" xfId="0" applyNumberFormat="1" applyFont="1" applyFill="1" applyBorder="1" applyAlignment="1">
      <alignment horizontal="left" vertical="center" wrapText="1"/>
    </xf>
    <xf numFmtId="1" fontId="29" fillId="12" borderId="30" xfId="0" applyNumberFormat="1" applyFont="1" applyFill="1" applyBorder="1" applyAlignment="1">
      <alignment horizontal="center" vertical="center" wrapText="1"/>
    </xf>
    <xf numFmtId="8" fontId="25" fillId="13" borderId="27" xfId="0" applyNumberFormat="1" applyFont="1" applyFill="1" applyBorder="1" applyAlignment="1">
      <alignment horizontal="center" vertical="center" wrapText="1"/>
    </xf>
    <xf numFmtId="1" fontId="22" fillId="12" borderId="30" xfId="0" applyNumberFormat="1" applyFont="1" applyFill="1" applyBorder="1" applyAlignment="1">
      <alignment horizontal="left" vertical="center" wrapText="1"/>
    </xf>
    <xf numFmtId="1" fontId="22" fillId="12" borderId="30" xfId="0" applyNumberFormat="1" applyFont="1" applyFill="1" applyBorder="1" applyAlignment="1">
      <alignment horizontal="center" vertical="center" wrapText="1"/>
    </xf>
    <xf numFmtId="1" fontId="26" fillId="14" borderId="30" xfId="0" applyNumberFormat="1" applyFont="1" applyFill="1" applyBorder="1" applyAlignment="1">
      <alignment horizontal="left" vertical="center" wrapText="1"/>
    </xf>
    <xf numFmtId="1" fontId="26" fillId="14" borderId="30" xfId="0" applyNumberFormat="1" applyFont="1" applyFill="1" applyBorder="1" applyAlignment="1">
      <alignment horizontal="center" vertical="center" wrapText="1"/>
    </xf>
    <xf numFmtId="1" fontId="22" fillId="14" borderId="30" xfId="0" applyNumberFormat="1" applyFont="1" applyFill="1" applyBorder="1" applyAlignment="1">
      <alignment horizontal="left" vertical="center" wrapText="1"/>
    </xf>
    <xf numFmtId="1" fontId="22" fillId="14" borderId="30" xfId="0" applyNumberFormat="1" applyFont="1" applyFill="1" applyBorder="1" applyAlignment="1">
      <alignment horizontal="center" vertical="center" wrapText="1"/>
    </xf>
    <xf numFmtId="1" fontId="27" fillId="14" borderId="30" xfId="0" applyNumberFormat="1" applyFont="1" applyFill="1" applyBorder="1" applyAlignment="1">
      <alignment horizontal="left" vertical="center" wrapText="1"/>
    </xf>
    <xf numFmtId="1" fontId="27" fillId="14" borderId="30" xfId="0" applyNumberFormat="1" applyFont="1" applyFill="1" applyBorder="1" applyAlignment="1">
      <alignment horizontal="center" vertical="center" wrapText="1"/>
    </xf>
    <xf numFmtId="1" fontId="26" fillId="15" borderId="30" xfId="0" applyNumberFormat="1" applyFont="1" applyFill="1" applyBorder="1" applyAlignment="1">
      <alignment horizontal="left" vertical="center" wrapText="1"/>
    </xf>
    <xf numFmtId="1" fontId="26" fillId="15" borderId="30" xfId="0" applyNumberFormat="1" applyFont="1" applyFill="1" applyBorder="1" applyAlignment="1">
      <alignment horizontal="center" vertical="center" wrapText="1"/>
    </xf>
    <xf numFmtId="1" fontId="22" fillId="15" borderId="30" xfId="0" applyNumberFormat="1" applyFont="1" applyFill="1" applyBorder="1" applyAlignment="1">
      <alignment horizontal="left" vertical="center" wrapText="1"/>
    </xf>
    <xf numFmtId="1" fontId="22" fillId="15" borderId="30" xfId="0" applyNumberFormat="1" applyFont="1" applyFill="1" applyBorder="1" applyAlignment="1">
      <alignment horizontal="center" vertical="center" wrapText="1"/>
    </xf>
    <xf numFmtId="0" fontId="25" fillId="13" borderId="0" xfId="0" applyFont="1" applyFill="1" applyBorder="1" applyAlignment="1">
      <alignment horizontal="center" vertical="center" wrapText="1"/>
    </xf>
    <xf numFmtId="1" fontId="27" fillId="15" borderId="30" xfId="0" applyNumberFormat="1" applyFont="1" applyFill="1" applyBorder="1" applyAlignment="1">
      <alignment horizontal="left" vertical="center" wrapText="1"/>
    </xf>
    <xf numFmtId="1" fontId="27" fillId="15" borderId="30" xfId="0" applyNumberFormat="1" applyFont="1" applyFill="1" applyBorder="1" applyAlignment="1">
      <alignment horizontal="center" vertical="center" wrapText="1"/>
    </xf>
    <xf numFmtId="1" fontId="26" fillId="16" borderId="30" xfId="0" applyNumberFormat="1" applyFont="1" applyFill="1" applyBorder="1" applyAlignment="1">
      <alignment horizontal="left" vertical="center" wrapText="1"/>
    </xf>
    <xf numFmtId="1" fontId="26" fillId="16" borderId="30" xfId="0" applyNumberFormat="1" applyFont="1" applyFill="1" applyBorder="1" applyAlignment="1">
      <alignment horizontal="center" vertical="center" wrapText="1"/>
    </xf>
    <xf numFmtId="0" fontId="30" fillId="0" borderId="0" xfId="0" applyFont="1" applyFill="1" applyBorder="1" applyAlignment="1">
      <alignment horizontal="left" wrapText="1"/>
    </xf>
    <xf numFmtId="0" fontId="25" fillId="13" borderId="28" xfId="0" applyNumberFormat="1" applyFont="1" applyFill="1" applyBorder="1" applyAlignment="1">
      <alignment horizontal="center" vertical="center" wrapText="1"/>
    </xf>
    <xf numFmtId="1" fontId="22" fillId="16" borderId="30" xfId="0" applyNumberFormat="1" applyFont="1" applyFill="1" applyBorder="1" applyAlignment="1">
      <alignment horizontal="left" vertical="center" wrapText="1"/>
    </xf>
    <xf numFmtId="1" fontId="22" fillId="16" borderId="30" xfId="0" applyNumberFormat="1" applyFont="1" applyFill="1" applyBorder="1" applyAlignment="1">
      <alignment horizontal="center" vertical="center" wrapText="1"/>
    </xf>
    <xf numFmtId="1" fontId="29" fillId="16" borderId="30" xfId="0" applyNumberFormat="1" applyFont="1" applyFill="1" applyBorder="1" applyAlignment="1">
      <alignment horizontal="left" vertical="center" wrapText="1"/>
    </xf>
    <xf numFmtId="0" fontId="22" fillId="4" borderId="29" xfId="0" applyNumberFormat="1" applyFont="1" applyFill="1" applyBorder="1" applyAlignment="1">
      <alignment horizontal="left" vertical="center" wrapText="1"/>
    </xf>
    <xf numFmtId="1" fontId="27" fillId="16" borderId="30" xfId="0" applyNumberFormat="1" applyFont="1" applyFill="1" applyBorder="1" applyAlignment="1">
      <alignment horizontal="left" vertical="center" wrapText="1"/>
    </xf>
    <xf numFmtId="1" fontId="27" fillId="16" borderId="30" xfId="0" applyNumberFormat="1" applyFont="1" applyFill="1" applyBorder="1" applyAlignment="1">
      <alignment horizontal="center" vertical="center" wrapText="1"/>
    </xf>
    <xf numFmtId="165" fontId="31" fillId="0" borderId="34" xfId="0" applyNumberFormat="1" applyFont="1" applyFill="1" applyBorder="1" applyAlignment="1">
      <alignment horizontal="center" vertical="center"/>
    </xf>
    <xf numFmtId="0" fontId="31" fillId="0" borderId="33" xfId="0" applyFont="1" applyFill="1" applyBorder="1" applyAlignment="1">
      <alignment horizontal="center" vertical="center"/>
    </xf>
    <xf numFmtId="0" fontId="31" fillId="0" borderId="32" xfId="0" applyFont="1" applyFill="1" applyBorder="1" applyAlignment="1">
      <alignment horizontal="center" vertical="center"/>
    </xf>
    <xf numFmtId="0" fontId="32" fillId="5" borderId="0" xfId="0" applyNumberFormat="1" applyFont="1" applyFill="1" applyBorder="1" applyAlignment="1">
      <alignment horizontal="center" vertical="center" wrapText="1"/>
    </xf>
    <xf numFmtId="0" fontId="21" fillId="17" borderId="28" xfId="0" applyFont="1" applyFill="1" applyBorder="1" applyAlignment="1">
      <alignment horizontal="center" vertical="center" wrapText="1"/>
    </xf>
    <xf numFmtId="1" fontId="29" fillId="16" borderId="30" xfId="0" applyNumberFormat="1" applyFont="1" applyFill="1" applyBorder="1" applyAlignment="1">
      <alignment horizontal="center" vertical="center" wrapText="1"/>
    </xf>
    <xf numFmtId="1" fontId="22" fillId="4" borderId="30" xfId="0" applyNumberFormat="1" applyFont="1" applyFill="1" applyBorder="1" applyAlignment="1">
      <alignment horizontal="left" vertical="center" wrapText="1"/>
    </xf>
    <xf numFmtId="1" fontId="22" fillId="4" borderId="30" xfId="0" applyNumberFormat="1" applyFont="1" applyFill="1" applyBorder="1" applyAlignment="1">
      <alignment horizontal="center" vertical="center" wrapText="1"/>
    </xf>
    <xf numFmtId="0" fontId="25" fillId="13" borderId="27" xfId="0" applyFont="1" applyFill="1" applyBorder="1" applyAlignment="1">
      <alignment horizontal="center" vertical="center" wrapText="1"/>
    </xf>
    <xf numFmtId="166" fontId="0" fillId="18" borderId="33" xfId="0" applyNumberFormat="1" applyFill="1" applyBorder="1" applyAlignment="1">
      <alignment horizontal="center" vertical="center"/>
    </xf>
    <xf numFmtId="1" fontId="0" fillId="18" borderId="33" xfId="0" applyNumberFormat="1" applyFill="1" applyBorder="1" applyAlignment="1">
      <alignment horizontal="center" vertical="center"/>
    </xf>
    <xf numFmtId="1" fontId="0" fillId="18" borderId="32" xfId="0" applyNumberFormat="1" applyFill="1" applyBorder="1" applyAlignment="1">
      <alignment horizontal="center" vertical="center"/>
    </xf>
    <xf numFmtId="49" fontId="0" fillId="0" borderId="35" xfId="0" applyNumberFormat="1" applyFill="1" applyBorder="1" applyAlignment="1">
      <alignment horizontal="center" vertical="center"/>
    </xf>
    <xf numFmtId="0" fontId="25" fillId="0" borderId="36" xfId="0" applyNumberFormat="1" applyFont="1" applyFill="1" applyBorder="1" applyAlignment="1">
      <alignment horizontal="center" vertical="center"/>
    </xf>
    <xf numFmtId="0" fontId="25" fillId="0" borderId="36" xfId="0" quotePrefix="1" applyNumberFormat="1" applyFont="1" applyFill="1" applyBorder="1" applyAlignment="1">
      <alignment horizontal="center" vertical="center"/>
    </xf>
    <xf numFmtId="0" fontId="25" fillId="0" borderId="36" xfId="0" applyFont="1" applyFill="1" applyBorder="1" applyAlignment="1">
      <alignment horizontal="center" vertical="center" wrapText="1"/>
    </xf>
    <xf numFmtId="0" fontId="33" fillId="13" borderId="36" xfId="0" applyFont="1" applyFill="1" applyBorder="1" applyAlignment="1">
      <alignment horizontal="center" vertical="center"/>
    </xf>
    <xf numFmtId="166" fontId="0" fillId="18" borderId="32" xfId="0" applyNumberFormat="1" applyFill="1" applyBorder="1" applyAlignment="1">
      <alignment horizontal="center" vertical="center"/>
    </xf>
    <xf numFmtId="49" fontId="0" fillId="0" borderId="37" xfId="0" applyNumberFormat="1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166" fontId="0" fillId="18" borderId="38" xfId="0" applyNumberFormat="1" applyFill="1" applyBorder="1" applyAlignment="1">
      <alignment horizontal="center" vertical="center"/>
    </xf>
    <xf numFmtId="1" fontId="0" fillId="18" borderId="27" xfId="0" applyNumberFormat="1" applyFill="1" applyBorder="1" applyAlignment="1">
      <alignment horizontal="center" vertical="center"/>
    </xf>
    <xf numFmtId="1" fontId="0" fillId="18" borderId="38" xfId="0" applyNumberFormat="1" applyFill="1" applyBorder="1" applyAlignment="1">
      <alignment horizontal="center" vertical="center"/>
    </xf>
    <xf numFmtId="1" fontId="26" fillId="4" borderId="30" xfId="0" applyNumberFormat="1" applyFont="1" applyFill="1" applyBorder="1" applyAlignment="1">
      <alignment horizontal="left" vertical="center" wrapText="1"/>
    </xf>
    <xf numFmtId="1" fontId="26" fillId="4" borderId="30" xfId="0" applyNumberFormat="1" applyFont="1" applyFill="1" applyBorder="1" applyAlignment="1">
      <alignment horizontal="center" vertical="center" wrapText="1"/>
    </xf>
    <xf numFmtId="0" fontId="0" fillId="0" borderId="36" xfId="0" applyFill="1" applyBorder="1" applyAlignment="1">
      <alignment horizontal="center" vertical="center"/>
    </xf>
    <xf numFmtId="166" fontId="0" fillId="18" borderId="36" xfId="0" applyNumberFormat="1" applyFont="1" applyFill="1" applyBorder="1" applyAlignment="1">
      <alignment horizontal="center" vertical="center"/>
    </xf>
    <xf numFmtId="1" fontId="0" fillId="18" borderId="36" xfId="0" applyNumberFormat="1" applyFont="1" applyFill="1" applyBorder="1" applyAlignment="1">
      <alignment horizontal="center" vertical="center"/>
    </xf>
    <xf numFmtId="1" fontId="0" fillId="18" borderId="39" xfId="0" applyNumberFormat="1" applyFont="1" applyFill="1" applyBorder="1" applyAlignment="1">
      <alignment horizontal="center" vertical="center"/>
    </xf>
    <xf numFmtId="0" fontId="25" fillId="0" borderId="38" xfId="0" quotePrefix="1" applyNumberFormat="1" applyFont="1" applyFill="1" applyBorder="1" applyAlignment="1">
      <alignment horizontal="center" vertical="center"/>
    </xf>
    <xf numFmtId="1" fontId="34" fillId="4" borderId="30" xfId="0" applyNumberFormat="1" applyFont="1" applyFill="1" applyBorder="1" applyAlignment="1">
      <alignment horizontal="left" vertical="center" wrapText="1"/>
    </xf>
    <xf numFmtId="1" fontId="34" fillId="4" borderId="30" xfId="0" applyNumberFormat="1" applyFont="1" applyFill="1" applyBorder="1" applyAlignment="1">
      <alignment horizontal="center" vertical="center" wrapText="1"/>
    </xf>
    <xf numFmtId="0" fontId="33" fillId="13" borderId="36" xfId="0" applyFont="1" applyFill="1" applyBorder="1" applyAlignment="1">
      <alignment horizontal="center" vertical="center" wrapText="1"/>
    </xf>
    <xf numFmtId="49" fontId="25" fillId="0" borderId="35" xfId="0" applyNumberFormat="1" applyFont="1" applyFill="1" applyBorder="1" applyAlignment="1">
      <alignment horizontal="center" vertical="center"/>
    </xf>
    <xf numFmtId="49" fontId="25" fillId="0" borderId="35" xfId="0" applyNumberFormat="1" applyFont="1" applyFill="1" applyBorder="1" applyAlignment="1">
      <alignment horizontal="center" vertical="center" wrapText="1"/>
    </xf>
    <xf numFmtId="0" fontId="25" fillId="0" borderId="36" xfId="0" applyFont="1" applyFill="1" applyBorder="1" applyAlignment="1">
      <alignment horizontal="center" vertical="center"/>
    </xf>
    <xf numFmtId="0" fontId="0" fillId="18" borderId="36" xfId="0" applyFill="1" applyBorder="1" applyAlignment="1">
      <alignment horizontal="center" vertical="center"/>
    </xf>
    <xf numFmtId="0" fontId="0" fillId="18" borderId="40" xfId="0" applyFill="1" applyBorder="1" applyAlignment="1">
      <alignment horizontal="center" vertical="center"/>
    </xf>
    <xf numFmtId="1" fontId="0" fillId="0" borderId="40" xfId="0" applyNumberFormat="1" applyFill="1" applyBorder="1" applyAlignment="1">
      <alignment horizontal="center" vertical="center"/>
    </xf>
    <xf numFmtId="165" fontId="31" fillId="0" borderId="31" xfId="0" applyNumberFormat="1" applyFont="1" applyFill="1" applyBorder="1" applyAlignment="1">
      <alignment horizontal="center" vertical="center"/>
    </xf>
    <xf numFmtId="1" fontId="29" fillId="4" borderId="30" xfId="0" applyNumberFormat="1" applyFont="1" applyFill="1" applyBorder="1" applyAlignment="1">
      <alignment horizontal="left" vertical="center" wrapText="1"/>
    </xf>
    <xf numFmtId="0" fontId="25" fillId="0" borderId="36" xfId="0" quotePrefix="1" applyFont="1" applyFill="1" applyBorder="1" applyAlignment="1">
      <alignment horizontal="center" vertical="center"/>
    </xf>
    <xf numFmtId="1" fontId="27" fillId="4" borderId="30" xfId="0" applyNumberFormat="1" applyFont="1" applyFill="1" applyBorder="1" applyAlignment="1">
      <alignment horizontal="left" vertical="center" wrapText="1"/>
    </xf>
    <xf numFmtId="1" fontId="27" fillId="4" borderId="30" xfId="0" applyNumberFormat="1" applyFont="1" applyFill="1" applyBorder="1" applyAlignment="1">
      <alignment horizontal="center" vertical="center" wrapText="1"/>
    </xf>
    <xf numFmtId="0" fontId="25" fillId="0" borderId="35" xfId="0" applyNumberFormat="1" applyFont="1" applyFill="1" applyBorder="1" applyAlignment="1">
      <alignment horizontal="center" vertical="center"/>
    </xf>
    <xf numFmtId="0" fontId="0" fillId="0" borderId="36" xfId="0" applyNumberFormat="1" applyFill="1" applyBorder="1" applyAlignment="1">
      <alignment horizontal="center" vertical="center"/>
    </xf>
    <xf numFmtId="0" fontId="38" fillId="0" borderId="36" xfId="0" applyNumberFormat="1" applyFont="1" applyFill="1" applyBorder="1" applyAlignment="1">
      <alignment horizontal="center" vertical="center"/>
    </xf>
    <xf numFmtId="0" fontId="33" fillId="13" borderId="36" xfId="0" applyFont="1" applyFill="1" applyBorder="1" applyAlignment="1">
      <alignment horizontal="center" vertical="center" shrinkToFit="1"/>
    </xf>
    <xf numFmtId="0" fontId="25" fillId="0" borderId="35" xfId="0" applyFont="1" applyFill="1" applyBorder="1" applyAlignment="1">
      <alignment horizontal="center" vertical="center"/>
    </xf>
    <xf numFmtId="1" fontId="26" fillId="19" borderId="30" xfId="0" applyNumberFormat="1" applyFont="1" applyFill="1" applyBorder="1" applyAlignment="1">
      <alignment horizontal="left" vertical="center" wrapText="1"/>
    </xf>
    <xf numFmtId="1" fontId="26" fillId="19" borderId="30" xfId="0" applyNumberFormat="1" applyFont="1" applyFill="1" applyBorder="1" applyAlignment="1">
      <alignment horizontal="center" vertical="center" wrapText="1"/>
    </xf>
    <xf numFmtId="1" fontId="22" fillId="19" borderId="30" xfId="0" applyNumberFormat="1" applyFont="1" applyFill="1" applyBorder="1" applyAlignment="1">
      <alignment horizontal="left" vertical="center" wrapText="1"/>
    </xf>
    <xf numFmtId="1" fontId="22" fillId="19" borderId="30" xfId="0" applyNumberFormat="1" applyFont="1" applyFill="1" applyBorder="1" applyAlignment="1">
      <alignment horizontal="center" vertical="center" wrapText="1"/>
    </xf>
    <xf numFmtId="16" fontId="31" fillId="0" borderId="33" xfId="0" applyNumberFormat="1" applyFont="1" applyFill="1" applyBorder="1" applyAlignment="1">
      <alignment horizontal="center" vertical="center"/>
    </xf>
    <xf numFmtId="0" fontId="31" fillId="0" borderId="36" xfId="0" applyFont="1" applyFill="1" applyBorder="1" applyAlignment="1">
      <alignment horizontal="center" vertical="center"/>
    </xf>
    <xf numFmtId="0" fontId="31" fillId="0" borderId="36" xfId="0" applyNumberFormat="1" applyFont="1" applyFill="1" applyBorder="1" applyAlignment="1">
      <alignment horizontal="center" vertical="center"/>
    </xf>
    <xf numFmtId="1" fontId="27" fillId="19" borderId="30" xfId="0" applyNumberFormat="1" applyFont="1" applyFill="1" applyBorder="1" applyAlignment="1">
      <alignment horizontal="left" vertical="center" wrapText="1"/>
    </xf>
    <xf numFmtId="1" fontId="27" fillId="19" borderId="30" xfId="0" applyNumberFormat="1" applyFont="1" applyFill="1" applyBorder="1" applyAlignment="1">
      <alignment horizontal="center" vertical="center" wrapText="1"/>
    </xf>
    <xf numFmtId="0" fontId="38" fillId="0" borderId="36" xfId="0" quotePrefix="1" applyFont="1" applyFill="1" applyBorder="1" applyAlignment="1">
      <alignment horizontal="center" vertical="center"/>
    </xf>
    <xf numFmtId="0" fontId="0" fillId="0" borderId="36" xfId="0" applyFont="1" applyFill="1" applyBorder="1" applyAlignment="1">
      <alignment horizontal="center" vertical="center"/>
    </xf>
    <xf numFmtId="1" fontId="26" fillId="7" borderId="0" xfId="0" applyNumberFormat="1" applyFont="1" applyFill="1" applyBorder="1" applyAlignment="1">
      <alignment vertical="center" wrapText="1"/>
    </xf>
    <xf numFmtId="1" fontId="26" fillId="8" borderId="0" xfId="0" applyNumberFormat="1" applyFont="1" applyFill="1" applyBorder="1" applyAlignment="1">
      <alignment vertical="center" wrapText="1"/>
    </xf>
    <xf numFmtId="1" fontId="22" fillId="9" borderId="0" xfId="0" applyNumberFormat="1" applyFont="1" applyFill="1" applyBorder="1" applyAlignment="1">
      <alignment vertical="center" wrapText="1"/>
    </xf>
    <xf numFmtId="1" fontId="22" fillId="10" borderId="0" xfId="0" applyNumberFormat="1" applyFont="1" applyFill="1" applyBorder="1" applyAlignment="1">
      <alignment vertical="center" wrapText="1"/>
    </xf>
    <xf numFmtId="1" fontId="26" fillId="10" borderId="0" xfId="0" applyNumberFormat="1" applyFont="1" applyFill="1" applyBorder="1" applyAlignment="1">
      <alignment vertical="center" wrapText="1"/>
    </xf>
    <xf numFmtId="1" fontId="26" fillId="11" borderId="0" xfId="0" applyNumberFormat="1" applyFont="1" applyFill="1" applyBorder="1" applyAlignment="1">
      <alignment vertical="center" wrapText="1"/>
    </xf>
    <xf numFmtId="1" fontId="22" fillId="11" borderId="0" xfId="0" applyNumberFormat="1" applyFont="1" applyFill="1" applyBorder="1" applyAlignment="1">
      <alignment vertical="center" wrapText="1"/>
    </xf>
    <xf numFmtId="1" fontId="26" fillId="12" borderId="0" xfId="0" applyNumberFormat="1" applyFont="1" applyFill="1" applyBorder="1" applyAlignment="1">
      <alignment vertical="center" wrapText="1"/>
    </xf>
    <xf numFmtId="1" fontId="27" fillId="12" borderId="0" xfId="0" applyNumberFormat="1" applyFont="1" applyFill="1" applyBorder="1" applyAlignment="1">
      <alignment vertical="center" wrapText="1"/>
    </xf>
    <xf numFmtId="1" fontId="29" fillId="12" borderId="0" xfId="0" applyNumberFormat="1" applyFont="1" applyFill="1" applyBorder="1" applyAlignment="1">
      <alignment vertical="center" wrapText="1"/>
    </xf>
    <xf numFmtId="1" fontId="22" fillId="12" borderId="0" xfId="0" applyNumberFormat="1" applyFont="1" applyFill="1" applyBorder="1" applyAlignment="1">
      <alignment vertical="center" wrapText="1"/>
    </xf>
    <xf numFmtId="1" fontId="26" fillId="14" borderId="0" xfId="0" applyNumberFormat="1" applyFont="1" applyFill="1" applyBorder="1" applyAlignment="1">
      <alignment vertical="center" wrapText="1"/>
    </xf>
    <xf numFmtId="1" fontId="22" fillId="14" borderId="0" xfId="0" applyNumberFormat="1" applyFont="1" applyFill="1" applyBorder="1" applyAlignment="1">
      <alignment vertical="center" wrapText="1"/>
    </xf>
    <xf numFmtId="1" fontId="27" fillId="14" borderId="0" xfId="0" applyNumberFormat="1" applyFont="1" applyFill="1" applyBorder="1" applyAlignment="1">
      <alignment vertical="center" wrapText="1"/>
    </xf>
    <xf numFmtId="1" fontId="26" fillId="15" borderId="0" xfId="0" applyNumberFormat="1" applyFont="1" applyFill="1" applyBorder="1" applyAlignment="1">
      <alignment vertical="center" wrapText="1"/>
    </xf>
    <xf numFmtId="1" fontId="22" fillId="15" borderId="0" xfId="0" applyNumberFormat="1" applyFont="1" applyFill="1" applyBorder="1" applyAlignment="1">
      <alignment vertical="center" wrapText="1"/>
    </xf>
    <xf numFmtId="1" fontId="26" fillId="16" borderId="0" xfId="0" applyNumberFormat="1" applyFont="1" applyFill="1" applyBorder="1" applyAlignment="1">
      <alignment vertical="center" wrapText="1"/>
    </xf>
    <xf numFmtId="0" fontId="0" fillId="0" borderId="0" xfId="0" applyFont="1" applyBorder="1" applyAlignment="1">
      <alignment vertical="top" wrapText="1"/>
    </xf>
    <xf numFmtId="1" fontId="22" fillId="16" borderId="0" xfId="0" applyNumberFormat="1" applyFont="1" applyFill="1" applyBorder="1" applyAlignment="1">
      <alignment vertical="center" wrapText="1"/>
    </xf>
    <xf numFmtId="1" fontId="29" fillId="16" borderId="0" xfId="0" applyNumberFormat="1" applyFont="1" applyFill="1" applyBorder="1" applyAlignment="1">
      <alignment vertical="center" wrapText="1"/>
    </xf>
    <xf numFmtId="1" fontId="27" fillId="16" borderId="0" xfId="0" applyNumberFormat="1" applyFont="1" applyFill="1" applyBorder="1" applyAlignment="1">
      <alignment vertical="center" wrapText="1"/>
    </xf>
    <xf numFmtId="1" fontId="22" fillId="4" borderId="30" xfId="0" applyNumberFormat="1" applyFont="1" applyFill="1" applyBorder="1" applyAlignment="1">
      <alignment vertical="center" wrapText="1"/>
    </xf>
    <xf numFmtId="0" fontId="22" fillId="4" borderId="30" xfId="0" applyNumberFormat="1" applyFont="1" applyFill="1" applyBorder="1" applyAlignment="1">
      <alignment vertical="center" wrapText="1"/>
    </xf>
    <xf numFmtId="1" fontId="26" fillId="4" borderId="30" xfId="0" applyNumberFormat="1" applyFont="1" applyFill="1" applyBorder="1" applyAlignment="1">
      <alignment vertical="center" wrapText="1"/>
    </xf>
    <xf numFmtId="0" fontId="26" fillId="4" borderId="30" xfId="0" applyNumberFormat="1" applyFont="1" applyFill="1" applyBorder="1" applyAlignment="1">
      <alignment vertical="center" wrapText="1"/>
    </xf>
    <xf numFmtId="1" fontId="34" fillId="4" borderId="30" xfId="0" applyNumberFormat="1" applyFont="1" applyFill="1" applyBorder="1" applyAlignment="1">
      <alignment vertical="center" wrapText="1"/>
    </xf>
    <xf numFmtId="0" fontId="0" fillId="0" borderId="0" xfId="0" applyNumberFormat="1" applyAlignment="1">
      <alignment horizontal="center"/>
    </xf>
    <xf numFmtId="165" fontId="0" fillId="0" borderId="31" xfId="0" applyNumberFormat="1" applyFont="1" applyFill="1" applyBorder="1" applyAlignment="1">
      <alignment horizontal="center" vertical="center"/>
    </xf>
    <xf numFmtId="0" fontId="0" fillId="0" borderId="33" xfId="0" applyFont="1" applyFill="1" applyBorder="1" applyAlignment="1">
      <alignment horizontal="center" vertical="center"/>
    </xf>
    <xf numFmtId="0" fontId="0" fillId="18" borderId="36" xfId="0" applyFont="1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1" fontId="29" fillId="4" borderId="30" xfId="0" applyNumberFormat="1" applyFont="1" applyFill="1" applyBorder="1" applyAlignment="1">
      <alignment vertical="center" wrapText="1"/>
    </xf>
    <xf numFmtId="0" fontId="0" fillId="0" borderId="32" xfId="0" applyFill="1" applyBorder="1" applyAlignment="1">
      <alignment horizontal="center" vertical="center" shrinkToFit="1"/>
    </xf>
    <xf numFmtId="1" fontId="27" fillId="4" borderId="30" xfId="0" applyNumberFormat="1" applyFont="1" applyFill="1" applyBorder="1" applyAlignment="1">
      <alignment vertical="center" wrapText="1"/>
    </xf>
    <xf numFmtId="0" fontId="38" fillId="0" borderId="36" xfId="0" quotePrefix="1" applyNumberFormat="1" applyFont="1" applyFill="1" applyBorder="1" applyAlignment="1">
      <alignment horizontal="center" vertical="center"/>
    </xf>
    <xf numFmtId="0" fontId="27" fillId="4" borderId="30" xfId="0" applyNumberFormat="1" applyFont="1" applyFill="1" applyBorder="1" applyAlignment="1">
      <alignment vertical="center" wrapText="1"/>
    </xf>
    <xf numFmtId="49" fontId="36" fillId="0" borderId="35" xfId="0" applyNumberFormat="1" applyFont="1" applyFill="1" applyBorder="1" applyAlignment="1">
      <alignment horizontal="center" vertical="center"/>
    </xf>
    <xf numFmtId="14" fontId="25" fillId="0" borderId="36" xfId="0" quotePrefix="1" applyNumberFormat="1" applyFont="1" applyFill="1" applyBorder="1" applyAlignment="1">
      <alignment horizontal="center" vertical="center"/>
    </xf>
    <xf numFmtId="49" fontId="25" fillId="0" borderId="36" xfId="0" applyNumberFormat="1" applyFont="1" applyFill="1" applyBorder="1" applyAlignment="1">
      <alignment horizontal="center" vertical="center"/>
    </xf>
    <xf numFmtId="0" fontId="39" fillId="0" borderId="36" xfId="0" applyFont="1" applyFill="1" applyBorder="1" applyAlignment="1">
      <alignment horizontal="center" vertical="center"/>
    </xf>
    <xf numFmtId="1" fontId="22" fillId="19" borderId="30" xfId="0" applyNumberFormat="1" applyFont="1" applyFill="1" applyBorder="1" applyAlignment="1">
      <alignment vertical="center" wrapText="1"/>
    </xf>
    <xf numFmtId="1" fontId="26" fillId="19" borderId="30" xfId="0" applyNumberFormat="1" applyFont="1" applyFill="1" applyBorder="1" applyAlignment="1">
      <alignment vertical="center" wrapText="1"/>
    </xf>
    <xf numFmtId="0" fontId="38" fillId="20" borderId="28" xfId="0" applyFont="1" applyFill="1" applyBorder="1" applyAlignment="1">
      <alignment horizontal="center" vertical="center" wrapText="1"/>
    </xf>
    <xf numFmtId="1" fontId="27" fillId="19" borderId="30" xfId="0" applyNumberFormat="1" applyFont="1" applyFill="1" applyBorder="1" applyAlignment="1">
      <alignment vertical="center" wrapText="1"/>
    </xf>
    <xf numFmtId="49" fontId="25" fillId="5" borderId="25" xfId="0" applyNumberFormat="1" applyFont="1" applyFill="1" applyBorder="1" applyAlignment="1">
      <alignment horizontal="center" vertical="center" wrapText="1"/>
    </xf>
    <xf numFmtId="49" fontId="25" fillId="5" borderId="26" xfId="0" applyNumberFormat="1" applyFont="1" applyFill="1" applyBorder="1" applyAlignment="1">
      <alignment horizontal="center" vertical="center" wrapText="1"/>
    </xf>
    <xf numFmtId="0" fontId="25" fillId="5" borderId="27" xfId="0" applyNumberFormat="1" applyFont="1" applyFill="1" applyBorder="1" applyAlignment="1">
      <alignment horizontal="center" vertical="center" wrapText="1"/>
    </xf>
    <xf numFmtId="0" fontId="25" fillId="5" borderId="27" xfId="0" applyFont="1" applyFill="1" applyBorder="1" applyAlignment="1">
      <alignment horizontal="center" vertical="center" wrapText="1"/>
    </xf>
    <xf numFmtId="0" fontId="25" fillId="5" borderId="28" xfId="0" applyFont="1" applyFill="1" applyBorder="1" applyAlignment="1">
      <alignment horizontal="center" vertical="center" wrapText="1"/>
    </xf>
    <xf numFmtId="0" fontId="25" fillId="5" borderId="28" xfId="0" applyNumberFormat="1" applyFont="1" applyFill="1" applyBorder="1" applyAlignment="1">
      <alignment horizontal="center" vertical="center" wrapText="1"/>
    </xf>
    <xf numFmtId="165" fontId="25" fillId="6" borderId="24" xfId="0" applyNumberFormat="1" applyFont="1" applyFill="1" applyBorder="1" applyAlignment="1">
      <alignment horizontal="center" vertical="center" wrapText="1"/>
    </xf>
    <xf numFmtId="0" fontId="25" fillId="6" borderId="0" xfId="0" applyFont="1" applyFill="1" applyBorder="1" applyAlignment="1">
      <alignment horizontal="center" vertical="center" wrapText="1"/>
    </xf>
    <xf numFmtId="166" fontId="25" fillId="6" borderId="0" xfId="0" applyNumberFormat="1" applyFont="1" applyFill="1" applyBorder="1" applyAlignment="1">
      <alignment horizontal="center" vertical="center" wrapText="1"/>
    </xf>
    <xf numFmtId="0" fontId="25" fillId="6" borderId="24" xfId="0" applyFont="1" applyFill="1" applyBorder="1" applyAlignment="1">
      <alignment horizontal="center" vertical="center" wrapText="1"/>
    </xf>
    <xf numFmtId="1" fontId="22" fillId="4" borderId="0" xfId="0" applyNumberFormat="1" applyFont="1" applyFill="1" applyBorder="1" applyAlignment="1">
      <alignment vertical="center" wrapText="1"/>
    </xf>
    <xf numFmtId="0" fontId="0" fillId="0" borderId="32" xfId="0" quotePrefix="1" applyFill="1" applyBorder="1" applyAlignment="1">
      <alignment horizontal="center" vertical="center"/>
    </xf>
    <xf numFmtId="0" fontId="0" fillId="21" borderId="0" xfId="0" applyFill="1"/>
    <xf numFmtId="0" fontId="22" fillId="4" borderId="29" xfId="0" applyNumberFormat="1" applyFont="1" applyFill="1" applyBorder="1" applyAlignment="1">
      <alignment horizontal="center" vertical="center" wrapText="1"/>
    </xf>
    <xf numFmtId="0" fontId="22" fillId="4" borderId="41" xfId="0" applyNumberFormat="1" applyFont="1" applyFill="1" applyBorder="1" applyAlignment="1">
      <alignment horizontal="left" vertical="center" wrapText="1"/>
    </xf>
    <xf numFmtId="15" fontId="25" fillId="5" borderId="26" xfId="0" applyNumberFormat="1" applyFont="1" applyFill="1" applyBorder="1" applyAlignment="1">
      <alignment horizontal="center" vertical="center" wrapText="1"/>
    </xf>
    <xf numFmtId="0" fontId="25" fillId="5" borderId="38" xfId="0" applyNumberFormat="1" applyFont="1" applyFill="1" applyBorder="1" applyAlignment="1">
      <alignment horizontal="center" vertical="top" wrapText="1"/>
    </xf>
    <xf numFmtId="167" fontId="22" fillId="4" borderId="42" xfId="0" applyNumberFormat="1" applyFont="1" applyFill="1" applyBorder="1" applyAlignment="1">
      <alignment horizontal="left" vertical="center" wrapText="1"/>
    </xf>
    <xf numFmtId="0" fontId="22" fillId="4" borderId="42" xfId="0" applyNumberFormat="1" applyFont="1" applyFill="1" applyBorder="1" applyAlignment="1">
      <alignment horizontal="left" vertical="center" wrapText="1"/>
    </xf>
    <xf numFmtId="0" fontId="22" fillId="4" borderId="43" xfId="0" applyNumberFormat="1" applyFont="1" applyFill="1" applyBorder="1" applyAlignment="1">
      <alignment horizontal="left" vertical="center" wrapText="1"/>
    </xf>
    <xf numFmtId="15" fontId="0" fillId="0" borderId="35" xfId="0" applyNumberFormat="1" applyFill="1" applyBorder="1" applyAlignment="1">
      <alignment horizontal="center" vertical="center"/>
    </xf>
    <xf numFmtId="0" fontId="25" fillId="22" borderId="27" xfId="0" applyNumberFormat="1" applyFont="1" applyFill="1" applyBorder="1" applyAlignment="1">
      <alignment horizontal="center" vertical="center" wrapText="1"/>
    </xf>
    <xf numFmtId="0" fontId="25" fillId="13" borderId="38" xfId="0" applyNumberFormat="1" applyFont="1" applyFill="1" applyBorder="1" applyAlignment="1">
      <alignment horizontal="center" vertical="center" wrapText="1"/>
    </xf>
    <xf numFmtId="164" fontId="22" fillId="4" borderId="29" xfId="0" applyNumberFormat="1" applyFont="1" applyFill="1" applyBorder="1" applyAlignment="1">
      <alignment horizontal="left" vertical="center" wrapText="1"/>
    </xf>
    <xf numFmtId="0" fontId="22" fillId="4" borderId="44" xfId="0" applyNumberFormat="1" applyFont="1" applyFill="1" applyBorder="1" applyAlignment="1">
      <alignment horizontal="left" vertical="center" wrapText="1"/>
    </xf>
    <xf numFmtId="167" fontId="22" fillId="4" borderId="29" xfId="0" applyNumberFormat="1" applyFont="1" applyFill="1" applyBorder="1" applyAlignment="1">
      <alignment horizontal="left" vertical="center" wrapText="1"/>
    </xf>
    <xf numFmtId="0" fontId="25" fillId="13" borderId="0" xfId="0" applyNumberFormat="1" applyFont="1" applyFill="1" applyBorder="1" applyAlignment="1">
      <alignment vertical="center" wrapText="1"/>
    </xf>
    <xf numFmtId="0" fontId="0" fillId="0" borderId="0" xfId="0" applyNumberFormat="1"/>
    <xf numFmtId="15" fontId="0" fillId="0" borderId="0" xfId="0" applyNumberFormat="1"/>
    <xf numFmtId="0" fontId="43" fillId="4" borderId="29" xfId="0" applyNumberFormat="1" applyFont="1" applyFill="1" applyBorder="1" applyAlignment="1">
      <alignment horizontal="left" vertical="center" wrapText="1"/>
    </xf>
    <xf numFmtId="164" fontId="25" fillId="5" borderId="45" xfId="0" applyNumberFormat="1" applyFont="1" applyFill="1" applyBorder="1" applyAlignment="1">
      <alignment horizontal="center" vertical="top" wrapText="1"/>
    </xf>
    <xf numFmtId="164" fontId="0" fillId="0" borderId="0" xfId="0" applyNumberFormat="1"/>
    <xf numFmtId="14" fontId="22" fillId="4" borderId="29" xfId="0" applyNumberFormat="1" applyFont="1" applyFill="1" applyBorder="1" applyAlignment="1">
      <alignment horizontal="center" vertical="center" wrapText="1"/>
    </xf>
    <xf numFmtId="49" fontId="22" fillId="4" borderId="29" xfId="0" applyNumberFormat="1" applyFont="1" applyFill="1" applyBorder="1" applyAlignment="1">
      <alignment horizontal="center" vertical="top" wrapText="1"/>
    </xf>
    <xf numFmtId="49" fontId="22" fillId="4" borderId="41" xfId="0" applyNumberFormat="1" applyFont="1" applyFill="1" applyBorder="1" applyAlignment="1">
      <alignment horizontal="center" vertical="top" wrapText="1"/>
    </xf>
    <xf numFmtId="0" fontId="25" fillId="5" borderId="25" xfId="0" applyNumberFormat="1" applyFont="1" applyFill="1" applyBorder="1" applyAlignment="1">
      <alignment horizontal="center" vertical="top" wrapText="1"/>
    </xf>
    <xf numFmtId="0" fontId="25" fillId="5" borderId="26" xfId="0" applyNumberFormat="1" applyFont="1" applyFill="1" applyBorder="1" applyAlignment="1">
      <alignment horizontal="center" vertical="top" wrapText="1"/>
    </xf>
    <xf numFmtId="14" fontId="25" fillId="5" borderId="26" xfId="0" applyNumberFormat="1" applyFont="1" applyFill="1" applyBorder="1" applyAlignment="1">
      <alignment horizontal="center" vertical="top" wrapText="1"/>
    </xf>
    <xf numFmtId="14" fontId="22" fillId="4" borderId="29" xfId="0" applyNumberFormat="1" applyFont="1" applyFill="1" applyBorder="1" applyAlignment="1">
      <alignment horizontal="left" vertical="center" wrapText="1"/>
    </xf>
    <xf numFmtId="14" fontId="25" fillId="13" borderId="26" xfId="0" applyNumberFormat="1" applyFont="1" applyFill="1" applyBorder="1" applyAlignment="1">
      <alignment horizontal="center" vertical="center" wrapText="1"/>
    </xf>
    <xf numFmtId="0" fontId="0" fillId="0" borderId="0" xfId="0"/>
    <xf numFmtId="0" fontId="25" fillId="13" borderId="46" xfId="0" applyFont="1" applyFill="1" applyBorder="1" applyAlignment="1">
      <alignment horizontal="center" vertical="center" wrapText="1"/>
    </xf>
    <xf numFmtId="0" fontId="44" fillId="13" borderId="47" xfId="0" applyFont="1" applyFill="1" applyBorder="1" applyAlignment="1">
      <alignment horizontal="center" vertical="center" wrapText="1"/>
    </xf>
    <xf numFmtId="165" fontId="0" fillId="0" borderId="48" xfId="0" applyNumberFormat="1" applyFill="1" applyBorder="1" applyAlignment="1">
      <alignment horizontal="center" vertical="center"/>
    </xf>
    <xf numFmtId="0" fontId="44" fillId="13" borderId="49" xfId="0" applyFont="1" applyFill="1" applyBorder="1" applyAlignment="1">
      <alignment horizontal="center" vertical="center" wrapText="1"/>
    </xf>
    <xf numFmtId="0" fontId="44" fillId="13" borderId="50" xfId="0" applyFont="1" applyFill="1" applyBorder="1" applyAlignment="1">
      <alignment horizontal="center" vertical="center" wrapText="1"/>
    </xf>
    <xf numFmtId="0" fontId="39" fillId="13" borderId="28" xfId="0" applyFont="1" applyFill="1" applyBorder="1" applyAlignment="1">
      <alignment horizontal="center" vertical="center" wrapText="1"/>
    </xf>
    <xf numFmtId="0" fontId="44" fillId="0" borderId="32" xfId="0" applyFont="1" applyFill="1" applyBorder="1" applyAlignment="1">
      <alignment horizontal="center" vertical="center"/>
    </xf>
    <xf numFmtId="0" fontId="33" fillId="13" borderId="28" xfId="0" applyFont="1" applyFill="1" applyBorder="1" applyAlignment="1">
      <alignment horizontal="center" vertical="center"/>
    </xf>
    <xf numFmtId="0" fontId="33" fillId="13" borderId="28" xfId="0" applyFont="1" applyFill="1" applyBorder="1" applyAlignment="1">
      <alignment horizontal="center" vertical="center" wrapText="1"/>
    </xf>
    <xf numFmtId="0" fontId="33" fillId="13" borderId="28" xfId="0" applyFont="1" applyFill="1" applyBorder="1" applyAlignment="1">
      <alignment horizontal="center" vertical="center" shrinkToFit="1"/>
    </xf>
    <xf numFmtId="0" fontId="25" fillId="5" borderId="26" xfId="0" applyNumberFormat="1" applyFont="1" applyFill="1" applyBorder="1" applyAlignment="1">
      <alignment horizontal="center" vertical="center" wrapText="1"/>
    </xf>
    <xf numFmtId="0" fontId="25" fillId="13" borderId="26" xfId="0" applyNumberFormat="1" applyFont="1" applyFill="1" applyBorder="1" applyAlignment="1">
      <alignment horizontal="center" vertical="center" wrapText="1"/>
    </xf>
    <xf numFmtId="0" fontId="0" fillId="0" borderId="35" xfId="0" applyNumberFormat="1" applyFont="1" applyFill="1" applyBorder="1" applyAlignment="1">
      <alignment horizontal="center" vertical="center" wrapText="1"/>
    </xf>
    <xf numFmtId="0" fontId="0" fillId="0" borderId="35" xfId="0" applyNumberFormat="1" applyFill="1" applyBorder="1" applyAlignment="1">
      <alignment horizontal="center" vertical="center" wrapText="1"/>
    </xf>
    <xf numFmtId="0" fontId="25" fillId="0" borderId="35" xfId="0" applyNumberFormat="1" applyFont="1" applyFill="1" applyBorder="1" applyAlignment="1">
      <alignment horizontal="center" vertical="center" wrapText="1"/>
    </xf>
    <xf numFmtId="0" fontId="0" fillId="0" borderId="36" xfId="0" applyNumberFormat="1" applyBorder="1" applyAlignment="1">
      <alignment wrapText="1"/>
    </xf>
    <xf numFmtId="0" fontId="0" fillId="0" borderId="0" xfId="0" applyNumberFormat="1" applyAlignment="1">
      <alignment wrapText="1"/>
    </xf>
    <xf numFmtId="0" fontId="0" fillId="0" borderId="36" xfId="0" applyNumberFormat="1" applyFill="1" applyBorder="1" applyAlignment="1">
      <alignment wrapText="1"/>
    </xf>
    <xf numFmtId="0" fontId="45" fillId="17" borderId="28" xfId="0" applyFont="1" applyFill="1" applyBorder="1" applyAlignment="1">
      <alignment horizontal="center" vertical="center" wrapText="1"/>
    </xf>
    <xf numFmtId="167" fontId="25" fillId="5" borderId="27" xfId="0" applyNumberFormat="1" applyFont="1" applyFill="1" applyBorder="1" applyAlignment="1">
      <alignment horizontal="center" vertical="center" wrapText="1"/>
    </xf>
    <xf numFmtId="167" fontId="25" fillId="0" borderId="27" xfId="0" applyNumberFormat="1" applyFont="1" applyFill="1" applyBorder="1" applyAlignment="1">
      <alignment horizontal="center" vertical="center" wrapText="1"/>
    </xf>
    <xf numFmtId="167" fontId="25" fillId="0" borderId="27" xfId="0" quotePrefix="1" applyNumberFormat="1" applyFont="1" applyFill="1" applyBorder="1" applyAlignment="1">
      <alignment horizontal="center" vertical="center" wrapText="1"/>
    </xf>
    <xf numFmtId="167" fontId="0" fillId="0" borderId="0" xfId="0" applyNumberFormat="1" applyFont="1" applyBorder="1" applyAlignment="1">
      <alignment vertical="top" wrapText="1"/>
    </xf>
    <xf numFmtId="167" fontId="0" fillId="0" borderId="36" xfId="0" applyNumberFormat="1" applyFont="1" applyFill="1" applyBorder="1" applyAlignment="1">
      <alignment horizontal="center" vertical="center"/>
    </xf>
    <xf numFmtId="167" fontId="0" fillId="0" borderId="0" xfId="0" applyNumberFormat="1" applyFont="1" applyFill="1" applyBorder="1" applyAlignment="1">
      <alignment horizontal="center" vertical="center"/>
    </xf>
    <xf numFmtId="167" fontId="0" fillId="0" borderId="36" xfId="0" applyNumberFormat="1" applyFill="1" applyBorder="1" applyAlignment="1">
      <alignment horizontal="center" vertical="center"/>
    </xf>
    <xf numFmtId="167" fontId="0" fillId="0" borderId="0" xfId="0" applyNumberFormat="1"/>
    <xf numFmtId="167" fontId="25" fillId="13" borderId="27" xfId="0" applyNumberFormat="1" applyFont="1" applyFill="1" applyBorder="1" applyAlignment="1">
      <alignment horizontal="center" vertical="center" wrapText="1"/>
    </xf>
    <xf numFmtId="167" fontId="25" fillId="0" borderId="36" xfId="0" applyNumberFormat="1" applyFont="1" applyFill="1" applyBorder="1" applyAlignment="1">
      <alignment horizontal="center" vertical="center"/>
    </xf>
    <xf numFmtId="9" fontId="33" fillId="13" borderId="28" xfId="0" applyNumberFormat="1" applyFont="1" applyFill="1" applyBorder="1" applyAlignment="1">
      <alignment horizontal="center" vertical="center"/>
    </xf>
    <xf numFmtId="10" fontId="33" fillId="13" borderId="28" xfId="0" applyNumberFormat="1" applyFont="1" applyFill="1" applyBorder="1" applyAlignment="1">
      <alignment horizontal="center" vertical="center"/>
    </xf>
    <xf numFmtId="8" fontId="25" fillId="0" borderId="36" xfId="0" applyNumberFormat="1" applyFont="1" applyFill="1" applyBorder="1" applyAlignment="1">
      <alignment horizontal="center" vertical="center" wrapText="1"/>
    </xf>
    <xf numFmtId="0" fontId="33" fillId="13" borderId="28" xfId="0" quotePrefix="1" applyFont="1" applyFill="1" applyBorder="1" applyAlignment="1">
      <alignment horizontal="center" vertical="center"/>
    </xf>
    <xf numFmtId="0" fontId="0" fillId="0" borderId="0" xfId="0"/>
    <xf numFmtId="16" fontId="0" fillId="0" borderId="33" xfId="0" applyNumberFormat="1" applyFill="1" applyBorder="1" applyAlignment="1">
      <alignment horizontal="center" vertical="center"/>
    </xf>
    <xf numFmtId="0" fontId="25" fillId="0" borderId="35" xfId="0" quotePrefix="1" applyNumberFormat="1" applyFont="1" applyFill="1" applyBorder="1" applyAlignment="1">
      <alignment horizontal="center" vertical="center" wrapText="1"/>
    </xf>
    <xf numFmtId="0" fontId="25" fillId="23" borderId="27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14" fontId="25" fillId="0" borderId="35" xfId="0" applyNumberFormat="1" applyFont="1" applyFill="1" applyBorder="1" applyAlignment="1">
      <alignment horizontal="center" vertical="center" wrapText="1"/>
    </xf>
    <xf numFmtId="49" fontId="25" fillId="0" borderId="45" xfId="0" applyNumberFormat="1" applyFont="1" applyFill="1" applyBorder="1" applyAlignment="1">
      <alignment horizontal="center" vertical="center"/>
    </xf>
    <xf numFmtId="15" fontId="25" fillId="0" borderId="35" xfId="0" applyNumberFormat="1" applyFont="1" applyFill="1" applyBorder="1" applyAlignment="1">
      <alignment horizontal="center" vertical="center" wrapText="1"/>
    </xf>
    <xf numFmtId="0" fontId="51" fillId="0" borderId="36" xfId="0" applyNumberFormat="1" applyFont="1" applyFill="1" applyBorder="1" applyAlignment="1">
      <alignment horizontal="center" vertical="center"/>
    </xf>
    <xf numFmtId="0" fontId="44" fillId="13" borderId="28" xfId="0" applyFont="1" applyFill="1" applyBorder="1" applyAlignment="1">
      <alignment horizontal="center" vertical="center" wrapText="1"/>
    </xf>
    <xf numFmtId="0" fontId="52" fillId="0" borderId="51" xfId="0" applyFont="1" applyBorder="1" applyAlignment="1">
      <alignment horizontal="left" vertical="center" wrapText="1" indent="1"/>
    </xf>
    <xf numFmtId="0" fontId="25" fillId="0" borderId="0" xfId="1" quotePrefix="1" applyNumberFormat="1" applyFont="1" applyAlignment="1">
      <alignment horizontal="left" vertical="center" wrapText="1" indent="1"/>
    </xf>
    <xf numFmtId="0" fontId="25" fillId="0" borderId="27" xfId="0" applyNumberFormat="1" applyFont="1" applyFill="1" applyBorder="1" applyAlignment="1">
      <alignment horizontal="center" vertical="center"/>
    </xf>
    <xf numFmtId="0" fontId="0" fillId="0" borderId="0" xfId="0"/>
    <xf numFmtId="0" fontId="27" fillId="13" borderId="28" xfId="0" applyFont="1" applyFill="1" applyBorder="1" applyAlignment="1">
      <alignment horizontal="center" vertical="center" wrapText="1"/>
    </xf>
    <xf numFmtId="0" fontId="0" fillId="0" borderId="0" xfId="0"/>
    <xf numFmtId="0" fontId="25" fillId="0" borderId="27" xfId="0" applyNumberFormat="1" applyFont="1" applyFill="1" applyBorder="1" applyAlignment="1">
      <alignment horizontal="center" vertical="center" wrapText="1"/>
    </xf>
    <xf numFmtId="10" fontId="54" fillId="13" borderId="28" xfId="0" applyNumberFormat="1" applyFont="1" applyFill="1" applyBorder="1" applyAlignment="1">
      <alignment horizontal="center" vertical="center"/>
    </xf>
    <xf numFmtId="9" fontId="54" fillId="13" borderId="28" xfId="0" applyNumberFormat="1" applyFont="1" applyFill="1" applyBorder="1" applyAlignment="1">
      <alignment horizontal="center" vertical="center"/>
    </xf>
    <xf numFmtId="0" fontId="55" fillId="13" borderId="28" xfId="0" applyFont="1" applyFill="1" applyBorder="1" applyAlignment="1">
      <alignment horizontal="center" vertical="center" wrapText="1"/>
    </xf>
    <xf numFmtId="0" fontId="25" fillId="23" borderId="36" xfId="0" applyFont="1" applyFill="1" applyBorder="1" applyAlignment="1">
      <alignment horizontal="center" vertical="center"/>
    </xf>
    <xf numFmtId="49" fontId="0" fillId="0" borderId="45" xfId="0" applyNumberForma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33" fillId="13" borderId="38" xfId="0" applyFont="1" applyFill="1" applyBorder="1" applyAlignment="1">
      <alignment horizontal="center" vertical="center"/>
    </xf>
    <xf numFmtId="1" fontId="22" fillId="24" borderId="30" xfId="0" applyNumberFormat="1" applyFont="1" applyFill="1" applyBorder="1" applyAlignment="1">
      <alignment vertical="center" wrapText="1"/>
    </xf>
    <xf numFmtId="1" fontId="22" fillId="24" borderId="30" xfId="0" applyNumberFormat="1" applyFont="1" applyFill="1" applyBorder="1" applyAlignment="1">
      <alignment horizontal="left" vertical="center" wrapText="1"/>
    </xf>
    <xf numFmtId="1" fontId="22" fillId="24" borderId="30" xfId="0" applyNumberFormat="1" applyFont="1" applyFill="1" applyBorder="1" applyAlignment="1">
      <alignment horizontal="center" vertical="center" wrapText="1"/>
    </xf>
    <xf numFmtId="49" fontId="25" fillId="0" borderId="26" xfId="0" applyNumberFormat="1" applyFont="1" applyFill="1" applyBorder="1" applyAlignment="1">
      <alignment horizontal="center" vertical="center"/>
    </xf>
    <xf numFmtId="0" fontId="25" fillId="0" borderId="26" xfId="0" applyNumberFormat="1" applyFont="1" applyFill="1" applyBorder="1" applyAlignment="1">
      <alignment horizontal="center" vertical="center" wrapText="1"/>
    </xf>
    <xf numFmtId="0" fontId="25" fillId="0" borderId="27" xfId="0" applyFont="1" applyFill="1" applyBorder="1" applyAlignment="1">
      <alignment horizontal="center" vertical="center"/>
    </xf>
    <xf numFmtId="167" fontId="25" fillId="0" borderId="27" xfId="0" applyNumberFormat="1" applyFont="1" applyFill="1" applyBorder="1" applyAlignment="1">
      <alignment horizontal="center" vertical="center"/>
    </xf>
    <xf numFmtId="167" fontId="0" fillId="0" borderId="27" xfId="0" applyNumberFormat="1" applyFont="1" applyFill="1" applyBorder="1" applyAlignment="1">
      <alignment horizontal="center" vertical="center"/>
    </xf>
    <xf numFmtId="0" fontId="25" fillId="0" borderId="27" xfId="0" applyFont="1" applyFill="1" applyBorder="1" applyAlignment="1">
      <alignment horizontal="center" vertical="center" wrapText="1"/>
    </xf>
    <xf numFmtId="0" fontId="33" fillId="13" borderId="27" xfId="0" applyFont="1" applyFill="1" applyBorder="1" applyAlignment="1">
      <alignment horizontal="center" vertical="center"/>
    </xf>
    <xf numFmtId="0" fontId="0" fillId="0" borderId="27" xfId="0" applyFont="1" applyFill="1" applyBorder="1" applyAlignment="1">
      <alignment horizontal="center" vertical="center"/>
    </xf>
    <xf numFmtId="0" fontId="0" fillId="0" borderId="27" xfId="0" applyNumberFormat="1" applyFill="1" applyBorder="1" applyAlignment="1">
      <alignment horizontal="center" vertical="center"/>
    </xf>
    <xf numFmtId="0" fontId="0" fillId="18" borderId="27" xfId="0" applyFill="1" applyBorder="1" applyAlignment="1">
      <alignment horizontal="center" vertical="center"/>
    </xf>
    <xf numFmtId="0" fontId="0" fillId="18" borderId="28" xfId="0" applyFill="1" applyBorder="1" applyAlignment="1">
      <alignment horizontal="center" vertical="center"/>
    </xf>
    <xf numFmtId="1" fontId="0" fillId="0" borderId="28" xfId="0" applyNumberFormat="1" applyFill="1" applyBorder="1" applyAlignment="1">
      <alignment horizontal="center" vertical="center"/>
    </xf>
    <xf numFmtId="1" fontId="26" fillId="19" borderId="52" xfId="0" applyNumberFormat="1" applyFont="1" applyFill="1" applyBorder="1" applyAlignment="1">
      <alignment vertical="center" wrapText="1"/>
    </xf>
    <xf numFmtId="1" fontId="26" fillId="19" borderId="52" xfId="0" applyNumberFormat="1" applyFont="1" applyFill="1" applyBorder="1" applyAlignment="1">
      <alignment horizontal="left" vertical="center" wrapText="1"/>
    </xf>
    <xf numFmtId="1" fontId="26" fillId="19" borderId="52" xfId="0" applyNumberFormat="1" applyFont="1" applyFill="1" applyBorder="1" applyAlignment="1">
      <alignment horizontal="center" vertical="center" wrapText="1"/>
    </xf>
    <xf numFmtId="49" fontId="25" fillId="0" borderId="53" xfId="0" applyNumberFormat="1" applyFont="1" applyFill="1" applyBorder="1" applyAlignment="1">
      <alignment horizontal="center" vertical="center"/>
    </xf>
    <xf numFmtId="0" fontId="25" fillId="0" borderId="53" xfId="0" applyNumberFormat="1" applyFont="1" applyFill="1" applyBorder="1" applyAlignment="1">
      <alignment horizontal="center" vertical="center" wrapText="1"/>
    </xf>
    <xf numFmtId="0" fontId="25" fillId="13" borderId="54" xfId="0" applyNumberFormat="1" applyFont="1" applyFill="1" applyBorder="1" applyAlignment="1">
      <alignment horizontal="center" vertical="center" wrapText="1"/>
    </xf>
    <xf numFmtId="0" fontId="25" fillId="0" borderId="55" xfId="0" applyFont="1" applyFill="1" applyBorder="1" applyAlignment="1">
      <alignment horizontal="center" vertical="center"/>
    </xf>
    <xf numFmtId="0" fontId="25" fillId="0" borderId="55" xfId="0" applyNumberFormat="1" applyFont="1" applyFill="1" applyBorder="1" applyAlignment="1">
      <alignment horizontal="center" vertical="center"/>
    </xf>
    <xf numFmtId="167" fontId="25" fillId="0" borderId="55" xfId="0" applyNumberFormat="1" applyFont="1" applyFill="1" applyBorder="1" applyAlignment="1">
      <alignment horizontal="center" vertical="center"/>
    </xf>
    <xf numFmtId="167" fontId="0" fillId="0" borderId="55" xfId="0" applyNumberFormat="1" applyFont="1" applyFill="1" applyBorder="1" applyAlignment="1">
      <alignment horizontal="center" vertical="center"/>
    </xf>
    <xf numFmtId="0" fontId="25" fillId="0" borderId="55" xfId="0" applyFont="1" applyFill="1" applyBorder="1" applyAlignment="1">
      <alignment horizontal="center" vertical="center" wrapText="1"/>
    </xf>
    <xf numFmtId="0" fontId="33" fillId="13" borderId="55" xfId="0" applyFont="1" applyFill="1" applyBorder="1" applyAlignment="1">
      <alignment horizontal="center" vertical="center"/>
    </xf>
    <xf numFmtId="0" fontId="33" fillId="13" borderId="56" xfId="0" applyFont="1" applyFill="1" applyBorder="1" applyAlignment="1">
      <alignment horizontal="center" vertical="center"/>
    </xf>
    <xf numFmtId="0" fontId="25" fillId="13" borderId="56" xfId="0" applyFont="1" applyFill="1" applyBorder="1" applyAlignment="1">
      <alignment horizontal="center" vertical="center" wrapText="1"/>
    </xf>
    <xf numFmtId="0" fontId="25" fillId="5" borderId="52" xfId="0" applyFont="1" applyFill="1" applyBorder="1" applyAlignment="1">
      <alignment horizontal="center" vertical="center" wrapText="1"/>
    </xf>
    <xf numFmtId="165" fontId="0" fillId="0" borderId="57" xfId="0" applyNumberFormat="1" applyFill="1" applyBorder="1" applyAlignment="1">
      <alignment horizontal="center" vertical="center"/>
    </xf>
    <xf numFmtId="0" fontId="0" fillId="0" borderId="55" xfId="0" applyFill="1" applyBorder="1" applyAlignment="1">
      <alignment horizontal="center" vertical="center"/>
    </xf>
    <xf numFmtId="0" fontId="0" fillId="0" borderId="55" xfId="0" applyFont="1" applyFill="1" applyBorder="1" applyAlignment="1">
      <alignment horizontal="center" vertical="center"/>
    </xf>
    <xf numFmtId="0" fontId="0" fillId="0" borderId="54" xfId="0" applyFill="1" applyBorder="1" applyAlignment="1">
      <alignment horizontal="center" vertical="center"/>
    </xf>
    <xf numFmtId="0" fontId="0" fillId="0" borderId="55" xfId="0" applyNumberFormat="1" applyFill="1" applyBorder="1" applyAlignment="1">
      <alignment horizontal="center" vertical="center"/>
    </xf>
    <xf numFmtId="0" fontId="0" fillId="18" borderId="55" xfId="0" applyFill="1" applyBorder="1" applyAlignment="1">
      <alignment horizontal="center" vertical="center"/>
    </xf>
    <xf numFmtId="0" fontId="0" fillId="18" borderId="58" xfId="0" applyFill="1" applyBorder="1" applyAlignment="1">
      <alignment horizontal="center" vertical="center"/>
    </xf>
    <xf numFmtId="1" fontId="0" fillId="0" borderId="58" xfId="0" applyNumberFormat="1" applyFill="1" applyBorder="1" applyAlignment="1">
      <alignment horizontal="center" vertical="center"/>
    </xf>
    <xf numFmtId="1" fontId="22" fillId="4" borderId="52" xfId="0" applyNumberFormat="1" applyFont="1" applyFill="1" applyBorder="1" applyAlignment="1">
      <alignment vertical="center" wrapText="1"/>
    </xf>
    <xf numFmtId="1" fontId="22" fillId="4" borderId="52" xfId="0" applyNumberFormat="1" applyFont="1" applyFill="1" applyBorder="1" applyAlignment="1">
      <alignment horizontal="left" vertical="center" wrapText="1"/>
    </xf>
    <xf numFmtId="1" fontId="22" fillId="4" borderId="52" xfId="0" applyNumberFormat="1" applyFont="1" applyFill="1" applyBorder="1" applyAlignment="1">
      <alignment horizontal="center" vertical="center" wrapText="1"/>
    </xf>
    <xf numFmtId="0" fontId="25" fillId="0" borderId="53" xfId="0" applyFont="1" applyFill="1" applyBorder="1" applyAlignment="1">
      <alignment horizontal="center" vertical="center"/>
    </xf>
    <xf numFmtId="0" fontId="38" fillId="0" borderId="55" xfId="0" applyNumberFormat="1" applyFont="1" applyFill="1" applyBorder="1" applyAlignment="1">
      <alignment horizontal="center" vertical="center"/>
    </xf>
    <xf numFmtId="0" fontId="25" fillId="13" borderId="54" xfId="0" quotePrefix="1" applyNumberFormat="1" applyFont="1" applyFill="1" applyBorder="1" applyAlignment="1">
      <alignment horizontal="center" vertical="center" wrapText="1"/>
    </xf>
    <xf numFmtId="1" fontId="26" fillId="24" borderId="30" xfId="0" applyNumberFormat="1" applyFont="1" applyFill="1" applyBorder="1" applyAlignment="1">
      <alignment vertical="center" wrapText="1"/>
    </xf>
    <xf numFmtId="1" fontId="26" fillId="24" borderId="30" xfId="0" applyNumberFormat="1" applyFont="1" applyFill="1" applyBorder="1" applyAlignment="1">
      <alignment horizontal="left" vertical="center" wrapText="1"/>
    </xf>
    <xf numFmtId="1" fontId="26" fillId="24" borderId="30" xfId="0" applyNumberFormat="1" applyFont="1" applyFill="1" applyBorder="1" applyAlignment="1">
      <alignment horizontal="center" vertical="center" wrapText="1"/>
    </xf>
    <xf numFmtId="0" fontId="21" fillId="25" borderId="28" xfId="0" applyFont="1" applyFill="1" applyBorder="1" applyAlignment="1">
      <alignment horizontal="center" vertical="center" wrapText="1"/>
    </xf>
    <xf numFmtId="14" fontId="0" fillId="0" borderId="33" xfId="0" applyNumberFormat="1" applyFill="1" applyBorder="1" applyAlignment="1">
      <alignment horizontal="center" vertical="center"/>
    </xf>
    <xf numFmtId="0" fontId="25" fillId="6" borderId="28" xfId="0" applyFont="1" applyFill="1" applyBorder="1" applyAlignment="1">
      <alignment horizontal="center" vertical="center" wrapText="1"/>
    </xf>
    <xf numFmtId="0" fontId="56" fillId="25" borderId="36" xfId="0" applyFont="1" applyFill="1" applyBorder="1" applyAlignment="1">
      <alignment horizontal="center" vertical="center"/>
    </xf>
    <xf numFmtId="0" fontId="57" fillId="25" borderId="28" xfId="0" applyFont="1" applyFill="1" applyBorder="1" applyAlignment="1">
      <alignment horizontal="center" vertical="center" wrapText="1"/>
    </xf>
    <xf numFmtId="0" fontId="38" fillId="25" borderId="28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10" fontId="25" fillId="13" borderId="27" xfId="0" applyNumberFormat="1" applyFont="1" applyFill="1" applyBorder="1" applyAlignment="1">
      <alignment horizontal="center" vertical="center" wrapText="1"/>
    </xf>
    <xf numFmtId="0" fontId="0" fillId="25" borderId="28" xfId="0" applyFont="1" applyFill="1" applyBorder="1" applyAlignment="1">
      <alignment horizontal="center" vertical="center" wrapText="1"/>
    </xf>
    <xf numFmtId="49" fontId="25" fillId="13" borderId="59" xfId="0" applyNumberFormat="1" applyFont="1" applyFill="1" applyBorder="1" applyAlignment="1">
      <alignment horizontal="center" vertical="center" wrapText="1"/>
    </xf>
    <xf numFmtId="0" fontId="25" fillId="13" borderId="59" xfId="0" applyNumberFormat="1" applyFont="1" applyFill="1" applyBorder="1" applyAlignment="1">
      <alignment horizontal="center" vertical="center" wrapText="1"/>
    </xf>
    <xf numFmtId="167" fontId="25" fillId="13" borderId="54" xfId="0" applyNumberFormat="1" applyFont="1" applyFill="1" applyBorder="1" applyAlignment="1">
      <alignment horizontal="center" vertical="center" wrapText="1"/>
    </xf>
    <xf numFmtId="167" fontId="25" fillId="0" borderId="54" xfId="0" applyNumberFormat="1" applyFont="1" applyFill="1" applyBorder="1" applyAlignment="1">
      <alignment horizontal="center" vertical="center" wrapText="1"/>
    </xf>
    <xf numFmtId="165" fontId="0" fillId="0" borderId="60" xfId="0" applyNumberFormat="1" applyFill="1" applyBorder="1" applyAlignment="1">
      <alignment horizontal="center" vertical="center"/>
    </xf>
    <xf numFmtId="0" fontId="25" fillId="5" borderId="52" xfId="0" applyNumberFormat="1" applyFont="1" applyFill="1" applyBorder="1" applyAlignment="1">
      <alignment horizontal="center" vertical="center" wrapText="1"/>
    </xf>
    <xf numFmtId="0" fontId="25" fillId="6" borderId="52" xfId="0" applyFont="1" applyFill="1" applyBorder="1" applyAlignment="1">
      <alignment horizontal="center" vertical="top" wrapText="1"/>
    </xf>
    <xf numFmtId="166" fontId="25" fillId="6" borderId="52" xfId="0" applyNumberFormat="1" applyFont="1" applyFill="1" applyBorder="1" applyAlignment="1">
      <alignment horizontal="center" vertical="top" wrapText="1"/>
    </xf>
    <xf numFmtId="0" fontId="25" fillId="13" borderId="61" xfId="0" applyFont="1" applyFill="1" applyBorder="1" applyAlignment="1">
      <alignment horizontal="center" vertical="center" wrapText="1"/>
    </xf>
    <xf numFmtId="1" fontId="26" fillId="15" borderId="52" xfId="0" applyNumberFormat="1" applyFont="1" applyFill="1" applyBorder="1" applyAlignment="1">
      <alignment vertical="center" wrapText="1"/>
    </xf>
    <xf numFmtId="1" fontId="22" fillId="15" borderId="52" xfId="0" applyNumberFormat="1" applyFont="1" applyFill="1" applyBorder="1" applyAlignment="1">
      <alignment horizontal="left" vertical="center" wrapText="1"/>
    </xf>
    <xf numFmtId="1" fontId="22" fillId="15" borderId="52" xfId="0" applyNumberFormat="1" applyFont="1" applyFill="1" applyBorder="1" applyAlignment="1">
      <alignment horizontal="center" vertical="center" wrapText="1"/>
    </xf>
    <xf numFmtId="1" fontId="22" fillId="14" borderId="52" xfId="0" applyNumberFormat="1" applyFont="1" applyFill="1" applyBorder="1" applyAlignment="1">
      <alignment vertical="center" wrapText="1"/>
    </xf>
    <xf numFmtId="1" fontId="22" fillId="14" borderId="52" xfId="0" applyNumberFormat="1" applyFont="1" applyFill="1" applyBorder="1" applyAlignment="1">
      <alignment horizontal="left" vertical="center" wrapText="1"/>
    </xf>
    <xf numFmtId="1" fontId="22" fillId="14" borderId="52" xfId="0" applyNumberFormat="1" applyFont="1" applyFill="1" applyBorder="1" applyAlignment="1">
      <alignment horizontal="center" vertical="center" wrapText="1"/>
    </xf>
    <xf numFmtId="14" fontId="25" fillId="6" borderId="0" xfId="0" applyNumberFormat="1" applyFont="1" applyFill="1" applyBorder="1" applyAlignment="1">
      <alignment horizontal="center" vertical="top" wrapText="1"/>
    </xf>
    <xf numFmtId="14" fontId="25" fillId="0" borderId="36" xfId="0" applyNumberFormat="1" applyFont="1" applyFill="1" applyBorder="1" applyAlignment="1">
      <alignment horizontal="center" vertical="center" wrapText="1"/>
    </xf>
    <xf numFmtId="16" fontId="25" fillId="0" borderId="36" xfId="0" applyNumberFormat="1" applyFont="1" applyFill="1" applyBorder="1" applyAlignment="1">
      <alignment horizontal="center" vertical="center"/>
    </xf>
    <xf numFmtId="0" fontId="25" fillId="0" borderId="38" xfId="0" applyFont="1" applyFill="1" applyBorder="1" applyAlignment="1">
      <alignment horizontal="center" vertical="center"/>
    </xf>
    <xf numFmtId="16" fontId="0" fillId="18" borderId="36" xfId="0" applyNumberFormat="1" applyFill="1" applyBorder="1" applyAlignment="1">
      <alignment horizontal="center" vertical="center"/>
    </xf>
    <xf numFmtId="0" fontId="25" fillId="0" borderId="38" xfId="0" applyNumberFormat="1" applyFont="1" applyFill="1" applyBorder="1" applyAlignment="1">
      <alignment horizontal="center" vertical="center"/>
    </xf>
    <xf numFmtId="0" fontId="25" fillId="0" borderId="38" xfId="0" applyFont="1" applyFill="1" applyBorder="1" applyAlignment="1">
      <alignment horizontal="center" vertical="center" wrapText="1"/>
    </xf>
    <xf numFmtId="0" fontId="25" fillId="22" borderId="38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5" fillId="13" borderId="27" xfId="0" applyNumberFormat="1" applyFont="1" applyFill="1" applyBorder="1" applyAlignment="1">
      <alignment horizontal="center" vertical="center" wrapText="1"/>
    </xf>
    <xf numFmtId="0" fontId="25" fillId="13" borderId="28" xfId="0" quotePrefix="1" applyFont="1" applyFill="1" applyBorder="1" applyAlignment="1">
      <alignment horizontal="center" vertical="center" wrapText="1"/>
    </xf>
    <xf numFmtId="0" fontId="25" fillId="26" borderId="36" xfId="0" applyFont="1" applyFill="1" applyBorder="1" applyAlignment="1">
      <alignment horizontal="center" vertical="center" wrapText="1"/>
    </xf>
    <xf numFmtId="0" fontId="25" fillId="13" borderId="27" xfId="0" applyNumberFormat="1" applyFont="1" applyFill="1" applyBorder="1" applyAlignment="1">
      <alignment horizontal="center" vertical="center" wrapText="1"/>
    </xf>
    <xf numFmtId="0" fontId="25" fillId="13" borderId="27" xfId="0" applyNumberFormat="1" applyFont="1" applyFill="1" applyBorder="1" applyAlignment="1">
      <alignment horizontal="center" vertical="center" wrapText="1"/>
    </xf>
    <xf numFmtId="167" fontId="0" fillId="0" borderId="35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13" borderId="27" xfId="0" applyNumberFormat="1" applyFont="1" applyFill="1" applyBorder="1" applyAlignment="1">
      <alignment horizontal="center" vertical="center" wrapText="1"/>
    </xf>
    <xf numFmtId="168" fontId="33" fillId="13" borderId="28" xfId="0" applyNumberFormat="1" applyFont="1" applyFill="1" applyBorder="1" applyAlignment="1">
      <alignment horizontal="center" vertical="center"/>
    </xf>
    <xf numFmtId="9" fontId="25" fillId="13" borderId="28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10" fontId="25" fillId="0" borderId="27" xfId="0" applyNumberFormat="1" applyFont="1" applyFill="1" applyBorder="1" applyAlignment="1">
      <alignment horizontal="center" vertical="center" wrapText="1"/>
    </xf>
    <xf numFmtId="9" fontId="25" fillId="0" borderId="27" xfId="0" applyNumberFormat="1" applyFont="1" applyFill="1" applyBorder="1" applyAlignment="1">
      <alignment horizontal="center" vertical="center" wrapText="1"/>
    </xf>
    <xf numFmtId="0" fontId="58" fillId="25" borderId="28" xfId="0" applyFont="1" applyFill="1" applyBorder="1" applyAlignment="1">
      <alignment horizontal="center" vertical="center" wrapText="1"/>
    </xf>
    <xf numFmtId="0" fontId="0" fillId="0" borderId="0" xfId="0" applyAlignment="1"/>
    <xf numFmtId="9" fontId="33" fillId="13" borderId="28" xfId="0" quotePrefix="1" applyNumberFormat="1" applyFont="1" applyFill="1" applyBorder="1" applyAlignment="1">
      <alignment horizontal="center" vertical="center"/>
    </xf>
    <xf numFmtId="0" fontId="25" fillId="13" borderId="27" xfId="0" applyNumberFormat="1" applyFont="1" applyFill="1" applyBorder="1" applyAlignment="1">
      <alignment horizontal="center" vertical="center" wrapText="1"/>
    </xf>
    <xf numFmtId="0" fontId="25" fillId="13" borderId="27" xfId="0" applyNumberFormat="1" applyFont="1" applyFill="1" applyBorder="1" applyAlignment="1">
      <alignment horizontal="center" vertical="center" wrapText="1"/>
    </xf>
    <xf numFmtId="9" fontId="0" fillId="0" borderId="0" xfId="0" applyNumberFormat="1" applyAlignment="1">
      <alignment horizontal="center" vertical="center"/>
    </xf>
    <xf numFmtId="0" fontId="25" fillId="13" borderId="27" xfId="0" applyNumberFormat="1" applyFont="1" applyFill="1" applyBorder="1" applyAlignment="1">
      <alignment horizontal="center" vertical="center" wrapText="1"/>
    </xf>
    <xf numFmtId="165" fontId="0" fillId="0" borderId="62" xfId="0" applyNumberFormat="1" applyFill="1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0" borderId="39" xfId="0" applyNumberFormat="1" applyFill="1" applyBorder="1" applyAlignment="1">
      <alignment horizontal="center" vertical="center"/>
    </xf>
    <xf numFmtId="9" fontId="25" fillId="13" borderId="2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5" fillId="13" borderId="27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22" fillId="4" borderId="63" xfId="0" applyNumberFormat="1" applyFont="1" applyFill="1" applyBorder="1" applyAlignment="1">
      <alignment horizontal="left" vertical="center" wrapText="1"/>
    </xf>
    <xf numFmtId="0" fontId="22" fillId="4" borderId="64" xfId="0" applyNumberFormat="1" applyFont="1" applyFill="1" applyBorder="1" applyAlignment="1">
      <alignment horizontal="left" vertical="center" wrapText="1"/>
    </xf>
    <xf numFmtId="0" fontId="22" fillId="4" borderId="66" xfId="0" applyNumberFormat="1" applyFont="1" applyFill="1" applyBorder="1" applyAlignment="1">
      <alignment horizontal="left" vertical="center" wrapText="1"/>
    </xf>
    <xf numFmtId="0" fontId="22" fillId="4" borderId="67" xfId="0" applyNumberFormat="1" applyFont="1" applyFill="1" applyBorder="1" applyAlignment="1">
      <alignment horizontal="left" vertical="center" wrapText="1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27" xfId="0" applyFont="1" applyFill="1" applyBorder="1" applyAlignment="1">
      <alignment horizontal="center" vertical="center" wrapText="1"/>
    </xf>
    <xf numFmtId="0" fontId="25" fillId="13" borderId="27" xfId="0" applyNumberFormat="1" applyFont="1" applyFill="1" applyBorder="1" applyAlignment="1">
      <alignment horizontal="center" vertical="center" wrapText="1"/>
    </xf>
    <xf numFmtId="0" fontId="25" fillId="22" borderId="27" xfId="0" applyNumberFormat="1" applyFont="1" applyFill="1" applyBorder="1" applyAlignment="1">
      <alignment horizontal="center" vertical="center" wrapText="1"/>
    </xf>
    <xf numFmtId="1" fontId="22" fillId="4" borderId="29" xfId="0" applyNumberFormat="1" applyFont="1" applyFill="1" applyBorder="1" applyAlignment="1">
      <alignment horizontal="left" vertical="center" wrapText="1"/>
    </xf>
    <xf numFmtId="1" fontId="22" fillId="4" borderId="44" xfId="0" applyNumberFormat="1" applyFont="1" applyFill="1" applyBorder="1" applyAlignment="1">
      <alignment horizontal="left" vertical="center" wrapText="1"/>
    </xf>
    <xf numFmtId="0" fontId="25" fillId="13" borderId="27" xfId="0" applyNumberFormat="1" applyFont="1" applyFill="1" applyBorder="1" applyAlignment="1">
      <alignment horizontal="center" vertical="center" wrapText="1"/>
    </xf>
    <xf numFmtId="0" fontId="25" fillId="13" borderId="27" xfId="0" applyNumberFormat="1" applyFont="1" applyFill="1" applyBorder="1" applyAlignment="1">
      <alignment horizontal="center" vertical="center" wrapText="1"/>
    </xf>
    <xf numFmtId="0" fontId="25" fillId="22" borderId="27" xfId="0" applyNumberFormat="1" applyFont="1" applyFill="1" applyBorder="1" applyAlignment="1">
      <alignment horizontal="center" vertical="center" wrapText="1"/>
    </xf>
    <xf numFmtId="0" fontId="25" fillId="13" borderId="36" xfId="0" applyNumberFormat="1" applyFont="1" applyFill="1" applyBorder="1" applyAlignment="1">
      <alignment horizontal="center" vertical="center" wrapText="1"/>
    </xf>
    <xf numFmtId="0" fontId="25" fillId="13" borderId="36" xfId="0" quotePrefix="1" applyNumberFormat="1" applyFont="1" applyFill="1" applyBorder="1" applyAlignment="1">
      <alignment horizontal="center" vertical="center" wrapText="1"/>
    </xf>
    <xf numFmtId="0" fontId="25" fillId="13" borderId="27" xfId="0" applyNumberFormat="1" applyFont="1" applyFill="1" applyBorder="1" applyAlignment="1">
      <alignment horizontal="center" vertical="center" wrapText="1"/>
    </xf>
    <xf numFmtId="0" fontId="25" fillId="22" borderId="27" xfId="0" applyNumberFormat="1" applyFont="1" applyFill="1" applyBorder="1" applyAlignment="1">
      <alignment horizontal="center" vertical="center" wrapText="1"/>
    </xf>
    <xf numFmtId="0" fontId="25" fillId="13" borderId="27" xfId="0" applyNumberFormat="1" applyFont="1" applyFill="1" applyBorder="1" applyAlignment="1">
      <alignment horizontal="center" vertical="center" wrapText="1"/>
    </xf>
    <xf numFmtId="0" fontId="25" fillId="22" borderId="27" xfId="0" applyNumberFormat="1" applyFont="1" applyFill="1" applyBorder="1" applyAlignment="1">
      <alignment horizontal="center" vertical="center" wrapText="1"/>
    </xf>
    <xf numFmtId="0" fontId="25" fillId="13" borderId="27" xfId="0" applyNumberFormat="1" applyFont="1" applyFill="1" applyBorder="1" applyAlignment="1">
      <alignment horizontal="center" vertical="center" wrapText="1"/>
    </xf>
    <xf numFmtId="0" fontId="25" fillId="22" borderId="27" xfId="0" applyNumberFormat="1" applyFont="1" applyFill="1" applyBorder="1" applyAlignment="1">
      <alignment horizontal="center" vertical="center" wrapText="1"/>
    </xf>
    <xf numFmtId="0" fontId="25" fillId="13" borderId="27" xfId="0" applyNumberFormat="1" applyFont="1" applyFill="1" applyBorder="1" applyAlignment="1">
      <alignment horizontal="center" vertical="center" wrapText="1"/>
    </xf>
    <xf numFmtId="0" fontId="25" fillId="22" borderId="27" xfId="0" applyNumberFormat="1" applyFont="1" applyFill="1" applyBorder="1" applyAlignment="1">
      <alignment horizontal="center" vertical="center" wrapText="1"/>
    </xf>
    <xf numFmtId="0" fontId="0" fillId="0" borderId="36" xfId="0" applyFont="1" applyFill="1" applyBorder="1" applyAlignment="1">
      <alignment horizontal="center" vertical="center" wrapText="1"/>
    </xf>
    <xf numFmtId="0" fontId="25" fillId="13" borderId="27" xfId="0" applyNumberFormat="1" applyFont="1" applyFill="1" applyBorder="1" applyAlignment="1">
      <alignment horizontal="center" vertical="center" wrapText="1"/>
    </xf>
    <xf numFmtId="0" fontId="25" fillId="13" borderId="27" xfId="0" applyNumberFormat="1" applyFont="1" applyFill="1" applyBorder="1" applyAlignment="1">
      <alignment horizontal="center" vertical="center" wrapText="1"/>
    </xf>
    <xf numFmtId="0" fontId="25" fillId="13" borderId="27" xfId="0" applyNumberFormat="1" applyFont="1" applyFill="1" applyBorder="1" applyAlignment="1">
      <alignment horizontal="center" vertical="center" wrapText="1"/>
    </xf>
    <xf numFmtId="0" fontId="25" fillId="22" borderId="2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5" fillId="13" borderId="27" xfId="0" applyNumberFormat="1" applyFont="1" applyFill="1" applyBorder="1" applyAlignment="1">
      <alignment horizontal="center" vertical="center" wrapText="1"/>
    </xf>
    <xf numFmtId="0" fontId="25" fillId="0" borderId="27" xfId="0" applyFont="1" applyFill="1" applyBorder="1" applyAlignment="1">
      <alignment horizontal="center" vertical="center" wrapText="1"/>
    </xf>
    <xf numFmtId="0" fontId="25" fillId="13" borderId="27" xfId="0" applyNumberFormat="1" applyFont="1" applyFill="1" applyBorder="1" applyAlignment="1">
      <alignment horizontal="center" vertical="center" wrapText="1"/>
    </xf>
    <xf numFmtId="0" fontId="25" fillId="22" borderId="2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5" fillId="0" borderId="27" xfId="0" applyFont="1" applyFill="1" applyBorder="1" applyAlignment="1">
      <alignment horizontal="center" vertical="center" wrapText="1"/>
    </xf>
    <xf numFmtId="0" fontId="25" fillId="13" borderId="27" xfId="0" applyNumberFormat="1" applyFont="1" applyFill="1" applyBorder="1" applyAlignment="1">
      <alignment horizontal="center" vertical="center" wrapText="1"/>
    </xf>
    <xf numFmtId="0" fontId="25" fillId="22" borderId="27" xfId="0" applyNumberFormat="1" applyFont="1" applyFill="1" applyBorder="1" applyAlignment="1">
      <alignment horizontal="center" vertical="center" wrapText="1"/>
    </xf>
    <xf numFmtId="0" fontId="22" fillId="4" borderId="4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5" fillId="5" borderId="38" xfId="0" applyNumberFormat="1" applyFont="1" applyFill="1" applyBorder="1" applyAlignment="1">
      <alignment horizontal="center" vertical="center" wrapText="1"/>
    </xf>
    <xf numFmtId="167" fontId="22" fillId="4" borderId="29" xfId="0" applyNumberFormat="1" applyFont="1" applyFill="1" applyBorder="1" applyAlignment="1">
      <alignment horizontal="center" vertical="center" wrapText="1"/>
    </xf>
    <xf numFmtId="1" fontId="22" fillId="4" borderId="29" xfId="0" applyNumberFormat="1" applyFont="1" applyFill="1" applyBorder="1" applyAlignment="1">
      <alignment horizontal="center" vertical="center" wrapText="1"/>
    </xf>
    <xf numFmtId="0" fontId="22" fillId="4" borderId="63" xfId="0" applyNumberFormat="1" applyFont="1" applyFill="1" applyBorder="1" applyAlignment="1">
      <alignment horizontal="center" vertical="center" wrapText="1"/>
    </xf>
    <xf numFmtId="0" fontId="22" fillId="4" borderId="64" xfId="0" applyNumberFormat="1" applyFont="1" applyFill="1" applyBorder="1" applyAlignment="1">
      <alignment horizontal="center" vertical="center" wrapText="1"/>
    </xf>
    <xf numFmtId="0" fontId="22" fillId="4" borderId="65" xfId="0" applyNumberFormat="1" applyFont="1" applyFill="1" applyBorder="1" applyAlignment="1">
      <alignment horizontal="center" vertical="center" wrapText="1"/>
    </xf>
    <xf numFmtId="0" fontId="0" fillId="21" borderId="0" xfId="0" applyFill="1" applyAlignment="1">
      <alignment horizontal="center"/>
    </xf>
    <xf numFmtId="1" fontId="22" fillId="4" borderId="44" xfId="0" applyNumberFormat="1" applyFont="1" applyFill="1" applyBorder="1" applyAlignment="1">
      <alignment horizontal="center" vertical="center" wrapText="1"/>
    </xf>
    <xf numFmtId="0" fontId="22" fillId="4" borderId="44" xfId="0" applyNumberFormat="1" applyFont="1" applyFill="1" applyBorder="1" applyAlignment="1">
      <alignment horizontal="center" vertical="center" wrapText="1"/>
    </xf>
    <xf numFmtId="0" fontId="25" fillId="13" borderId="0" xfId="0" applyNumberFormat="1" applyFont="1" applyFill="1" applyBorder="1" applyAlignment="1">
      <alignment horizontal="center" vertical="center" wrapText="1"/>
    </xf>
    <xf numFmtId="0" fontId="22" fillId="4" borderId="66" xfId="0" applyNumberFormat="1" applyFont="1" applyFill="1" applyBorder="1" applyAlignment="1">
      <alignment horizontal="center" vertical="center" wrapText="1"/>
    </xf>
    <xf numFmtId="0" fontId="22" fillId="4" borderId="67" xfId="0" applyNumberFormat="1" applyFont="1" applyFill="1" applyBorder="1" applyAlignment="1">
      <alignment horizontal="center" vertical="center" wrapText="1"/>
    </xf>
    <xf numFmtId="0" fontId="22" fillId="4" borderId="68" xfId="0" applyNumberFormat="1" applyFont="1" applyFill="1" applyBorder="1" applyAlignment="1">
      <alignment horizontal="center" vertical="center" wrapText="1"/>
    </xf>
    <xf numFmtId="15" fontId="0" fillId="0" borderId="0" xfId="0" applyNumberFormat="1" applyAlignment="1">
      <alignment horizontal="center"/>
    </xf>
    <xf numFmtId="168" fontId="25" fillId="5" borderId="45" xfId="0" applyNumberFormat="1" applyFont="1" applyFill="1" applyBorder="1" applyAlignment="1">
      <alignment horizontal="center" vertical="top" wrapText="1"/>
    </xf>
    <xf numFmtId="168" fontId="25" fillId="13" borderId="27" xfId="0" applyNumberFormat="1" applyFont="1" applyFill="1" applyBorder="1" applyAlignment="1">
      <alignment horizontal="center" vertical="center" wrapText="1"/>
    </xf>
    <xf numFmtId="168" fontId="0" fillId="0" borderId="0" xfId="0" applyNumberFormat="1"/>
    <xf numFmtId="169" fontId="0" fillId="5" borderId="0" xfId="0" applyNumberFormat="1" applyFill="1" applyAlignment="1">
      <alignment horizontal="center" vertical="center"/>
    </xf>
    <xf numFmtId="170" fontId="25" fillId="5" borderId="27" xfId="2" applyNumberFormat="1" applyFont="1" applyFill="1" applyBorder="1" applyAlignment="1">
      <alignment horizontal="center" vertical="center" wrapText="1"/>
    </xf>
    <xf numFmtId="170" fontId="0" fillId="0" borderId="0" xfId="2" applyNumberFormat="1" applyFont="1" applyAlignment="1">
      <alignment horizontal="center" vertical="center"/>
    </xf>
    <xf numFmtId="170" fontId="25" fillId="0" borderId="27" xfId="2" applyNumberFormat="1" applyFont="1" applyFill="1" applyBorder="1" applyAlignment="1">
      <alignment horizontal="center" vertical="center" wrapText="1"/>
    </xf>
    <xf numFmtId="170" fontId="33" fillId="13" borderId="28" xfId="2" applyNumberFormat="1" applyFont="1" applyFill="1" applyBorder="1" applyAlignment="1">
      <alignment horizontal="center" vertical="center"/>
    </xf>
    <xf numFmtId="49" fontId="61" fillId="0" borderId="45" xfId="0" applyNumberFormat="1" applyFont="1" applyFill="1" applyBorder="1" applyAlignment="1">
      <alignment horizontal="center" vertical="center"/>
    </xf>
    <xf numFmtId="167" fontId="62" fillId="4" borderId="29" xfId="0" applyNumberFormat="1" applyFont="1" applyFill="1" applyBorder="1" applyAlignment="1">
      <alignment horizontal="center" vertical="center" wrapText="1"/>
    </xf>
    <xf numFmtId="1" fontId="62" fillId="4" borderId="29" xfId="0" applyNumberFormat="1" applyFont="1" applyFill="1" applyBorder="1" applyAlignment="1">
      <alignment horizontal="center" vertical="center" wrapText="1"/>
    </xf>
    <xf numFmtId="1" fontId="62" fillId="4" borderId="44" xfId="0" applyNumberFormat="1" applyFont="1" applyFill="1" applyBorder="1" applyAlignment="1">
      <alignment horizontal="center" vertical="center" wrapText="1"/>
    </xf>
    <xf numFmtId="49" fontId="63" fillId="0" borderId="45" xfId="0" applyNumberFormat="1" applyFont="1" applyFill="1" applyBorder="1" applyAlignment="1">
      <alignment horizontal="center" vertical="center"/>
    </xf>
    <xf numFmtId="167" fontId="63" fillId="0" borderId="35" xfId="0" applyNumberFormat="1" applyFont="1" applyFill="1" applyBorder="1" applyAlignment="1">
      <alignment horizontal="center" vertical="center"/>
    </xf>
    <xf numFmtId="0" fontId="64" fillId="0" borderId="36" xfId="0" applyFont="1" applyFill="1" applyBorder="1" applyAlignment="1">
      <alignment horizontal="center" vertical="center"/>
    </xf>
    <xf numFmtId="0" fontId="64" fillId="0" borderId="38" xfId="0" applyNumberFormat="1" applyFont="1" applyFill="1" applyBorder="1" applyAlignment="1">
      <alignment horizontal="center" vertical="center"/>
    </xf>
    <xf numFmtId="0" fontId="64" fillId="0" borderId="38" xfId="0" applyFont="1" applyFill="1" applyBorder="1" applyAlignment="1">
      <alignment horizontal="center" vertical="center" wrapText="1"/>
    </xf>
    <xf numFmtId="169" fontId="63" fillId="5" borderId="0" xfId="0" applyNumberFormat="1" applyFont="1" applyFill="1" applyAlignment="1">
      <alignment horizontal="center" vertical="center"/>
    </xf>
    <xf numFmtId="170" fontId="63" fillId="0" borderId="0" xfId="2" applyNumberFormat="1" applyFont="1" applyAlignment="1">
      <alignment horizontal="center" vertical="center"/>
    </xf>
    <xf numFmtId="0" fontId="64" fillId="13" borderId="27" xfId="0" applyNumberFormat="1" applyFont="1" applyFill="1" applyBorder="1" applyAlignment="1">
      <alignment horizontal="center" vertical="center" wrapText="1"/>
    </xf>
    <xf numFmtId="0" fontId="64" fillId="13" borderId="38" xfId="0" applyNumberFormat="1" applyFont="1" applyFill="1" applyBorder="1" applyAlignment="1">
      <alignment horizontal="center" vertical="center" wrapText="1"/>
    </xf>
    <xf numFmtId="0" fontId="64" fillId="22" borderId="27" xfId="0" applyNumberFormat="1" applyFont="1" applyFill="1" applyBorder="1" applyAlignment="1">
      <alignment horizontal="center" vertical="center" wrapText="1"/>
    </xf>
    <xf numFmtId="0" fontId="63" fillId="0" borderId="0" xfId="0" applyFont="1" applyAlignment="1">
      <alignment horizontal="center"/>
    </xf>
    <xf numFmtId="0" fontId="65" fillId="13" borderId="38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26" fillId="27" borderId="30" xfId="0" applyNumberFormat="1" applyFont="1" applyFill="1" applyBorder="1" applyAlignment="1">
      <alignment horizontal="left" vertical="center" wrapText="1"/>
    </xf>
    <xf numFmtId="1" fontId="26" fillId="27" borderId="30" xfId="0" applyNumberFormat="1" applyFont="1" applyFill="1" applyBorder="1" applyAlignment="1">
      <alignment vertical="center" wrapText="1"/>
    </xf>
    <xf numFmtId="1" fontId="26" fillId="27" borderId="30" xfId="0" applyNumberFormat="1" applyFont="1" applyFill="1" applyBorder="1" applyAlignment="1">
      <alignment horizontal="center" vertical="center" wrapText="1"/>
    </xf>
    <xf numFmtId="1" fontId="22" fillId="27" borderId="30" xfId="0" applyNumberFormat="1" applyFont="1" applyFill="1" applyBorder="1" applyAlignment="1">
      <alignment horizontal="left" vertical="center" wrapText="1"/>
    </xf>
    <xf numFmtId="1" fontId="22" fillId="27" borderId="30" xfId="0" applyNumberFormat="1" applyFont="1" applyFill="1" applyBorder="1" applyAlignment="1">
      <alignment vertical="center" wrapText="1"/>
    </xf>
    <xf numFmtId="1" fontId="22" fillId="27" borderId="30" xfId="0" applyNumberFormat="1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0" fillId="0" borderId="36" xfId="0" applyNumberFormat="1" applyBorder="1" applyAlignment="1">
      <alignment horizontal="center"/>
    </xf>
    <xf numFmtId="1" fontId="27" fillId="27" borderId="30" xfId="0" applyNumberFormat="1" applyFont="1" applyFill="1" applyBorder="1" applyAlignment="1">
      <alignment horizontal="left" vertical="center" wrapText="1"/>
    </xf>
    <xf numFmtId="1" fontId="27" fillId="27" borderId="30" xfId="0" applyNumberFormat="1" applyFont="1" applyFill="1" applyBorder="1" applyAlignment="1">
      <alignment horizontal="center" vertical="center" wrapText="1"/>
    </xf>
    <xf numFmtId="0" fontId="0" fillId="0" borderId="69" xfId="0" applyFont="1" applyBorder="1" applyAlignment="1">
      <alignment horizontal="center" vertical="center"/>
    </xf>
    <xf numFmtId="0" fontId="58" fillId="13" borderId="28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7" fontId="67" fillId="4" borderId="29" xfId="0" applyNumberFormat="1" applyFont="1" applyFill="1" applyBorder="1" applyAlignment="1">
      <alignment horizontal="center" vertical="center" wrapText="1"/>
    </xf>
    <xf numFmtId="1" fontId="67" fillId="4" borderId="29" xfId="0" applyNumberFormat="1" applyFont="1" applyFill="1" applyBorder="1" applyAlignment="1">
      <alignment horizontal="center" vertical="center" wrapText="1"/>
    </xf>
    <xf numFmtId="1" fontId="67" fillId="4" borderId="44" xfId="0" applyNumberFormat="1" applyFont="1" applyFill="1" applyBorder="1" applyAlignment="1">
      <alignment horizontal="center" vertical="center" wrapText="1"/>
    </xf>
    <xf numFmtId="49" fontId="68" fillId="0" borderId="45" xfId="0" applyNumberFormat="1" applyFont="1" applyFill="1" applyBorder="1" applyAlignment="1">
      <alignment horizontal="center" vertical="center"/>
    </xf>
    <xf numFmtId="167" fontId="68" fillId="0" borderId="35" xfId="0" applyNumberFormat="1" applyFont="1" applyFill="1" applyBorder="1" applyAlignment="1">
      <alignment horizontal="center" vertical="center"/>
    </xf>
    <xf numFmtId="0" fontId="68" fillId="0" borderId="36" xfId="0" applyFont="1" applyFill="1" applyBorder="1" applyAlignment="1">
      <alignment horizontal="center" vertical="center"/>
    </xf>
    <xf numFmtId="0" fontId="68" fillId="0" borderId="38" xfId="0" applyNumberFormat="1" applyFont="1" applyFill="1" applyBorder="1" applyAlignment="1">
      <alignment horizontal="center" vertical="center"/>
    </xf>
    <xf numFmtId="0" fontId="68" fillId="0" borderId="38" xfId="0" applyFont="1" applyFill="1" applyBorder="1" applyAlignment="1">
      <alignment horizontal="center" vertical="center" wrapText="1"/>
    </xf>
    <xf numFmtId="169" fontId="68" fillId="5" borderId="0" xfId="0" applyNumberFormat="1" applyFont="1" applyFill="1" applyAlignment="1">
      <alignment horizontal="center" vertical="center"/>
    </xf>
    <xf numFmtId="170" fontId="68" fillId="0" borderId="0" xfId="2" applyNumberFormat="1" applyFont="1" applyAlignment="1">
      <alignment horizontal="center" vertical="center"/>
    </xf>
    <xf numFmtId="0" fontId="68" fillId="13" borderId="27" xfId="0" applyNumberFormat="1" applyFont="1" applyFill="1" applyBorder="1" applyAlignment="1">
      <alignment horizontal="center" vertical="center" wrapText="1"/>
    </xf>
    <xf numFmtId="0" fontId="68" fillId="13" borderId="38" xfId="0" applyNumberFormat="1" applyFont="1" applyFill="1" applyBorder="1" applyAlignment="1">
      <alignment horizontal="center" vertical="center" wrapText="1"/>
    </xf>
    <xf numFmtId="0" fontId="68" fillId="22" borderId="27" xfId="0" applyNumberFormat="1" applyFont="1" applyFill="1" applyBorder="1" applyAlignment="1">
      <alignment horizontal="center" vertical="center" wrapText="1"/>
    </xf>
    <xf numFmtId="0" fontId="69" fillId="13" borderId="38" xfId="0" applyNumberFormat="1" applyFont="1" applyFill="1" applyBorder="1" applyAlignment="1">
      <alignment horizontal="center" vertical="center" wrapText="1"/>
    </xf>
    <xf numFmtId="167" fontId="22" fillId="0" borderId="0" xfId="0" applyNumberFormat="1" applyFont="1" applyFill="1" applyBorder="1" applyAlignment="1">
      <alignment horizontal="center" vertical="center" wrapText="1"/>
    </xf>
    <xf numFmtId="0" fontId="22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Fill="1" applyBorder="1" applyAlignment="1">
      <alignment horizontal="center" vertical="center"/>
    </xf>
    <xf numFmtId="15" fontId="0" fillId="0" borderId="0" xfId="0" applyNumberForma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NumberFormat="1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 wrapText="1"/>
    </xf>
    <xf numFmtId="169" fontId="0" fillId="0" borderId="0" xfId="0" applyNumberFormat="1" applyFill="1" applyBorder="1" applyAlignment="1">
      <alignment horizontal="center" vertical="center"/>
    </xf>
    <xf numFmtId="170" fontId="0" fillId="0" borderId="0" xfId="2" applyNumberFormat="1" applyFont="1" applyFill="1" applyBorder="1" applyAlignment="1">
      <alignment horizontal="center" vertical="center"/>
    </xf>
    <xf numFmtId="0" fontId="25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49" fontId="25" fillId="0" borderId="0" xfId="0" applyNumberFormat="1" applyFont="1" applyFill="1" applyBorder="1" applyAlignment="1">
      <alignment horizontal="center" vertical="center"/>
    </xf>
    <xf numFmtId="170" fontId="33" fillId="0" borderId="0" xfId="2" applyNumberFormat="1" applyFont="1" applyFill="1" applyBorder="1" applyAlignment="1">
      <alignment horizontal="center" vertical="center"/>
    </xf>
    <xf numFmtId="1" fontId="22" fillId="0" borderId="0" xfId="0" applyNumberFormat="1" applyFont="1" applyFill="1" applyBorder="1" applyAlignment="1">
      <alignment horizontal="center" vertical="center" wrapText="1"/>
    </xf>
    <xf numFmtId="15" fontId="0" fillId="23" borderId="35" xfId="0" applyNumberFormat="1" applyFill="1" applyBorder="1" applyAlignment="1">
      <alignment horizontal="center" vertical="center"/>
    </xf>
    <xf numFmtId="0" fontId="54" fillId="13" borderId="36" xfId="0" applyFont="1" applyFill="1" applyBorder="1" applyAlignment="1">
      <alignment horizontal="center" vertical="center"/>
    </xf>
    <xf numFmtId="14" fontId="22" fillId="4" borderId="44" xfId="0" applyNumberFormat="1" applyFont="1" applyFill="1" applyBorder="1" applyAlignment="1">
      <alignment horizontal="center" vertical="center" wrapText="1"/>
    </xf>
    <xf numFmtId="0" fontId="0" fillId="0" borderId="36" xfId="0" applyNumberFormat="1" applyBorder="1" applyAlignment="1">
      <alignment horizontal="center" vertical="center" wrapText="1"/>
    </xf>
    <xf numFmtId="0" fontId="53" fillId="0" borderId="36" xfId="1" applyFill="1" applyBorder="1" applyAlignment="1">
      <alignment horizontal="center" vertical="center"/>
    </xf>
    <xf numFmtId="0" fontId="53" fillId="0" borderId="0" xfId="1" applyAlignment="1">
      <alignment horizontal="center" vertical="center"/>
    </xf>
    <xf numFmtId="0" fontId="0" fillId="22" borderId="0" xfId="0" applyFill="1"/>
    <xf numFmtId="49" fontId="68" fillId="0" borderId="0" xfId="0" applyNumberFormat="1" applyFont="1" applyFill="1" applyBorder="1" applyAlignment="1">
      <alignment horizontal="center" vertical="center"/>
    </xf>
    <xf numFmtId="49" fontId="25" fillId="0" borderId="72" xfId="0" applyNumberFormat="1" applyFont="1" applyFill="1" applyBorder="1" applyAlignment="1">
      <alignment horizontal="center" vertical="center"/>
    </xf>
    <xf numFmtId="49" fontId="0" fillId="0" borderId="72" xfId="0" applyNumberFormat="1" applyFill="1" applyBorder="1" applyAlignment="1">
      <alignment horizontal="center" vertical="center"/>
    </xf>
    <xf numFmtId="49" fontId="0" fillId="0" borderId="73" xfId="0" applyNumberFormat="1" applyFill="1" applyBorder="1" applyAlignment="1">
      <alignment horizontal="center" vertical="center"/>
    </xf>
    <xf numFmtId="49" fontId="25" fillId="5" borderId="45" xfId="0" applyNumberFormat="1" applyFont="1" applyFill="1" applyBorder="1" applyAlignment="1">
      <alignment horizontal="center" vertical="center" wrapText="1"/>
    </xf>
    <xf numFmtId="15" fontId="25" fillId="5" borderId="45" xfId="0" applyNumberFormat="1" applyFont="1" applyFill="1" applyBorder="1" applyAlignment="1">
      <alignment horizontal="center" vertical="center" wrapText="1"/>
    </xf>
    <xf numFmtId="0" fontId="25" fillId="5" borderId="38" xfId="0" applyFont="1" applyFill="1" applyBorder="1" applyAlignment="1">
      <alignment horizontal="center" vertical="center" wrapText="1"/>
    </xf>
    <xf numFmtId="170" fontId="25" fillId="5" borderId="38" xfId="2" applyNumberFormat="1" applyFont="1" applyFill="1" applyBorder="1" applyAlignment="1">
      <alignment horizontal="center" vertical="center" wrapText="1"/>
    </xf>
    <xf numFmtId="49" fontId="68" fillId="0" borderId="74" xfId="0" applyNumberFormat="1" applyFont="1" applyFill="1" applyBorder="1" applyAlignment="1">
      <alignment horizontal="center" vertical="center"/>
    </xf>
    <xf numFmtId="167" fontId="68" fillId="0" borderId="74" xfId="0" applyNumberFormat="1" applyFont="1" applyFill="1" applyBorder="1" applyAlignment="1">
      <alignment horizontal="center" vertical="center"/>
    </xf>
    <xf numFmtId="0" fontId="68" fillId="0" borderId="74" xfId="0" applyFont="1" applyFill="1" applyBorder="1" applyAlignment="1">
      <alignment horizontal="center" vertical="center"/>
    </xf>
    <xf numFmtId="0" fontId="68" fillId="0" borderId="74" xfId="0" applyNumberFormat="1" applyFont="1" applyFill="1" applyBorder="1" applyAlignment="1">
      <alignment horizontal="center" vertical="center"/>
    </xf>
    <xf numFmtId="0" fontId="68" fillId="0" borderId="74" xfId="0" applyFont="1" applyFill="1" applyBorder="1" applyAlignment="1">
      <alignment horizontal="center" vertical="center" wrapText="1"/>
    </xf>
    <xf numFmtId="169" fontId="68" fillId="5" borderId="74" xfId="0" applyNumberFormat="1" applyFont="1" applyFill="1" applyBorder="1" applyAlignment="1">
      <alignment horizontal="center" vertical="center"/>
    </xf>
    <xf numFmtId="170" fontId="68" fillId="0" borderId="74" xfId="2" applyNumberFormat="1" applyFont="1" applyBorder="1" applyAlignment="1">
      <alignment horizontal="center" vertical="center"/>
    </xf>
    <xf numFmtId="0" fontId="68" fillId="13" borderId="74" xfId="0" applyNumberFormat="1" applyFont="1" applyFill="1" applyBorder="1" applyAlignment="1">
      <alignment horizontal="center" vertical="center" wrapText="1"/>
    </xf>
    <xf numFmtId="0" fontId="68" fillId="22" borderId="74" xfId="0" applyNumberFormat="1" applyFont="1" applyFill="1" applyBorder="1" applyAlignment="1">
      <alignment horizontal="center" vertical="center" wrapText="1"/>
    </xf>
    <xf numFmtId="0" fontId="69" fillId="13" borderId="74" xfId="0" applyNumberFormat="1" applyFont="1" applyFill="1" applyBorder="1" applyAlignment="1">
      <alignment horizontal="center" vertical="center" wrapText="1"/>
    </xf>
    <xf numFmtId="49" fontId="25" fillId="13" borderId="74" xfId="0" applyNumberFormat="1" applyFont="1" applyFill="1" applyBorder="1" applyAlignment="1">
      <alignment horizontal="center" vertical="center" wrapText="1"/>
    </xf>
    <xf numFmtId="15" fontId="0" fillId="0" borderId="74" xfId="0" applyNumberFormat="1" applyFill="1" applyBorder="1" applyAlignment="1">
      <alignment horizontal="center" vertical="center"/>
    </xf>
    <xf numFmtId="0" fontId="25" fillId="0" borderId="74" xfId="0" applyNumberFormat="1" applyFont="1" applyFill="1" applyBorder="1" applyAlignment="1">
      <alignment horizontal="center" vertical="center"/>
    </xf>
    <xf numFmtId="0" fontId="25" fillId="0" borderId="74" xfId="0" applyFont="1" applyFill="1" applyBorder="1" applyAlignment="1">
      <alignment horizontal="center" vertical="center" wrapText="1"/>
    </xf>
    <xf numFmtId="0" fontId="25" fillId="13" borderId="74" xfId="0" applyNumberFormat="1" applyFont="1" applyFill="1" applyBorder="1" applyAlignment="1">
      <alignment horizontal="center" vertical="center" wrapText="1"/>
    </xf>
    <xf numFmtId="0" fontId="25" fillId="22" borderId="74" xfId="0" applyNumberFormat="1" applyFont="1" applyFill="1" applyBorder="1" applyAlignment="1">
      <alignment horizontal="center" vertical="center" wrapText="1"/>
    </xf>
    <xf numFmtId="0" fontId="25" fillId="0" borderId="74" xfId="0" applyNumberFormat="1" applyFont="1" applyFill="1" applyBorder="1" applyAlignment="1">
      <alignment horizontal="center" vertical="center" wrapText="1"/>
    </xf>
    <xf numFmtId="49" fontId="25" fillId="0" borderId="74" xfId="0" applyNumberFormat="1" applyFont="1" applyFill="1" applyBorder="1" applyAlignment="1">
      <alignment horizontal="center" vertical="center"/>
    </xf>
    <xf numFmtId="49" fontId="0" fillId="0" borderId="74" xfId="0" applyNumberFormat="1" applyFill="1" applyBorder="1" applyAlignment="1">
      <alignment horizontal="center" vertical="center"/>
    </xf>
    <xf numFmtId="0" fontId="25" fillId="0" borderId="74" xfId="0" applyFont="1" applyFill="1" applyBorder="1" applyAlignment="1">
      <alignment horizontal="center" vertical="center"/>
    </xf>
    <xf numFmtId="0" fontId="25" fillId="22" borderId="74" xfId="0" quotePrefix="1" applyNumberFormat="1" applyFont="1" applyFill="1" applyBorder="1" applyAlignment="1">
      <alignment horizontal="center" vertical="center" wrapText="1"/>
    </xf>
    <xf numFmtId="167" fontId="0" fillId="0" borderId="74" xfId="0" applyNumberFormat="1" applyFont="1" applyFill="1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167" fontId="25" fillId="22" borderId="74" xfId="0" applyNumberFormat="1" applyFont="1" applyFill="1" applyBorder="1" applyAlignment="1">
      <alignment horizontal="center" vertical="center"/>
    </xf>
    <xf numFmtId="167" fontId="0" fillId="0" borderId="74" xfId="0" applyNumberFormat="1" applyFill="1" applyBorder="1" applyAlignment="1">
      <alignment horizontal="center" vertical="center"/>
    </xf>
    <xf numFmtId="0" fontId="0" fillId="0" borderId="74" xfId="0" applyBorder="1"/>
    <xf numFmtId="0" fontId="0" fillId="0" borderId="74" xfId="0" applyNumberFormat="1" applyBorder="1" applyAlignment="1">
      <alignment horizontal="center"/>
    </xf>
    <xf numFmtId="0" fontId="0" fillId="22" borderId="74" xfId="0" applyFill="1" applyBorder="1"/>
    <xf numFmtId="15" fontId="0" fillId="0" borderId="74" xfId="0" applyNumberFormat="1" applyBorder="1"/>
    <xf numFmtId="0" fontId="0" fillId="0" borderId="71" xfId="0" applyBorder="1"/>
    <xf numFmtId="15" fontId="0" fillId="0" borderId="71" xfId="0" applyNumberFormat="1" applyBorder="1"/>
    <xf numFmtId="0" fontId="0" fillId="0" borderId="71" xfId="0" applyBorder="1" applyAlignment="1">
      <alignment horizontal="center" vertical="center"/>
    </xf>
    <xf numFmtId="0" fontId="0" fillId="22" borderId="71" xfId="0" applyFill="1" applyBorder="1"/>
    <xf numFmtId="0" fontId="0" fillId="0" borderId="0" xfId="0" applyBorder="1" applyAlignment="1">
      <alignment horizontal="center" vertical="center"/>
    </xf>
    <xf numFmtId="15" fontId="0" fillId="0" borderId="75" xfId="0" applyNumberFormat="1" applyFill="1" applyBorder="1" applyAlignment="1">
      <alignment horizontal="center" vertical="center"/>
    </xf>
    <xf numFmtId="0" fontId="25" fillId="0" borderId="75" xfId="0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5" fontId="0" fillId="0" borderId="0" xfId="0" applyNumberFormat="1" applyBorder="1" applyAlignment="1">
      <alignment horizontal="center"/>
    </xf>
    <xf numFmtId="170" fontId="0" fillId="0" borderId="0" xfId="2" applyNumberFormat="1" applyFont="1" applyBorder="1" applyAlignment="1">
      <alignment horizontal="center" vertical="center"/>
    </xf>
    <xf numFmtId="1" fontId="27" fillId="10" borderId="30" xfId="0" applyNumberFormat="1" applyFont="1" applyFill="1" applyBorder="1" applyAlignment="1">
      <alignment horizontal="left" vertical="center" wrapText="1"/>
    </xf>
    <xf numFmtId="1" fontId="27" fillId="10" borderId="30" xfId="0" applyNumberFormat="1" applyFont="1" applyFill="1" applyBorder="1" applyAlignment="1">
      <alignment horizontal="center" vertical="center" wrapText="1"/>
    </xf>
    <xf numFmtId="170" fontId="25" fillId="0" borderId="38" xfId="2" applyNumberFormat="1" applyFont="1" applyFill="1" applyBorder="1" applyAlignment="1">
      <alignment horizontal="center" vertical="center" wrapText="1"/>
    </xf>
    <xf numFmtId="170" fontId="25" fillId="0" borderId="77" xfId="2" applyNumberFormat="1" applyFont="1" applyFill="1" applyBorder="1" applyAlignment="1">
      <alignment horizontal="center" vertical="center" wrapText="1"/>
    </xf>
    <xf numFmtId="0" fontId="25" fillId="13" borderId="77" xfId="0" applyNumberFormat="1" applyFont="1" applyFill="1" applyBorder="1" applyAlignment="1">
      <alignment horizontal="center" vertical="center" wrapText="1"/>
    </xf>
    <xf numFmtId="0" fontId="25" fillId="22" borderId="77" xfId="0" applyNumberFormat="1" applyFont="1" applyFill="1" applyBorder="1" applyAlignment="1">
      <alignment horizontal="center" vertical="center" wrapText="1"/>
    </xf>
    <xf numFmtId="0" fontId="65" fillId="13" borderId="76" xfId="0" applyNumberFormat="1" applyFont="1" applyFill="1" applyBorder="1" applyAlignment="1">
      <alignment horizontal="center" vertical="center" wrapText="1"/>
    </xf>
    <xf numFmtId="170" fontId="33" fillId="13" borderId="77" xfId="2" applyNumberFormat="1" applyFont="1" applyFill="1" applyBorder="1" applyAlignment="1">
      <alignment horizontal="center" vertical="center"/>
    </xf>
    <xf numFmtId="0" fontId="0" fillId="0" borderId="77" xfId="0" applyBorder="1" applyAlignment="1">
      <alignment horizontal="center"/>
    </xf>
    <xf numFmtId="170" fontId="0" fillId="0" borderId="77" xfId="2" applyNumberFormat="1" applyFont="1" applyBorder="1" applyAlignment="1">
      <alignment horizontal="center" vertical="center"/>
    </xf>
    <xf numFmtId="2" fontId="33" fillId="13" borderId="77" xfId="0" applyNumberFormat="1" applyFont="1" applyFill="1" applyBorder="1" applyAlignment="1">
      <alignment horizontal="center" vertical="center"/>
    </xf>
    <xf numFmtId="167" fontId="25" fillId="0" borderId="36" xfId="0" applyNumberFormat="1" applyFont="1" applyFill="1" applyBorder="1" applyAlignment="1">
      <alignment horizontal="center" vertical="center" wrapText="1"/>
    </xf>
    <xf numFmtId="0" fontId="0" fillId="0" borderId="0" xfId="0" applyNumberFormat="1" applyFill="1" applyBorder="1"/>
    <xf numFmtId="169" fontId="64" fillId="0" borderId="0" xfId="0" applyNumberFormat="1" applyFont="1" applyFill="1" applyBorder="1" applyAlignment="1">
      <alignment horizontal="center" vertical="center"/>
    </xf>
    <xf numFmtId="15" fontId="0" fillId="0" borderId="0" xfId="0" applyNumberFormat="1" applyFill="1" applyBorder="1"/>
    <xf numFmtId="1" fontId="26" fillId="19" borderId="0" xfId="0" applyNumberFormat="1" applyFont="1" applyFill="1" applyBorder="1" applyAlignment="1">
      <alignment horizontal="left" vertical="center" wrapText="1"/>
    </xf>
    <xf numFmtId="1" fontId="26" fillId="19" borderId="0" xfId="0" applyNumberFormat="1" applyFont="1" applyFill="1" applyBorder="1" applyAlignment="1">
      <alignment vertical="center" wrapText="1"/>
    </xf>
    <xf numFmtId="1" fontId="26" fillId="19" borderId="0" xfId="0" applyNumberFormat="1" applyFont="1" applyFill="1" applyBorder="1" applyAlignment="1">
      <alignment horizontal="center" vertical="center" wrapText="1"/>
    </xf>
    <xf numFmtId="0" fontId="25" fillId="0" borderId="45" xfId="0" applyNumberFormat="1" applyFont="1" applyFill="1" applyBorder="1" applyAlignment="1">
      <alignment horizontal="center" vertical="center" wrapText="1"/>
    </xf>
    <xf numFmtId="0" fontId="25" fillId="13" borderId="38" xfId="0" quotePrefix="1" applyNumberFormat="1" applyFont="1" applyFill="1" applyBorder="1" applyAlignment="1">
      <alignment horizontal="center" vertical="center" wrapText="1"/>
    </xf>
    <xf numFmtId="167" fontId="25" fillId="0" borderId="38" xfId="0" applyNumberFormat="1" applyFont="1" applyFill="1" applyBorder="1" applyAlignment="1">
      <alignment horizontal="center" vertical="center"/>
    </xf>
    <xf numFmtId="167" fontId="0" fillId="0" borderId="38" xfId="0" applyNumberFormat="1" applyFont="1" applyFill="1" applyBorder="1" applyAlignment="1">
      <alignment horizontal="center" vertical="center"/>
    </xf>
    <xf numFmtId="0" fontId="33" fillId="13" borderId="46" xfId="0" applyFont="1" applyFill="1" applyBorder="1" applyAlignment="1">
      <alignment horizontal="center" vertical="center"/>
    </xf>
    <xf numFmtId="0" fontId="0" fillId="0" borderId="38" xfId="0" applyFont="1" applyFill="1" applyBorder="1" applyAlignment="1">
      <alignment horizontal="center" vertical="center"/>
    </xf>
    <xf numFmtId="0" fontId="0" fillId="0" borderId="38" xfId="0" applyNumberFormat="1" applyFill="1" applyBorder="1" applyAlignment="1">
      <alignment horizontal="center" vertical="center"/>
    </xf>
    <xf numFmtId="0" fontId="0" fillId="18" borderId="38" xfId="0" applyFill="1" applyBorder="1" applyAlignment="1">
      <alignment horizontal="center" vertical="center"/>
    </xf>
    <xf numFmtId="0" fontId="0" fillId="18" borderId="46" xfId="0" applyFill="1" applyBorder="1" applyAlignment="1">
      <alignment horizontal="center" vertical="center"/>
    </xf>
    <xf numFmtId="1" fontId="0" fillId="0" borderId="46" xfId="0" applyNumberFormat="1" applyFill="1" applyBorder="1" applyAlignment="1">
      <alignment horizontal="center" vertical="center"/>
    </xf>
    <xf numFmtId="49" fontId="25" fillId="5" borderId="79" xfId="0" applyNumberFormat="1" applyFont="1" applyFill="1" applyBorder="1" applyAlignment="1">
      <alignment horizontal="center" vertical="center" wrapText="1"/>
    </xf>
    <xf numFmtId="49" fontId="68" fillId="0" borderId="78" xfId="0" applyNumberFormat="1" applyFont="1" applyFill="1" applyBorder="1" applyAlignment="1">
      <alignment horizontal="center" vertical="center"/>
    </xf>
    <xf numFmtId="49" fontId="68" fillId="0" borderId="80" xfId="0" applyNumberFormat="1" applyFont="1" applyFill="1" applyBorder="1" applyAlignment="1">
      <alignment horizontal="center" vertical="center"/>
    </xf>
    <xf numFmtId="167" fontId="68" fillId="0" borderId="80" xfId="0" applyNumberFormat="1" applyFont="1" applyFill="1" applyBorder="1" applyAlignment="1">
      <alignment horizontal="center" vertical="center"/>
    </xf>
    <xf numFmtId="0" fontId="68" fillId="0" borderId="80" xfId="0" applyFont="1" applyFill="1" applyBorder="1" applyAlignment="1">
      <alignment horizontal="center" vertical="center"/>
    </xf>
    <xf numFmtId="0" fontId="68" fillId="0" borderId="80" xfId="0" applyNumberFormat="1" applyFont="1" applyFill="1" applyBorder="1" applyAlignment="1">
      <alignment horizontal="center" vertical="center"/>
    </xf>
    <xf numFmtId="0" fontId="68" fillId="0" borderId="80" xfId="0" applyFont="1" applyFill="1" applyBorder="1" applyAlignment="1">
      <alignment horizontal="center" vertical="center" wrapText="1"/>
    </xf>
    <xf numFmtId="169" fontId="68" fillId="5" borderId="80" xfId="0" applyNumberFormat="1" applyFont="1" applyFill="1" applyBorder="1" applyAlignment="1">
      <alignment horizontal="center" vertical="center"/>
    </xf>
    <xf numFmtId="170" fontId="68" fillId="0" borderId="80" xfId="2" applyNumberFormat="1" applyFont="1" applyBorder="1" applyAlignment="1">
      <alignment horizontal="center" vertical="center"/>
    </xf>
    <xf numFmtId="0" fontId="68" fillId="13" borderId="80" xfId="0" applyNumberFormat="1" applyFont="1" applyFill="1" applyBorder="1" applyAlignment="1">
      <alignment horizontal="center" vertical="center" wrapText="1"/>
    </xf>
    <xf numFmtId="0" fontId="68" fillId="22" borderId="80" xfId="0" applyNumberFormat="1" applyFont="1" applyFill="1" applyBorder="1" applyAlignment="1">
      <alignment horizontal="center" vertical="center" wrapText="1"/>
    </xf>
    <xf numFmtId="0" fontId="69" fillId="13" borderId="80" xfId="0" applyNumberFormat="1" applyFont="1" applyFill="1" applyBorder="1" applyAlignment="1">
      <alignment horizontal="center" vertical="center" wrapText="1"/>
    </xf>
    <xf numFmtId="49" fontId="25" fillId="0" borderId="78" xfId="0" applyNumberFormat="1" applyFont="1" applyFill="1" applyBorder="1" applyAlignment="1">
      <alignment horizontal="center" vertical="center"/>
    </xf>
    <xf numFmtId="49" fontId="25" fillId="0" borderId="80" xfId="0" applyNumberFormat="1" applyFont="1" applyFill="1" applyBorder="1" applyAlignment="1">
      <alignment horizontal="center" vertical="center"/>
    </xf>
    <xf numFmtId="15" fontId="0" fillId="0" borderId="80" xfId="0" applyNumberFormat="1" applyFill="1" applyBorder="1" applyAlignment="1">
      <alignment horizontal="center" vertical="center"/>
    </xf>
    <xf numFmtId="0" fontId="25" fillId="0" borderId="80" xfId="0" applyNumberFormat="1" applyFont="1" applyFill="1" applyBorder="1" applyAlignment="1">
      <alignment horizontal="center" vertical="center"/>
    </xf>
    <xf numFmtId="169" fontId="64" fillId="5" borderId="80" xfId="0" applyNumberFormat="1" applyFont="1" applyFill="1" applyBorder="1" applyAlignment="1">
      <alignment horizontal="center" vertical="center"/>
    </xf>
    <xf numFmtId="0" fontId="25" fillId="0" borderId="80" xfId="0" applyFont="1" applyFill="1" applyBorder="1" applyAlignment="1">
      <alignment horizontal="center" vertical="center" wrapText="1"/>
    </xf>
    <xf numFmtId="0" fontId="25" fillId="13" borderId="80" xfId="0" applyNumberFormat="1" applyFont="1" applyFill="1" applyBorder="1" applyAlignment="1">
      <alignment horizontal="center" vertical="center" wrapText="1"/>
    </xf>
    <xf numFmtId="0" fontId="25" fillId="22" borderId="80" xfId="0" applyNumberFormat="1" applyFont="1" applyFill="1" applyBorder="1" applyAlignment="1">
      <alignment horizontal="center" vertical="center" wrapText="1"/>
    </xf>
    <xf numFmtId="0" fontId="25" fillId="0" borderId="80" xfId="0" applyNumberFormat="1" applyFont="1" applyFill="1" applyBorder="1" applyAlignment="1">
      <alignment horizontal="center" vertical="center" wrapText="1"/>
    </xf>
    <xf numFmtId="0" fontId="65" fillId="13" borderId="80" xfId="0" applyNumberFormat="1" applyFont="1" applyFill="1" applyBorder="1" applyAlignment="1">
      <alignment horizontal="center" vertical="center" wrapText="1"/>
    </xf>
    <xf numFmtId="49" fontId="0" fillId="0" borderId="78" xfId="0" applyNumberFormat="1" applyFill="1" applyBorder="1" applyAlignment="1">
      <alignment horizontal="center" vertical="center"/>
    </xf>
    <xf numFmtId="49" fontId="0" fillId="0" borderId="80" xfId="0" applyNumberFormat="1" applyFill="1" applyBorder="1" applyAlignment="1">
      <alignment horizontal="center" vertical="center"/>
    </xf>
    <xf numFmtId="167" fontId="0" fillId="0" borderId="80" xfId="0" applyNumberFormat="1" applyFont="1" applyFill="1" applyBorder="1" applyAlignment="1">
      <alignment horizontal="center" vertical="center"/>
    </xf>
    <xf numFmtId="0" fontId="25" fillId="0" borderId="80" xfId="0" applyFont="1" applyFill="1" applyBorder="1" applyAlignment="1">
      <alignment horizontal="center" vertical="center"/>
    </xf>
    <xf numFmtId="170" fontId="25" fillId="0" borderId="80" xfId="2" applyNumberFormat="1" applyFont="1" applyFill="1" applyBorder="1" applyAlignment="1">
      <alignment horizontal="center" vertical="center" wrapText="1"/>
    </xf>
    <xf numFmtId="0" fontId="25" fillId="22" borderId="80" xfId="0" quotePrefix="1" applyNumberFormat="1" applyFont="1" applyFill="1" applyBorder="1" applyAlignment="1">
      <alignment horizontal="center" vertical="center" wrapText="1"/>
    </xf>
    <xf numFmtId="167" fontId="0" fillId="0" borderId="80" xfId="0" applyNumberFormat="1" applyFill="1" applyBorder="1" applyAlignment="1">
      <alignment horizontal="center" vertical="center"/>
    </xf>
    <xf numFmtId="49" fontId="25" fillId="13" borderId="80" xfId="0" applyNumberFormat="1" applyFont="1" applyFill="1" applyBorder="1" applyAlignment="1">
      <alignment horizontal="center" vertical="center" wrapText="1"/>
    </xf>
    <xf numFmtId="0" fontId="0" fillId="0" borderId="80" xfId="0" applyFill="1" applyBorder="1" applyAlignment="1">
      <alignment horizontal="center" vertical="center"/>
    </xf>
    <xf numFmtId="0" fontId="0" fillId="0" borderId="80" xfId="0" applyFill="1" applyBorder="1"/>
    <xf numFmtId="0" fontId="0" fillId="0" borderId="78" xfId="0" applyFill="1" applyBorder="1" applyAlignment="1">
      <alignment horizontal="center" vertical="center"/>
    </xf>
    <xf numFmtId="167" fontId="0" fillId="0" borderId="80" xfId="0" applyNumberFormat="1" applyFill="1" applyBorder="1" applyAlignment="1">
      <alignment horizontal="center"/>
    </xf>
    <xf numFmtId="1" fontId="22" fillId="4" borderId="0" xfId="0" applyNumberFormat="1" applyFont="1" applyFill="1" applyBorder="1" applyAlignment="1">
      <alignment horizontal="left" vertical="center" wrapText="1"/>
    </xf>
    <xf numFmtId="1" fontId="22" fillId="4" borderId="0" xfId="0" applyNumberFormat="1" applyFont="1" applyFill="1" applyBorder="1" applyAlignment="1">
      <alignment horizontal="center" vertical="center" wrapText="1"/>
    </xf>
    <xf numFmtId="0" fontId="25" fillId="0" borderId="45" xfId="0" applyFont="1" applyFill="1" applyBorder="1" applyAlignment="1">
      <alignment horizontal="center" vertical="center"/>
    </xf>
    <xf numFmtId="0" fontId="38" fillId="0" borderId="38" xfId="0" applyNumberFormat="1" applyFont="1" applyFill="1" applyBorder="1" applyAlignment="1">
      <alignment horizontal="center" vertical="center"/>
    </xf>
    <xf numFmtId="169" fontId="68" fillId="0" borderId="0" xfId="0" applyNumberFormat="1" applyFont="1" applyFill="1" applyBorder="1" applyAlignment="1">
      <alignment horizontal="center" vertical="center"/>
    </xf>
    <xf numFmtId="167" fontId="67" fillId="4" borderId="29" xfId="0" applyNumberFormat="1" applyFont="1" applyFill="1" applyBorder="1" applyAlignment="1">
      <alignment horizontal="left" vertical="center" wrapText="1"/>
    </xf>
    <xf numFmtId="0" fontId="67" fillId="4" borderId="29" xfId="0" applyNumberFormat="1" applyFont="1" applyFill="1" applyBorder="1" applyAlignment="1">
      <alignment horizontal="left" vertical="center" wrapText="1"/>
    </xf>
    <xf numFmtId="0" fontId="67" fillId="4" borderId="44" xfId="0" applyNumberFormat="1" applyFont="1" applyFill="1" applyBorder="1" applyAlignment="1">
      <alignment horizontal="left" vertical="center" wrapText="1"/>
    </xf>
    <xf numFmtId="0" fontId="68" fillId="0" borderId="78" xfId="0" applyFont="1" applyFill="1" applyBorder="1" applyAlignment="1">
      <alignment horizontal="center" vertical="center"/>
    </xf>
    <xf numFmtId="15" fontId="68" fillId="0" borderId="80" xfId="0" applyNumberFormat="1" applyFont="1" applyFill="1" applyBorder="1" applyAlignment="1">
      <alignment horizontal="center" vertical="center"/>
    </xf>
    <xf numFmtId="167" fontId="22" fillId="4" borderId="82" xfId="0" applyNumberFormat="1" applyFont="1" applyFill="1" applyBorder="1" applyAlignment="1">
      <alignment horizontal="left" vertical="center" wrapText="1"/>
    </xf>
    <xf numFmtId="0" fontId="22" fillId="4" borderId="82" xfId="0" applyNumberFormat="1" applyFont="1" applyFill="1" applyBorder="1" applyAlignment="1">
      <alignment horizontal="left" vertical="center" wrapText="1"/>
    </xf>
    <xf numFmtId="0" fontId="22" fillId="4" borderId="83" xfId="0" applyNumberFormat="1" applyFont="1" applyFill="1" applyBorder="1" applyAlignment="1">
      <alignment horizontal="left" vertical="center" wrapText="1"/>
    </xf>
    <xf numFmtId="0" fontId="0" fillId="0" borderId="84" xfId="0" applyFill="1" applyBorder="1" applyAlignment="1">
      <alignment horizontal="center" vertical="center"/>
    </xf>
    <xf numFmtId="0" fontId="0" fillId="0" borderId="85" xfId="0" applyFill="1" applyBorder="1" applyAlignment="1">
      <alignment horizontal="center" vertical="center"/>
    </xf>
    <xf numFmtId="15" fontId="0" fillId="0" borderId="85" xfId="0" applyNumberFormat="1" applyFill="1" applyBorder="1" applyAlignment="1">
      <alignment horizontal="center" vertical="center"/>
    </xf>
    <xf numFmtId="169" fontId="64" fillId="5" borderId="85" xfId="0" applyNumberFormat="1" applyFont="1" applyFill="1" applyBorder="1" applyAlignment="1">
      <alignment horizontal="center" vertical="center"/>
    </xf>
    <xf numFmtId="0" fontId="25" fillId="22" borderId="85" xfId="0" applyNumberFormat="1" applyFont="1" applyFill="1" applyBorder="1" applyAlignment="1">
      <alignment horizontal="center" vertical="center" wrapText="1"/>
    </xf>
    <xf numFmtId="0" fontId="0" fillId="0" borderId="85" xfId="0" applyFill="1" applyBorder="1"/>
    <xf numFmtId="0" fontId="0" fillId="0" borderId="81" xfId="0" applyFill="1" applyBorder="1" applyAlignment="1">
      <alignment horizontal="center" vertical="center"/>
    </xf>
    <xf numFmtId="15" fontId="0" fillId="0" borderId="81" xfId="0" applyNumberFormat="1" applyFill="1" applyBorder="1" applyAlignment="1">
      <alignment horizontal="center" vertical="center"/>
    </xf>
    <xf numFmtId="0" fontId="0" fillId="0" borderId="81" xfId="0" applyFill="1" applyBorder="1"/>
    <xf numFmtId="167" fontId="22" fillId="0" borderId="81" xfId="0" applyNumberFormat="1" applyFont="1" applyFill="1" applyBorder="1" applyAlignment="1">
      <alignment horizontal="left" vertical="center" wrapText="1"/>
    </xf>
    <xf numFmtId="0" fontId="22" fillId="0" borderId="81" xfId="0" applyNumberFormat="1" applyFont="1" applyFill="1" applyBorder="1" applyAlignment="1">
      <alignment horizontal="left" vertical="center" wrapText="1"/>
    </xf>
    <xf numFmtId="169" fontId="64" fillId="0" borderId="81" xfId="0" applyNumberFormat="1" applyFont="1" applyFill="1" applyBorder="1" applyAlignment="1">
      <alignment horizontal="center" vertical="center"/>
    </xf>
    <xf numFmtId="0" fontId="25" fillId="0" borderId="81" xfId="0" applyNumberFormat="1" applyFont="1" applyFill="1" applyBorder="1" applyAlignment="1">
      <alignment horizontal="center" vertical="center" wrapText="1"/>
    </xf>
    <xf numFmtId="167" fontId="22" fillId="0" borderId="0" xfId="0" applyNumberFormat="1" applyFont="1" applyFill="1" applyBorder="1" applyAlignment="1">
      <alignment horizontal="left" vertical="center" wrapText="1"/>
    </xf>
    <xf numFmtId="0" fontId="22" fillId="0" borderId="0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65" fillId="13" borderId="74" xfId="0" applyNumberFormat="1" applyFont="1" applyFill="1" applyBorder="1" applyAlignment="1">
      <alignment horizontal="center" vertical="center" wrapText="1"/>
    </xf>
    <xf numFmtId="169" fontId="64" fillId="5" borderId="74" xfId="0" applyNumberFormat="1" applyFont="1" applyFill="1" applyBorder="1" applyAlignment="1">
      <alignment horizontal="center" vertical="center"/>
    </xf>
    <xf numFmtId="169" fontId="64" fillId="5" borderId="71" xfId="0" applyNumberFormat="1" applyFont="1" applyFill="1" applyBorder="1" applyAlignment="1">
      <alignment horizontal="center" vertical="center"/>
    </xf>
    <xf numFmtId="169" fontId="64" fillId="5" borderId="0" xfId="0" applyNumberFormat="1" applyFont="1" applyFill="1" applyAlignment="1">
      <alignment horizontal="center" vertical="center"/>
    </xf>
    <xf numFmtId="0" fontId="53" fillId="13" borderId="36" xfId="1" applyFill="1" applyBorder="1" applyAlignment="1">
      <alignment horizontal="center" vertical="center"/>
    </xf>
    <xf numFmtId="0" fontId="57" fillId="13" borderId="28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/>
    </xf>
    <xf numFmtId="0" fontId="25" fillId="28" borderId="74" xfId="0" applyNumberFormat="1" applyFont="1" applyFill="1" applyBorder="1" applyAlignment="1">
      <alignment horizontal="center" vertical="center"/>
    </xf>
    <xf numFmtId="0" fontId="25" fillId="28" borderId="74" xfId="0" applyFont="1" applyFill="1" applyBorder="1" applyAlignment="1">
      <alignment horizontal="center" vertical="center" wrapText="1"/>
    </xf>
    <xf numFmtId="169" fontId="64" fillId="28" borderId="74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75" xfId="0" applyNumberFormat="1" applyFill="1" applyBorder="1" applyAlignment="1">
      <alignment horizontal="center" vertical="center"/>
    </xf>
    <xf numFmtId="49" fontId="0" fillId="0" borderId="71" xfId="0" applyNumberFormat="1" applyFill="1" applyBorder="1" applyAlignment="1">
      <alignment horizontal="center" vertical="center"/>
    </xf>
    <xf numFmtId="15" fontId="0" fillId="0" borderId="71" xfId="0" applyNumberFormat="1" applyFill="1" applyBorder="1" applyAlignment="1">
      <alignment horizontal="center" vertical="center"/>
    </xf>
    <xf numFmtId="0" fontId="25" fillId="0" borderId="39" xfId="0" applyFont="1" applyFill="1" applyBorder="1" applyAlignment="1">
      <alignment horizontal="center" vertical="center"/>
    </xf>
    <xf numFmtId="0" fontId="25" fillId="0" borderId="71" xfId="0" applyNumberFormat="1" applyFont="1" applyFill="1" applyBorder="1" applyAlignment="1">
      <alignment horizontal="center" vertical="center"/>
    </xf>
    <xf numFmtId="0" fontId="25" fillId="0" borderId="71" xfId="0" applyFont="1" applyFill="1" applyBorder="1" applyAlignment="1">
      <alignment horizontal="center" vertical="center" wrapText="1"/>
    </xf>
    <xf numFmtId="0" fontId="25" fillId="13" borderId="71" xfId="0" applyNumberFormat="1" applyFont="1" applyFill="1" applyBorder="1" applyAlignment="1">
      <alignment horizontal="center" vertical="center" wrapText="1"/>
    </xf>
    <xf numFmtId="0" fontId="25" fillId="22" borderId="71" xfId="0" applyNumberFormat="1" applyFont="1" applyFill="1" applyBorder="1" applyAlignment="1">
      <alignment horizontal="center" vertical="center" wrapText="1"/>
    </xf>
    <xf numFmtId="0" fontId="25" fillId="0" borderId="71" xfId="0" applyNumberFormat="1" applyFont="1" applyFill="1" applyBorder="1" applyAlignment="1">
      <alignment horizontal="center" vertical="center" wrapText="1"/>
    </xf>
    <xf numFmtId="0" fontId="65" fillId="13" borderId="71" xfId="0" applyNumberFormat="1" applyFont="1" applyFill="1" applyBorder="1" applyAlignment="1">
      <alignment horizontal="center" vertical="center" wrapText="1"/>
    </xf>
    <xf numFmtId="0" fontId="65" fillId="13" borderId="86" xfId="0" applyNumberFormat="1" applyFont="1" applyFill="1" applyBorder="1" applyAlignment="1">
      <alignment horizontal="center" vertical="center" wrapText="1"/>
    </xf>
    <xf numFmtId="0" fontId="0" fillId="22" borderId="80" xfId="0" applyFill="1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167" fontId="22" fillId="4" borderId="87" xfId="0" applyNumberFormat="1" applyFont="1" applyFill="1" applyBorder="1" applyAlignment="1">
      <alignment horizontal="left" vertical="center" wrapText="1"/>
    </xf>
    <xf numFmtId="0" fontId="22" fillId="4" borderId="88" xfId="0" applyNumberFormat="1" applyFont="1" applyFill="1" applyBorder="1" applyAlignment="1">
      <alignment horizontal="left" vertical="center" wrapText="1"/>
    </xf>
    <xf numFmtId="167" fontId="22" fillId="4" borderId="88" xfId="0" applyNumberFormat="1" applyFont="1" applyFill="1" applyBorder="1" applyAlignment="1">
      <alignment horizontal="left" vertical="center" wrapText="1"/>
    </xf>
    <xf numFmtId="167" fontId="22" fillId="4" borderId="64" xfId="0" applyNumberFormat="1" applyFont="1" applyFill="1" applyBorder="1" applyAlignment="1">
      <alignment horizontal="left" vertical="center" wrapText="1"/>
    </xf>
    <xf numFmtId="167" fontId="67" fillId="4" borderId="87" xfId="0" applyNumberFormat="1" applyFont="1" applyFill="1" applyBorder="1" applyAlignment="1">
      <alignment horizontal="left" vertical="center" wrapText="1"/>
    </xf>
    <xf numFmtId="0" fontId="67" fillId="4" borderId="64" xfId="0" applyNumberFormat="1" applyFont="1" applyFill="1" applyBorder="1" applyAlignment="1">
      <alignment horizontal="left" vertical="center" wrapText="1"/>
    </xf>
    <xf numFmtId="0" fontId="67" fillId="4" borderId="88" xfId="0" applyNumberFormat="1" applyFont="1" applyFill="1" applyBorder="1" applyAlignment="1">
      <alignment horizontal="left" vertical="center" wrapText="1"/>
    </xf>
    <xf numFmtId="0" fontId="68" fillId="0" borderId="80" xfId="0" applyFont="1" applyFill="1" applyBorder="1"/>
    <xf numFmtId="0" fontId="73" fillId="13" borderId="86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4" fillId="13" borderId="86" xfId="0" applyNumberFormat="1" applyFont="1" applyFill="1" applyBorder="1" applyAlignment="1">
      <alignment horizontal="center" vertical="center" wrapText="1"/>
    </xf>
    <xf numFmtId="8" fontId="25" fillId="13" borderId="74" xfId="0" applyNumberFormat="1" applyFont="1" applyFill="1" applyBorder="1" applyAlignment="1">
      <alignment horizontal="center" vertical="center" wrapText="1"/>
    </xf>
    <xf numFmtId="14" fontId="0" fillId="0" borderId="74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74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0" xfId="0" applyAlignment="1">
      <alignment horizontal="center"/>
    </xf>
    <xf numFmtId="15" fontId="0" fillId="0" borderId="74" xfId="0" applyNumberFormat="1" applyBorder="1" applyAlignment="1">
      <alignment horizontal="center"/>
    </xf>
    <xf numFmtId="15" fontId="0" fillId="0" borderId="71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49" fontId="68" fillId="0" borderId="72" xfId="0" applyNumberFormat="1" applyFont="1" applyFill="1" applyBorder="1" applyAlignment="1">
      <alignment horizontal="center" vertical="center"/>
    </xf>
    <xf numFmtId="0" fontId="68" fillId="0" borderId="74" xfId="0" applyFont="1" applyBorder="1" applyAlignment="1">
      <alignment horizontal="center"/>
    </xf>
    <xf numFmtId="15" fontId="68" fillId="0" borderId="74" xfId="0" applyNumberFormat="1" applyFont="1" applyBorder="1" applyAlignment="1">
      <alignment horizontal="center"/>
    </xf>
    <xf numFmtId="0" fontId="68" fillId="0" borderId="74" xfId="0" applyFont="1" applyBorder="1" applyAlignment="1">
      <alignment horizontal="center" vertical="center"/>
    </xf>
    <xf numFmtId="0" fontId="68" fillId="22" borderId="74" xfId="0" applyFont="1" applyFill="1" applyBorder="1"/>
    <xf numFmtId="0" fontId="68" fillId="0" borderId="74" xfId="0" applyFont="1" applyBorder="1"/>
    <xf numFmtId="167" fontId="22" fillId="4" borderId="42" xfId="0" applyNumberFormat="1" applyFont="1" applyFill="1" applyBorder="1" applyAlignment="1" applyProtection="1">
      <alignment horizontal="left" vertical="center" wrapText="1"/>
      <protection locked="0"/>
    </xf>
    <xf numFmtId="0" fontId="22" fillId="4" borderId="29" xfId="0" applyNumberFormat="1" applyFont="1" applyFill="1" applyBorder="1" applyAlignment="1" applyProtection="1">
      <alignment horizontal="left" vertical="center" wrapText="1"/>
      <protection locked="0"/>
    </xf>
    <xf numFmtId="0" fontId="22" fillId="4" borderId="44" xfId="0" applyNumberFormat="1" applyFont="1" applyFill="1" applyBorder="1" applyAlignment="1" applyProtection="1">
      <alignment horizontal="left" vertical="center" wrapText="1"/>
      <protection locked="0"/>
    </xf>
    <xf numFmtId="49" fontId="25" fillId="0" borderId="72" xfId="0" applyNumberFormat="1" applyFont="1" applyFill="1" applyBorder="1" applyAlignment="1" applyProtection="1">
      <alignment horizontal="center" vertical="center"/>
      <protection locked="0"/>
    </xf>
    <xf numFmtId="49" fontId="25" fillId="0" borderId="74" xfId="0" applyNumberFormat="1" applyFont="1" applyFill="1" applyBorder="1" applyAlignment="1" applyProtection="1">
      <alignment horizontal="center" vertical="center"/>
      <protection locked="0"/>
    </xf>
    <xf numFmtId="15" fontId="0" fillId="0" borderId="74" xfId="0" applyNumberFormat="1" applyFill="1" applyBorder="1" applyAlignment="1" applyProtection="1">
      <alignment horizontal="center" vertical="center"/>
      <protection locked="0"/>
    </xf>
    <xf numFmtId="0" fontId="25" fillId="0" borderId="74" xfId="0" applyNumberFormat="1" applyFont="1" applyFill="1" applyBorder="1" applyAlignment="1" applyProtection="1">
      <alignment horizontal="center" vertical="center"/>
      <protection locked="0"/>
    </xf>
    <xf numFmtId="0" fontId="25" fillId="0" borderId="74" xfId="0" applyFont="1" applyFill="1" applyBorder="1" applyAlignment="1" applyProtection="1">
      <alignment horizontal="center" vertical="center" wrapText="1"/>
      <protection locked="0"/>
    </xf>
    <xf numFmtId="167" fontId="22" fillId="4" borderId="29" xfId="0" applyNumberFormat="1" applyFont="1" applyFill="1" applyBorder="1" applyAlignment="1" applyProtection="1">
      <alignment horizontal="left" vertical="center" wrapText="1"/>
      <protection locked="0"/>
    </xf>
    <xf numFmtId="49" fontId="0" fillId="0" borderId="72" xfId="0" applyNumberFormat="1" applyFill="1" applyBorder="1" applyAlignment="1" applyProtection="1">
      <alignment horizontal="center" vertical="center"/>
      <protection locked="0"/>
    </xf>
    <xf numFmtId="49" fontId="0" fillId="0" borderId="74" xfId="0" applyNumberFormat="1" applyFill="1" applyBorder="1" applyAlignment="1" applyProtection="1">
      <alignment horizontal="center" vertical="center"/>
      <protection locked="0"/>
    </xf>
    <xf numFmtId="0" fontId="25" fillId="0" borderId="74" xfId="0" applyFont="1" applyFill="1" applyBorder="1" applyAlignment="1" applyProtection="1">
      <alignment horizontal="center" vertical="center"/>
      <protection locked="0"/>
    </xf>
    <xf numFmtId="167" fontId="0" fillId="0" borderId="74" xfId="0" applyNumberFormat="1" applyFont="1" applyFill="1" applyBorder="1" applyAlignment="1" applyProtection="1">
      <alignment horizontal="center" vertical="center"/>
      <protection locked="0"/>
    </xf>
    <xf numFmtId="49" fontId="25" fillId="13" borderId="74" xfId="0" applyNumberFormat="1" applyFont="1" applyFill="1" applyBorder="1" applyAlignment="1" applyProtection="1">
      <alignment horizontal="center" vertical="center" wrapText="1"/>
      <protection locked="0"/>
    </xf>
    <xf numFmtId="0" fontId="25" fillId="13" borderId="74" xfId="0" applyNumberFormat="1" applyFont="1" applyFill="1" applyBorder="1" applyAlignment="1" applyProtection="1">
      <alignment horizontal="center" vertical="center" wrapText="1"/>
      <protection locked="0"/>
    </xf>
    <xf numFmtId="0" fontId="25" fillId="22" borderId="74" xfId="0" applyNumberFormat="1" applyFont="1" applyFill="1" applyBorder="1" applyAlignment="1" applyProtection="1">
      <alignment horizontal="center" vertical="center" wrapText="1"/>
      <protection locked="0"/>
    </xf>
    <xf numFmtId="0" fontId="25" fillId="0" borderId="74" xfId="0" applyNumberFormat="1" applyFont="1" applyFill="1" applyBorder="1" applyAlignment="1" applyProtection="1">
      <alignment horizontal="center" vertical="center" wrapText="1"/>
      <protection locked="0"/>
    </xf>
    <xf numFmtId="0" fontId="25" fillId="22" borderId="74" xfId="0" quotePrefix="1" applyNumberFormat="1" applyFont="1" applyFill="1" applyBorder="1" applyAlignment="1" applyProtection="1">
      <alignment horizontal="center" vertical="center" wrapText="1"/>
      <protection locked="0"/>
    </xf>
    <xf numFmtId="0" fontId="0" fillId="0" borderId="74" xfId="0" applyBorder="1" applyAlignment="1" applyProtection="1">
      <alignment horizontal="center" vertical="center"/>
      <protection locked="0"/>
    </xf>
    <xf numFmtId="167" fontId="25" fillId="22" borderId="74" xfId="0" applyNumberFormat="1" applyFont="1" applyFill="1" applyBorder="1" applyAlignment="1" applyProtection="1">
      <alignment horizontal="center" vertical="center"/>
      <protection locked="0"/>
    </xf>
    <xf numFmtId="167" fontId="0" fillId="0" borderId="74" xfId="0" applyNumberFormat="1" applyFill="1" applyBorder="1" applyAlignment="1" applyProtection="1">
      <alignment horizontal="center" vertical="center"/>
      <protection locked="0"/>
    </xf>
    <xf numFmtId="0" fontId="25" fillId="0" borderId="36" xfId="0" applyFont="1" applyFill="1" applyBorder="1" applyAlignment="1" applyProtection="1">
      <alignment horizontal="center" vertical="center"/>
      <protection locked="0"/>
    </xf>
    <xf numFmtId="167" fontId="0" fillId="0" borderId="36" xfId="0" applyNumberFormat="1" applyFont="1" applyFill="1" applyBorder="1" applyAlignment="1" applyProtection="1">
      <alignment horizontal="center" vertical="center"/>
      <protection locked="0"/>
    </xf>
    <xf numFmtId="164" fontId="22" fillId="4" borderId="29" xfId="0" applyNumberFormat="1" applyFont="1" applyFill="1" applyBorder="1" applyAlignment="1" applyProtection="1">
      <alignment horizontal="left" vertical="center" wrapText="1"/>
      <protection locked="0"/>
    </xf>
    <xf numFmtId="49" fontId="25" fillId="0" borderId="35" xfId="0" applyNumberFormat="1" applyFont="1" applyFill="1" applyBorder="1" applyAlignment="1" applyProtection="1">
      <alignment horizontal="center" vertical="center"/>
      <protection locked="0"/>
    </xf>
    <xf numFmtId="0" fontId="5" fillId="3" borderId="13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18" fillId="0" borderId="14" xfId="0" applyFont="1" applyFill="1" applyBorder="1" applyAlignment="1">
      <alignment horizontal="center" vertical="center" wrapText="1"/>
    </xf>
    <xf numFmtId="0" fontId="18" fillId="0" borderId="15" xfId="0" applyFont="1" applyFill="1" applyBorder="1" applyAlignment="1">
      <alignment horizontal="center" vertical="center" wrapText="1"/>
    </xf>
    <xf numFmtId="0" fontId="18" fillId="0" borderId="16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left" vertical="top"/>
    </xf>
    <xf numFmtId="0" fontId="12" fillId="2" borderId="4" xfId="0" applyFont="1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0" fillId="2" borderId="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10" xfId="0" applyFill="1" applyBorder="1" applyAlignment="1">
      <alignment horizontal="left" vertical="top" wrapText="1"/>
    </xf>
    <xf numFmtId="0" fontId="19" fillId="0" borderId="0" xfId="0" applyFont="1" applyAlignment="1">
      <alignment horizontal="left" vertical="top" wrapText="1"/>
    </xf>
    <xf numFmtId="0" fontId="10" fillId="2" borderId="0" xfId="0" applyFont="1" applyFill="1" applyBorder="1" applyAlignment="1">
      <alignment horizontal="left" vertical="center"/>
    </xf>
    <xf numFmtId="0" fontId="10" fillId="2" borderId="10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/>
    </xf>
    <xf numFmtId="0" fontId="10" fillId="2" borderId="17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13" fillId="0" borderId="5" xfId="0" applyFont="1" applyBorder="1" applyAlignment="1">
      <alignment horizontal="left" vertical="top"/>
    </xf>
    <xf numFmtId="0" fontId="14" fillId="0" borderId="5" xfId="0" applyFont="1" applyBorder="1" applyAlignment="1">
      <alignment horizontal="left" vertical="top"/>
    </xf>
    <xf numFmtId="0" fontId="15" fillId="3" borderId="6" xfId="0" applyFont="1" applyFill="1" applyBorder="1" applyAlignment="1">
      <alignment horizontal="center" wrapText="1"/>
    </xf>
    <xf numFmtId="0" fontId="15" fillId="3" borderId="11" xfId="0" applyFont="1" applyFill="1" applyBorder="1" applyAlignment="1">
      <alignment horizont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 wrapText="1"/>
    </xf>
    <xf numFmtId="15" fontId="40" fillId="21" borderId="0" xfId="0" applyNumberFormat="1" applyFont="1" applyFill="1" applyAlignment="1">
      <alignment horizontal="center" vertical="center"/>
    </xf>
    <xf numFmtId="15" fontId="41" fillId="21" borderId="0" xfId="0" applyNumberFormat="1" applyFont="1" applyFill="1" applyAlignment="1">
      <alignment horizontal="center" vertical="center"/>
    </xf>
    <xf numFmtId="17" fontId="42" fillId="21" borderId="0" xfId="0" applyNumberFormat="1" applyFont="1" applyFill="1" applyAlignment="1">
      <alignment horizontal="center" vertical="center"/>
    </xf>
    <xf numFmtId="0" fontId="42" fillId="21" borderId="0" xfId="0" applyFont="1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61" fillId="0" borderId="0" xfId="0" applyFont="1" applyAlignment="1">
      <alignment horizontal="center"/>
    </xf>
    <xf numFmtId="169" fontId="61" fillId="0" borderId="70" xfId="0" applyNumberFormat="1" applyFont="1" applyFill="1" applyBorder="1" applyAlignment="1">
      <alignment horizontal="center" vertical="center"/>
    </xf>
    <xf numFmtId="169" fontId="61" fillId="0" borderId="0" xfId="0" applyNumberFormat="1" applyFont="1" applyFill="1" applyAlignment="1">
      <alignment horizontal="center" vertical="center"/>
    </xf>
    <xf numFmtId="169" fontId="61" fillId="0" borderId="45" xfId="0" applyNumberFormat="1" applyFont="1" applyFill="1" applyBorder="1" applyAlignment="1">
      <alignment horizontal="center" vertical="center"/>
    </xf>
    <xf numFmtId="15" fontId="71" fillId="0" borderId="46" xfId="0" applyNumberFormat="1" applyFont="1" applyFill="1" applyBorder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45" xfId="0" applyFont="1" applyBorder="1" applyAlignment="1">
      <alignment horizontal="center" vertical="center"/>
    </xf>
    <xf numFmtId="49" fontId="61" fillId="0" borderId="0" xfId="0" applyNumberFormat="1" applyFont="1" applyFill="1" applyBorder="1" applyAlignment="1">
      <alignment horizontal="center" vertical="center"/>
    </xf>
    <xf numFmtId="0" fontId="24" fillId="6" borderId="22" xfId="0" applyFont="1" applyFill="1" applyBorder="1" applyAlignment="1">
      <alignment horizontal="center" vertical="center"/>
    </xf>
    <xf numFmtId="0" fontId="24" fillId="6" borderId="23" xfId="0" applyFont="1" applyFill="1" applyBorder="1" applyAlignment="1">
      <alignment horizontal="center" vertical="center"/>
    </xf>
    <xf numFmtId="0" fontId="24" fillId="6" borderId="24" xfId="0" applyFont="1" applyFill="1" applyBorder="1" applyAlignment="1">
      <alignment horizontal="center" vertical="center"/>
    </xf>
    <xf numFmtId="0" fontId="24" fillId="6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23" fillId="5" borderId="20" xfId="0" applyNumberFormat="1" applyFont="1" applyFill="1" applyBorder="1" applyAlignment="1">
      <alignment horizontal="center" vertical="center"/>
    </xf>
    <xf numFmtId="49" fontId="23" fillId="5" borderId="0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21" xfId="0" applyBorder="1" applyAlignment="1">
      <alignment vertical="center"/>
    </xf>
    <xf numFmtId="0" fontId="0" fillId="0" borderId="20" xfId="0" applyBorder="1" applyAlignment="1">
      <alignment vertical="center"/>
    </xf>
    <xf numFmtId="0" fontId="55" fillId="0" borderId="0" xfId="0" applyFont="1" applyFill="1" applyBorder="1" applyAlignment="1">
      <alignment horizontal="center" vertical="center"/>
    </xf>
    <xf numFmtId="0" fontId="25" fillId="0" borderId="71" xfId="0" applyNumberFormat="1" applyFont="1" applyFill="1" applyBorder="1" applyAlignment="1">
      <alignment horizontal="center" vertical="center" wrapText="1"/>
    </xf>
    <xf numFmtId="0" fontId="25" fillId="0" borderId="89" xfId="0" applyNumberFormat="1" applyFont="1" applyFill="1" applyBorder="1" applyAlignment="1">
      <alignment horizontal="center" vertical="center" wrapText="1"/>
    </xf>
    <xf numFmtId="0" fontId="25" fillId="0" borderId="90" xfId="0" applyNumberFormat="1" applyFont="1" applyFill="1" applyBorder="1" applyAlignment="1">
      <alignment horizontal="center" vertical="center" wrapText="1"/>
    </xf>
  </cellXfs>
  <cellStyles count="3">
    <cellStyle name="Lien hypertexte" xfId="1" builtinId="8"/>
    <cellStyle name="Milliers" xfId="2" builtinId="3"/>
    <cellStyle name="Normal" xfId="0" builtinId="0"/>
  </cellStyles>
  <dxfs count="467"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color rgb="FFE4801C"/>
      </font>
    </dxf>
    <dxf>
      <font>
        <strike/>
      </font>
    </dxf>
    <dxf>
      <font>
        <strike/>
      </font>
    </dxf>
    <dxf>
      <font>
        <color rgb="FFFF0000"/>
      </font>
    </dxf>
    <dxf>
      <font>
        <b/>
        <i val="0"/>
        <color rgb="FF00B050"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color rgb="FFE4801C"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color rgb="FFE4801C"/>
      </font>
    </dxf>
    <dxf>
      <font>
        <color rgb="FFE4801C"/>
      </font>
    </dxf>
    <dxf>
      <font>
        <color rgb="FFE4801C"/>
      </font>
    </dxf>
    <dxf>
      <fill>
        <patternFill>
          <bgColor theme="0" tint="-0.24994659260841701"/>
        </patternFill>
      </fill>
    </dxf>
    <dxf>
      <font>
        <strike/>
      </font>
    </dxf>
    <dxf>
      <fill>
        <patternFill>
          <bgColor theme="0"/>
        </patternFill>
      </fill>
    </dxf>
    <dxf>
      <fill>
        <patternFill>
          <bgColor theme="5" tint="0.39994506668294322"/>
        </patternFill>
      </fill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>
          <bgColor theme="0"/>
        </patternFill>
      </fill>
    </dxf>
    <dxf>
      <fill>
        <patternFill>
          <bgColor theme="5" tint="0.39994506668294322"/>
        </patternFill>
      </fill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>
          <bgColor theme="0"/>
        </patternFill>
      </fill>
    </dxf>
    <dxf>
      <fill>
        <patternFill>
          <bgColor theme="5" tint="0.39994506668294322"/>
        </patternFill>
      </fill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0"/>
        </patternFill>
      </fill>
    </dxf>
    <dxf>
      <fill>
        <patternFill>
          <bgColor theme="5" tint="0.39994506668294322"/>
        </patternFill>
      </fill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>
          <bgColor theme="0"/>
        </patternFill>
      </fill>
    </dxf>
    <dxf>
      <fill>
        <patternFill>
          <bgColor theme="5" tint="0.39994506668294322"/>
        </patternFill>
      </fill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0"/>
        </patternFill>
      </fill>
    </dxf>
    <dxf>
      <fill>
        <patternFill>
          <bgColor theme="5" tint="0.39994506668294322"/>
        </patternFill>
      </fill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0"/>
        </patternFill>
      </fill>
    </dxf>
    <dxf>
      <fill>
        <patternFill>
          <bgColor theme="5" tint="0.39994506668294322"/>
        </patternFill>
      </fill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0"/>
        </patternFill>
      </fill>
    </dxf>
    <dxf>
      <fill>
        <patternFill>
          <bgColor theme="5" tint="0.39994506668294322"/>
        </patternFill>
      </fill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>
          <bgColor theme="0"/>
        </patternFill>
      </fill>
    </dxf>
    <dxf>
      <fill>
        <patternFill>
          <bgColor theme="5" tint="0.39994506668294322"/>
        </patternFill>
      </fill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>
          <bgColor theme="0"/>
        </patternFill>
      </fill>
    </dxf>
    <dxf>
      <fill>
        <patternFill>
          <bgColor theme="5" tint="0.39994506668294322"/>
        </patternFill>
      </fill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FF0000"/>
      </font>
    </dxf>
    <dxf>
      <font>
        <b/>
        <i val="0"/>
        <color rgb="FF00B050"/>
      </font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>
          <bgColor theme="0"/>
        </patternFill>
      </fill>
    </dxf>
    <dxf>
      <fill>
        <patternFill>
          <bgColor theme="5" tint="0.39994506668294322"/>
        </patternFill>
      </fill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ill>
        <patternFill patternType="solid">
          <bgColor theme="0"/>
        </patternFill>
      </fill>
      <border>
        <left style="hair">
          <color theme="4" tint="0.59996337778862885"/>
        </left>
        <right style="hair">
          <color theme="4" tint="0.59996337778862885"/>
        </right>
        <top style="hair">
          <color theme="4" tint="0.59996337778862885"/>
        </top>
        <bottom style="hair">
          <color theme="4" tint="0.59996337778862885"/>
        </bottom>
      </border>
    </dxf>
    <dxf>
      <font>
        <color rgb="FFFF0000"/>
      </font>
    </dxf>
    <dxf>
      <font>
        <b/>
        <i val="0"/>
        <color rgb="FF00B050"/>
      </font>
    </dxf>
    <dxf>
      <fill>
        <patternFill>
          <bgColor theme="9" tint="-0.24994659260841701"/>
        </patternFill>
      </fill>
    </dxf>
    <dxf>
      <fill>
        <patternFill>
          <bgColor rgb="FFA40052"/>
        </patternFill>
      </fill>
    </dxf>
    <dxf>
      <fill>
        <patternFill>
          <bgColor rgb="FF0099FF"/>
        </patternFill>
      </fill>
    </dxf>
    <dxf>
      <fill>
        <patternFill>
          <bgColor rgb="FF009900"/>
        </patternFill>
      </fill>
    </dxf>
    <dxf>
      <fill>
        <patternFill>
          <bgColor rgb="FF77BBF9"/>
        </patternFill>
      </fill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E4801C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E4801C"/>
      </font>
    </dxf>
    <dxf>
      <font>
        <color rgb="FFFF0000"/>
      </font>
    </dxf>
    <dxf>
      <font>
        <b/>
        <i val="0"/>
        <color rgb="FF00B050"/>
      </font>
    </dxf>
    <dxf>
      <font>
        <color rgb="FFE4801C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E4801C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E4801C"/>
      </font>
    </dxf>
    <dxf>
      <font>
        <color rgb="FFE4801C"/>
      </font>
    </dxf>
    <dxf>
      <font>
        <color rgb="FFE4801C"/>
      </font>
    </dxf>
    <dxf>
      <font>
        <color rgb="FFE4801C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Light16"/>
  <colors>
    <mruColors>
      <color rgb="FF6B95C7"/>
      <color rgb="FFF1F5F9"/>
      <color rgb="FFE7EEF5"/>
      <color rgb="FFEEEEEE"/>
      <color rgb="FFEAEAEA"/>
      <color rgb="FFF4F7FA"/>
      <color rgb="FFFEEFE2"/>
      <color rgb="FFF8F8F8"/>
      <color rgb="FFFEF6F0"/>
      <color rgb="FFFEF4E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Wheighing Board June 2016'!A1"/><Relationship Id="rId2" Type="http://schemas.openxmlformats.org/officeDocument/2006/relationships/image" Target="../media/image3.png"/><Relationship Id="rId1" Type="http://schemas.openxmlformats.org/officeDocument/2006/relationships/hyperlink" Target="#Database!A1"/><Relationship Id="rId5" Type="http://schemas.openxmlformats.org/officeDocument/2006/relationships/image" Target="../media/image4.png"/><Relationship Id="rId4" Type="http://schemas.openxmlformats.org/officeDocument/2006/relationships/hyperlink" Target="file:///G:\08%20Laboratoires\05%20Quality%20System\03%20Records\02%20Chemicals\Mod&#232;le%20&#233;tiquettes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Content!A1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0</xdr:row>
      <xdr:rowOff>133358</xdr:rowOff>
    </xdr:from>
    <xdr:to>
      <xdr:col>2</xdr:col>
      <xdr:colOff>694182</xdr:colOff>
      <xdr:row>3</xdr:row>
      <xdr:rowOff>150884</xdr:rowOff>
    </xdr:to>
    <xdr:pic>
      <xdr:nvPicPr>
        <xdr:cNvPr id="2" name="Image 1" descr="Logo_neuroservice_web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33358"/>
          <a:ext cx="1421892" cy="60998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5</xdr:row>
          <xdr:rowOff>190500</xdr:rowOff>
        </xdr:from>
        <xdr:to>
          <xdr:col>7</xdr:col>
          <xdr:colOff>1552575</xdr:colOff>
          <xdr:row>16</xdr:row>
          <xdr:rowOff>38100</xdr:rowOff>
        </xdr:to>
        <xdr:sp macro="" textlink="">
          <xdr:nvSpPr>
            <xdr:cNvPr id="22530" name="Object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251460</xdr:colOff>
      <xdr:row>4</xdr:row>
      <xdr:rowOff>137160</xdr:rowOff>
    </xdr:from>
    <xdr:to>
      <xdr:col>2</xdr:col>
      <xdr:colOff>640080</xdr:colOff>
      <xdr:row>5</xdr:row>
      <xdr:rowOff>15240</xdr:rowOff>
    </xdr:to>
    <xdr:pic>
      <xdr:nvPicPr>
        <xdr:cNvPr id="2" name="Image 1" descr="C:\Users\virginie.jan-logassi\AppData\Local\Microsoft\Windows\Temporary Internet Files\Content.IE5\WHWB1QDA\MC900432683[1].png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6420" y="975360"/>
          <a:ext cx="388620" cy="388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259080</xdr:colOff>
      <xdr:row>5</xdr:row>
      <xdr:rowOff>121920</xdr:rowOff>
    </xdr:from>
    <xdr:to>
      <xdr:col>2</xdr:col>
      <xdr:colOff>647700</xdr:colOff>
      <xdr:row>6</xdr:row>
      <xdr:rowOff>0</xdr:rowOff>
    </xdr:to>
    <xdr:pic>
      <xdr:nvPicPr>
        <xdr:cNvPr id="3" name="Image 2" descr="C:\Users\virginie.jan-logassi\AppData\Local\Microsoft\Windows\Temporary Internet Files\Content.IE5\WHWB1QDA\MC900432683[1].png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4040" y="1470660"/>
          <a:ext cx="388620" cy="388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144780</xdr:colOff>
      <xdr:row>6</xdr:row>
      <xdr:rowOff>129540</xdr:rowOff>
    </xdr:from>
    <xdr:to>
      <xdr:col>2</xdr:col>
      <xdr:colOff>746760</xdr:colOff>
      <xdr:row>8</xdr:row>
      <xdr:rowOff>38100</xdr:rowOff>
    </xdr:to>
    <xdr:pic>
      <xdr:nvPicPr>
        <xdr:cNvPr id="5" name="Image 4" descr="C:\Users\virginie.jan-logassi\AppData\Local\Microsoft\Windows\Temporary Internet Files\Content.IE5\GKE3WMJO\MC900441458[1].png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1988820"/>
          <a:ext cx="601980" cy="601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0</xdr:rowOff>
    </xdr:from>
    <xdr:to>
      <xdr:col>19</xdr:col>
      <xdr:colOff>25400</xdr:colOff>
      <xdr:row>2</xdr:row>
      <xdr:rowOff>114300</xdr:rowOff>
    </xdr:to>
    <xdr:sp macro="" textlink="">
      <xdr:nvSpPr>
        <xdr:cNvPr id="5" name="Flèche gauche 4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SpPr/>
      </xdr:nvSpPr>
      <xdr:spPr>
        <a:xfrm>
          <a:off x="13472160" y="182880"/>
          <a:ext cx="817880" cy="563880"/>
        </a:xfrm>
        <a:prstGeom prst="lef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600" b="1"/>
            <a:t>back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..\..\01%20External%20documentation\Analysis%20certificate\Sigma\2018\Sodium%20L-Ascorbate_Batch%20SLBT6741.pdf" TargetMode="External"/><Relationship Id="rId13" Type="http://schemas.openxmlformats.org/officeDocument/2006/relationships/hyperlink" Target="..\..\01%20External%20documentation\Analysis%20certificate\Sigma\2018\myo-inositol_Batch%20SLBR5805V.pdf" TargetMode="External"/><Relationship Id="rId18" Type="http://schemas.openxmlformats.org/officeDocument/2006/relationships/hyperlink" Target="..\..\01%20External%20documentation\Analysis%20certificate\Sigma\2018\Sodium%20pyruvate_SLBR3960V.pdf" TargetMode="External"/><Relationship Id="rId26" Type="http://schemas.openxmlformats.org/officeDocument/2006/relationships/hyperlink" Target="..\..\01%20External%20documentation\Analysis%20certificate\Sigma\2018\Kynurenic%20acid_Batch%20SLBW8302.pdf" TargetMode="External"/><Relationship Id="rId39" Type="http://schemas.openxmlformats.org/officeDocument/2006/relationships/drawing" Target="../drawings/drawing3.xml"/><Relationship Id="rId3" Type="http://schemas.openxmlformats.org/officeDocument/2006/relationships/hyperlink" Target="..\..\01%20External%20documentation\Analysis%20certificate\Sigma\2018\HEPES_Batch%20SLBS5578.pdf" TargetMode="External"/><Relationship Id="rId21" Type="http://schemas.openxmlformats.org/officeDocument/2006/relationships/hyperlink" Target="..\..\01%20External%20documentation\Analysis%20certificate\Sigma\2018\Choline%20bicarbonate_Batch%20059K1526.pdf" TargetMode="External"/><Relationship Id="rId34" Type="http://schemas.openxmlformats.org/officeDocument/2006/relationships/hyperlink" Target="..\..\..\..\09%20Projects\05%202018\18PR0059_MEA_Takeda%20(TAK-041%20Dosed%20animals)\03%20Supplies\SYR237041%20Takeda%20Proposal%2056%20Compound%20formulation%20Infos.xlsx" TargetMode="External"/><Relationship Id="rId7" Type="http://schemas.openxmlformats.org/officeDocument/2006/relationships/hyperlink" Target="..\..\01%20External%20documentation\Analysis%20certificate\Sigma\2018\NMDG_Batch%20WXBC5588V.pdf" TargetMode="External"/><Relationship Id="rId12" Type="http://schemas.openxmlformats.org/officeDocument/2006/relationships/hyperlink" Target="..\..\01%20External%20documentation\Analysis%20certificate\Sigma\2018\Urethane_Batch%20WXBC3505V.pdf" TargetMode="External"/><Relationship Id="rId17" Type="http://schemas.openxmlformats.org/officeDocument/2006/relationships/hyperlink" Target="..\..\01%20External%20documentation\Analysis%20certificate\Sigma\2018\Sodium%20pyruvate_SLBR3960V.pdf" TargetMode="External"/><Relationship Id="rId25" Type="http://schemas.openxmlformats.org/officeDocument/2006/relationships/hyperlink" Target="..\..\01%20External%20documentation\Analysis%20certificate\Abcam\2018\Gabazine_%20batch%20APN12394-9-2.pdf" TargetMode="External"/><Relationship Id="rId33" Type="http://schemas.openxmlformats.org/officeDocument/2006/relationships/hyperlink" Target="..\..\..\..\09%20Projects\05%202018\18PR0059_MEA_Takeda%20(TAK-041%20Dosed%20animals)\03%20Supplies\SYR237041%20Takeda%20Proposal%2056%20Compound%20formulation%20Infos.xlsx" TargetMode="External"/><Relationship Id="rId38" Type="http://schemas.openxmlformats.org/officeDocument/2006/relationships/printerSettings" Target="../printerSettings/printerSettings11.bin"/><Relationship Id="rId2" Type="http://schemas.openxmlformats.org/officeDocument/2006/relationships/hyperlink" Target="..\..\01%20External%20documentation\Analysis%20certificate\Sigma\2018\HEPES_Batch%20SLBV6923.pdf" TargetMode="External"/><Relationship Id="rId16" Type="http://schemas.openxmlformats.org/officeDocument/2006/relationships/hyperlink" Target="..\..\01%20External%20documentation\Analysis%20certificate\Sigma\2018\Sodium%20pyruvate_SLBR3960V.pdf" TargetMode="External"/><Relationship Id="rId20" Type="http://schemas.openxmlformats.org/officeDocument/2006/relationships/hyperlink" Target="..\..\01%20External%20documentation\Analysis%20certificate\Sigma\2018\Ethyl%20pyruvate_Batch%20STBG6563.pdf" TargetMode="External"/><Relationship Id="rId29" Type="http://schemas.openxmlformats.org/officeDocument/2006/relationships/hyperlink" Target="..\..\01%20External%20documentation\Analysis%20certificate\Abcam\2018\Gabazine_%20batch%20APN12394-9-2.pdf" TargetMode="External"/><Relationship Id="rId41" Type="http://schemas.openxmlformats.org/officeDocument/2006/relationships/comments" Target="../comments6.xml"/><Relationship Id="rId1" Type="http://schemas.openxmlformats.org/officeDocument/2006/relationships/hyperlink" Target="..\..\01%20External%20documentation\Analysis%20certificate\Sigma\2018\HEPES_Batch%20SLBV6923.pdf" TargetMode="External"/><Relationship Id="rId6" Type="http://schemas.openxmlformats.org/officeDocument/2006/relationships/hyperlink" Target="..\..\01%20External%20documentation\Analysis%20certificate\Sigma\2018\NMDG_Batch%20WXBC5588V.pdf" TargetMode="External"/><Relationship Id="rId11" Type="http://schemas.openxmlformats.org/officeDocument/2006/relationships/hyperlink" Target="..\..\01%20External%20documentation\Analysis%20certificate\Sigma\2018\Urethane_Batch%20WXBC3505V.pdf" TargetMode="External"/><Relationship Id="rId24" Type="http://schemas.openxmlformats.org/officeDocument/2006/relationships/hyperlink" Target="..\..\01%20External%20documentation\Analysis%20certificate\Abcam\2018\Gabazine_%20batch%20APN12394-9-2.pdf" TargetMode="External"/><Relationship Id="rId32" Type="http://schemas.openxmlformats.org/officeDocument/2006/relationships/hyperlink" Target="..\..\..\..\09%20Projects\05%202018\18PR0059_MEA_Takeda%20(TAK-041%20Dosed%20animals)\03%20Supplies\SYR237041%20Takeda%20Proposal%2056%20Compound%20formulation%20Infos.xlsx" TargetMode="External"/><Relationship Id="rId37" Type="http://schemas.openxmlformats.org/officeDocument/2006/relationships/hyperlink" Target="..\..\01%20External%20documentation\Analysis%20certificate\Sigma\2018\Kynurenic%20acid_Batch%20SLBW8302.pdf" TargetMode="External"/><Relationship Id="rId40" Type="http://schemas.openxmlformats.org/officeDocument/2006/relationships/vmlDrawing" Target="../drawings/vmlDrawing7.vml"/><Relationship Id="rId5" Type="http://schemas.openxmlformats.org/officeDocument/2006/relationships/hyperlink" Target="..\..\01%20External%20documentation\Analysis%20certificate\Sigma\2018\HEPES_Batch%20SLBS5578.pdf" TargetMode="External"/><Relationship Id="rId15" Type="http://schemas.openxmlformats.org/officeDocument/2006/relationships/hyperlink" Target="..\..\01%20External%20documentation\Analysis%20certificate\Sigma\2018\Sodium%20pyruvate_SLBR3960V.pdf" TargetMode="External"/><Relationship Id="rId23" Type="http://schemas.openxmlformats.org/officeDocument/2006/relationships/hyperlink" Target="..\..\01%20External%20documentation\Analysis%20certificate\Abcam\2018\Gabazine_%20batch%20APN12394-9-2.pdf" TargetMode="External"/><Relationship Id="rId28" Type="http://schemas.openxmlformats.org/officeDocument/2006/relationships/hyperlink" Target="..\..\01%20External%20documentation\Analysis%20certificate\Sigma\2018\Kynurenic%20acid_Batch%20SLBW8302.pdf" TargetMode="External"/><Relationship Id="rId36" Type="http://schemas.openxmlformats.org/officeDocument/2006/relationships/hyperlink" Target="..\..\01%20External%20documentation\Analysis%20certificate\Sigma\2018\Kynurenic%20acid_Batch%20SLBW8302.pdf" TargetMode="External"/><Relationship Id="rId10" Type="http://schemas.openxmlformats.org/officeDocument/2006/relationships/hyperlink" Target="..\..\01%20External%20documentation\Analysis%20certificate\Sigma\2018\Sodium%20L-Ascorbate_Batch%20SLBT6741.pdf" TargetMode="External"/><Relationship Id="rId19" Type="http://schemas.openxmlformats.org/officeDocument/2006/relationships/hyperlink" Target="..\..\01%20External%20documentation\Analysis%20certificate\Sigma\2018\Ethyl%20pyruvate_Batch%20STBG6563.pdf" TargetMode="External"/><Relationship Id="rId31" Type="http://schemas.openxmlformats.org/officeDocument/2006/relationships/hyperlink" Target="..\..\..\..\09%20Projects\05%202018\18PR0059_MEA_Takeda%20(TAK-041%20Dosed%20animals)\03%20Supplies\SYR237041%20Takeda%20Proposal%2056%20Compound%20formulation%20Infos.xlsx" TargetMode="External"/><Relationship Id="rId4" Type="http://schemas.openxmlformats.org/officeDocument/2006/relationships/hyperlink" Target="..\..\01%20External%20documentation\Analysis%20certificate\Sigma\2018\HEPES_Batch%20SLBS5578.pdf" TargetMode="External"/><Relationship Id="rId9" Type="http://schemas.openxmlformats.org/officeDocument/2006/relationships/hyperlink" Target="..\..\01%20External%20documentation\Analysis%20certificate\Sigma\2018\Sodium%20L-Ascorbate_Batch%20SLBT6741.pdf" TargetMode="External"/><Relationship Id="rId14" Type="http://schemas.openxmlformats.org/officeDocument/2006/relationships/hyperlink" Target="..\..\01%20External%20documentation\Analysis%20certificate\Sigma\2018\myo-inositol_Batch%20SLBR5805V.pdf" TargetMode="External"/><Relationship Id="rId22" Type="http://schemas.openxmlformats.org/officeDocument/2006/relationships/hyperlink" Target="..\..\01%20External%20documentation\Analysis%20certificate\Sigma\2018\Choline%20bicarbonate_Batch%20059K1526.pdf" TargetMode="External"/><Relationship Id="rId27" Type="http://schemas.openxmlformats.org/officeDocument/2006/relationships/hyperlink" Target="..\..\01%20External%20documentation\Analysis%20certificate\Sigma\2018\Kynurenic%20acid_Batch%20SLBW8302.pdf" TargetMode="External"/><Relationship Id="rId30" Type="http://schemas.openxmlformats.org/officeDocument/2006/relationships/hyperlink" Target="..\..\01%20External%20documentation\Analysis%20certificate\Sigma\2018\Myo-inositol_Batch%20SLBT6919.pdf" TargetMode="External"/><Relationship Id="rId35" Type="http://schemas.openxmlformats.org/officeDocument/2006/relationships/hyperlink" Target="..\..\01%20External%20documentation\Analysis%20certificate\Sigma\2018\Kynurenic%20acid_Batch%20SLBW8302.pdf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>
    <tabColor theme="1" tint="4.9989318521683403E-2"/>
    <pageSetUpPr fitToPage="1"/>
  </sheetPr>
  <dimension ref="B1:H48"/>
  <sheetViews>
    <sheetView showGridLines="0" zoomScale="80" zoomScaleNormal="80" workbookViewId="0">
      <selection activeCell="B36" sqref="B36:H42"/>
    </sheetView>
  </sheetViews>
  <sheetFormatPr baseColWidth="10" defaultColWidth="11.42578125" defaultRowHeight="15" x14ac:dyDescent="0.25"/>
  <cols>
    <col min="1" max="1" width="1.28515625" customWidth="1"/>
    <col min="2" max="3" width="11.42578125" customWidth="1"/>
    <col min="4" max="4" width="19.7109375" customWidth="1"/>
    <col min="8" max="8" width="21.28515625" customWidth="1"/>
    <col min="9" max="9" width="2.140625" customWidth="1"/>
  </cols>
  <sheetData>
    <row r="1" spans="2:8" ht="18" customHeight="1" x14ac:dyDescent="0.25">
      <c r="B1" s="753"/>
      <c r="C1" s="8"/>
      <c r="D1" s="760" t="s">
        <v>8</v>
      </c>
      <c r="E1" s="760"/>
      <c r="F1" s="760"/>
      <c r="G1" s="761"/>
      <c r="H1" s="764" t="s">
        <v>1248</v>
      </c>
    </row>
    <row r="2" spans="2:8" x14ac:dyDescent="0.25">
      <c r="B2" s="753"/>
      <c r="C2" s="8"/>
      <c r="D2" s="762"/>
      <c r="E2" s="762"/>
      <c r="F2" s="762"/>
      <c r="G2" s="763"/>
      <c r="H2" s="765"/>
    </row>
    <row r="3" spans="2:8" x14ac:dyDescent="0.25">
      <c r="B3" s="753"/>
      <c r="C3" s="8"/>
      <c r="D3" s="754" t="s">
        <v>1346</v>
      </c>
      <c r="E3" s="755"/>
      <c r="F3" s="755"/>
      <c r="G3" s="756"/>
      <c r="H3" s="11" t="s">
        <v>6</v>
      </c>
    </row>
    <row r="4" spans="2:8" x14ac:dyDescent="0.25">
      <c r="B4" s="753"/>
      <c r="C4" s="8"/>
      <c r="D4" s="757"/>
      <c r="E4" s="757"/>
      <c r="F4" s="757"/>
      <c r="G4" s="758"/>
      <c r="H4" s="11" t="s">
        <v>7</v>
      </c>
    </row>
    <row r="5" spans="2:8" x14ac:dyDescent="0.25">
      <c r="B5" s="8"/>
      <c r="C5" s="8"/>
      <c r="D5" s="757"/>
      <c r="E5" s="757"/>
      <c r="F5" s="757"/>
      <c r="G5" s="758"/>
      <c r="H5" s="12">
        <v>42492</v>
      </c>
    </row>
    <row r="17" spans="2:8" ht="18.75" x14ac:dyDescent="0.3">
      <c r="B17" s="9" t="s">
        <v>0</v>
      </c>
      <c r="C17" s="10"/>
      <c r="D17" s="10"/>
      <c r="E17" s="10"/>
      <c r="F17" s="10"/>
      <c r="G17" s="10"/>
      <c r="H17" s="10"/>
    </row>
    <row r="19" spans="2:8" x14ac:dyDescent="0.25">
      <c r="B19" s="771" t="s">
        <v>1249</v>
      </c>
      <c r="C19" s="771"/>
      <c r="D19" s="771"/>
      <c r="E19" s="771"/>
      <c r="F19" s="771"/>
      <c r="G19" s="771"/>
      <c r="H19" s="771"/>
    </row>
    <row r="20" spans="2:8" x14ac:dyDescent="0.25">
      <c r="B20" s="771"/>
      <c r="C20" s="771"/>
      <c r="D20" s="771"/>
      <c r="E20" s="771"/>
      <c r="F20" s="771"/>
      <c r="G20" s="771"/>
      <c r="H20" s="771"/>
    </row>
    <row r="21" spans="2:8" x14ac:dyDescent="0.25">
      <c r="B21" s="771"/>
      <c r="C21" s="771"/>
      <c r="D21" s="771"/>
      <c r="E21" s="771"/>
      <c r="F21" s="771"/>
      <c r="G21" s="771"/>
      <c r="H21" s="771"/>
    </row>
    <row r="22" spans="2:8" x14ac:dyDescent="0.25">
      <c r="B22" s="771"/>
      <c r="C22" s="771"/>
      <c r="D22" s="771"/>
      <c r="E22" s="771"/>
      <c r="F22" s="771"/>
      <c r="G22" s="771"/>
      <c r="H22" s="771"/>
    </row>
    <row r="23" spans="2:8" x14ac:dyDescent="0.25">
      <c r="B23" s="771"/>
      <c r="C23" s="771"/>
      <c r="D23" s="771"/>
      <c r="E23" s="771"/>
      <c r="F23" s="771"/>
      <c r="G23" s="771"/>
      <c r="H23" s="771"/>
    </row>
    <row r="24" spans="2:8" x14ac:dyDescent="0.25">
      <c r="B24" s="771"/>
      <c r="C24" s="771"/>
      <c r="D24" s="771"/>
      <c r="E24" s="771"/>
      <c r="F24" s="771"/>
      <c r="G24" s="771"/>
      <c r="H24" s="771"/>
    </row>
    <row r="25" spans="2:8" ht="14.45" hidden="1" customHeight="1" x14ac:dyDescent="0.25">
      <c r="B25" s="771"/>
      <c r="C25" s="771"/>
      <c r="D25" s="771"/>
      <c r="E25" s="771"/>
      <c r="F25" s="771"/>
      <c r="G25" s="771"/>
      <c r="H25" s="771"/>
    </row>
    <row r="26" spans="2:8" ht="14.45" hidden="1" customHeight="1" x14ac:dyDescent="0.25">
      <c r="B26" s="770"/>
      <c r="C26" s="770"/>
      <c r="D26" s="770"/>
      <c r="E26" s="770"/>
      <c r="F26" s="770"/>
      <c r="G26" s="770"/>
    </row>
    <row r="27" spans="2:8" ht="14.45" hidden="1" customHeight="1" x14ac:dyDescent="0.25">
      <c r="B27" s="770"/>
      <c r="C27" s="770"/>
      <c r="D27" s="770"/>
      <c r="E27" s="770"/>
      <c r="F27" s="770"/>
      <c r="G27" s="770"/>
    </row>
    <row r="29" spans="2:8" ht="18.75" x14ac:dyDescent="0.25">
      <c r="B29" s="17" t="s">
        <v>1</v>
      </c>
      <c r="C29" s="17"/>
      <c r="D29" s="17"/>
      <c r="E29" s="17"/>
      <c r="F29" s="17"/>
      <c r="G29" s="17"/>
      <c r="H29" s="17"/>
    </row>
    <row r="31" spans="2:8" x14ac:dyDescent="0.25">
      <c r="B31" s="759" t="s">
        <v>1250</v>
      </c>
      <c r="C31" s="759"/>
      <c r="D31" s="759"/>
      <c r="E31" s="759"/>
      <c r="F31" s="759"/>
      <c r="G31" s="759"/>
    </row>
    <row r="32" spans="2:8" x14ac:dyDescent="0.25">
      <c r="B32" s="759"/>
      <c r="C32" s="759"/>
      <c r="D32" s="759"/>
      <c r="E32" s="759"/>
      <c r="F32" s="759"/>
      <c r="G32" s="759"/>
    </row>
    <row r="34" spans="2:8" ht="18.75" x14ac:dyDescent="0.25">
      <c r="B34" s="15" t="s">
        <v>9</v>
      </c>
      <c r="C34" s="16"/>
      <c r="D34" s="16"/>
      <c r="E34" s="16"/>
      <c r="F34" s="16"/>
      <c r="G34" s="16"/>
      <c r="H34" s="16"/>
    </row>
    <row r="36" spans="2:8" x14ac:dyDescent="0.25">
      <c r="B36" s="771" t="s">
        <v>2259</v>
      </c>
      <c r="C36" s="771"/>
      <c r="D36" s="771"/>
      <c r="E36" s="771"/>
      <c r="F36" s="771"/>
      <c r="G36" s="771"/>
      <c r="H36" s="771"/>
    </row>
    <row r="37" spans="2:8" ht="43.15" customHeight="1" x14ac:dyDescent="0.25">
      <c r="B37" s="771"/>
      <c r="C37" s="771"/>
      <c r="D37" s="771"/>
      <c r="E37" s="771"/>
      <c r="F37" s="771"/>
      <c r="G37" s="771"/>
      <c r="H37" s="771"/>
    </row>
    <row r="38" spans="2:8" ht="43.15" customHeight="1" x14ac:dyDescent="0.25">
      <c r="B38" s="771"/>
      <c r="C38" s="771"/>
      <c r="D38" s="771"/>
      <c r="E38" s="771"/>
      <c r="F38" s="771"/>
      <c r="G38" s="771"/>
      <c r="H38" s="771"/>
    </row>
    <row r="39" spans="2:8" ht="43.15" customHeight="1" x14ac:dyDescent="0.25">
      <c r="B39" s="771"/>
      <c r="C39" s="771"/>
      <c r="D39" s="771"/>
      <c r="E39" s="771"/>
      <c r="F39" s="771"/>
      <c r="G39" s="771"/>
      <c r="H39" s="771"/>
    </row>
    <row r="40" spans="2:8" x14ac:dyDescent="0.25">
      <c r="B40" s="771"/>
      <c r="C40" s="771"/>
      <c r="D40" s="771"/>
      <c r="E40" s="771"/>
      <c r="F40" s="771"/>
      <c r="G40" s="771"/>
      <c r="H40" s="771"/>
    </row>
    <row r="41" spans="2:8" x14ac:dyDescent="0.25">
      <c r="B41" s="771"/>
      <c r="C41" s="771"/>
      <c r="D41" s="771"/>
      <c r="E41" s="771"/>
      <c r="F41" s="771"/>
      <c r="G41" s="771"/>
      <c r="H41" s="771"/>
    </row>
    <row r="42" spans="2:8" x14ac:dyDescent="0.25">
      <c r="B42" s="771"/>
      <c r="C42" s="771"/>
      <c r="D42" s="771"/>
      <c r="E42" s="771"/>
      <c r="F42" s="771"/>
      <c r="G42" s="771"/>
      <c r="H42" s="771"/>
    </row>
    <row r="44" spans="2:8" ht="18.75" x14ac:dyDescent="0.25">
      <c r="B44" s="766" t="s">
        <v>2</v>
      </c>
      <c r="C44" s="767"/>
      <c r="D44" s="767"/>
      <c r="E44" s="767"/>
      <c r="F44" s="767"/>
      <c r="G44" s="767"/>
    </row>
    <row r="46" spans="2:8" ht="15.75" thickBot="1" x14ac:dyDescent="0.3">
      <c r="B46" s="21" t="s">
        <v>3</v>
      </c>
      <c r="C46" s="13" t="s">
        <v>4</v>
      </c>
      <c r="D46" s="768" t="s">
        <v>5</v>
      </c>
      <c r="E46" s="768"/>
      <c r="F46" s="768"/>
      <c r="G46" s="769"/>
    </row>
    <row r="47" spans="2:8" s="18" customFormat="1" ht="41.45" customHeight="1" thickBot="1" x14ac:dyDescent="0.3">
      <c r="B47" s="19">
        <v>1</v>
      </c>
      <c r="C47" s="20">
        <f>H5</f>
        <v>42492</v>
      </c>
      <c r="D47" s="748" t="s">
        <v>1343</v>
      </c>
      <c r="E47" s="748"/>
      <c r="F47" s="748"/>
      <c r="G47" s="749"/>
    </row>
    <row r="48" spans="2:8" ht="20.45" customHeight="1" x14ac:dyDescent="0.25">
      <c r="B48" s="750"/>
      <c r="C48" s="751"/>
      <c r="D48" s="751"/>
      <c r="E48" s="751"/>
      <c r="F48" s="751"/>
      <c r="G48" s="752"/>
    </row>
  </sheetData>
  <mergeCells count="12">
    <mergeCell ref="H1:H2"/>
    <mergeCell ref="B44:G44"/>
    <mergeCell ref="D46:G46"/>
    <mergeCell ref="B26:G27"/>
    <mergeCell ref="B36:H42"/>
    <mergeCell ref="B19:H25"/>
    <mergeCell ref="D47:G47"/>
    <mergeCell ref="B48:G48"/>
    <mergeCell ref="B1:B4"/>
    <mergeCell ref="D3:G5"/>
    <mergeCell ref="B31:G32"/>
    <mergeCell ref="D1:G2"/>
  </mergeCells>
  <conditionalFormatting sqref="B36 B19">
    <cfRule type="cellIs" dxfId="466" priority="2" operator="equal">
      <formula>$R$36</formula>
    </cfRule>
  </conditionalFormatting>
  <conditionalFormatting sqref="B26:G27">
    <cfRule type="cellIs" dxfId="465" priority="1" operator="equal">
      <formula>$R$36</formula>
    </cfRule>
  </conditionalFormatting>
  <pageMargins left="0.25" right="0.25" top="0.75" bottom="0.75" header="0.3" footer="0.3"/>
  <pageSetup paperSize="9" scale="92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2530" r:id="rId4">
          <objectPr defaultSize="0" autoPict="0" r:id="rId5">
            <anchor moveWithCells="1">
              <from>
                <xdr:col>1</xdr:col>
                <xdr:colOff>47625</xdr:colOff>
                <xdr:row>5</xdr:row>
                <xdr:rowOff>190500</xdr:rowOff>
              </from>
              <to>
                <xdr:col>7</xdr:col>
                <xdr:colOff>1552575</xdr:colOff>
                <xdr:row>16</xdr:row>
                <xdr:rowOff>38100</xdr:rowOff>
              </to>
            </anchor>
          </objectPr>
        </oleObject>
      </mc:Choice>
      <mc:Fallback>
        <oleObject progId="Word.Document.12" shapeId="22530" r:id="rId4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  <pageSetUpPr fitToPage="1"/>
  </sheetPr>
  <dimension ref="A1:R93"/>
  <sheetViews>
    <sheetView zoomScale="70" zoomScaleNormal="70" workbookViewId="0">
      <selection activeCell="E23" sqref="E23"/>
    </sheetView>
  </sheetViews>
  <sheetFormatPr baseColWidth="10" defaultColWidth="11.42578125" defaultRowHeight="15" x14ac:dyDescent="0.25"/>
  <cols>
    <col min="1" max="1" width="19" style="177" customWidth="1"/>
    <col min="2" max="2" width="30.85546875" style="446" customWidth="1"/>
    <col min="3" max="3" width="13.5703125" style="446" customWidth="1"/>
    <col min="4" max="4" width="21" style="446" customWidth="1"/>
    <col min="5" max="5" width="36" style="446" bestFit="1" customWidth="1"/>
    <col min="6" max="6" width="14.42578125" style="460" bestFit="1" customWidth="1"/>
    <col min="7" max="7" width="11.85546875" style="446" customWidth="1"/>
    <col min="8" max="8" width="16.7109375" style="446" customWidth="1"/>
    <col min="9" max="9" width="20.85546875" style="446" customWidth="1"/>
    <col min="10" max="10" width="14.7109375" style="485" customWidth="1"/>
    <col min="11" max="11" width="10.5703125" style="466" customWidth="1"/>
    <col min="12" max="12" width="16.140625" style="446" customWidth="1"/>
    <col min="13" max="13" width="11.42578125" style="446"/>
    <col min="14" max="14" width="28.140625" style="446" customWidth="1"/>
    <col min="15" max="15" width="11.42578125" style="446"/>
    <col min="16" max="16" width="76.42578125" style="446" bestFit="1" customWidth="1"/>
    <col min="17" max="17" width="16.7109375" style="446" customWidth="1"/>
    <col min="18" max="16384" width="11.42578125" style="446"/>
  </cols>
  <sheetData>
    <row r="1" spans="1:17" ht="50.25" customHeight="1" x14ac:dyDescent="0.25">
      <c r="A1" s="772" t="s">
        <v>1340</v>
      </c>
      <c r="B1" s="772"/>
      <c r="C1" s="772"/>
      <c r="D1" s="773"/>
      <c r="E1" s="773"/>
      <c r="F1" s="773"/>
      <c r="G1" s="773"/>
      <c r="H1" s="773"/>
      <c r="I1" s="773"/>
      <c r="J1" s="773"/>
      <c r="K1" s="773"/>
      <c r="L1" s="773"/>
      <c r="M1" s="773"/>
      <c r="N1" s="773"/>
      <c r="O1" s="773"/>
      <c r="P1" s="453"/>
      <c r="Q1" s="453"/>
    </row>
    <row r="2" spans="1:17" ht="24" customHeight="1" x14ac:dyDescent="0.25">
      <c r="A2" s="774">
        <v>43160</v>
      </c>
      <c r="B2" s="775"/>
      <c r="C2" s="775"/>
      <c r="D2" s="776"/>
      <c r="E2" s="776"/>
      <c r="F2" s="776"/>
      <c r="G2" s="776"/>
      <c r="H2" s="776"/>
      <c r="I2" s="776"/>
      <c r="J2" s="776"/>
      <c r="K2" s="776"/>
      <c r="L2" s="776"/>
      <c r="M2" s="776"/>
      <c r="N2" s="776"/>
      <c r="O2" s="776"/>
      <c r="P2" s="453"/>
      <c r="Q2" s="453"/>
    </row>
    <row r="3" spans="1:17" s="485" customFormat="1" ht="30" customHeight="1" x14ac:dyDescent="0.25">
      <c r="A3" s="209" t="s">
        <v>34</v>
      </c>
      <c r="B3" s="209" t="s">
        <v>2790</v>
      </c>
      <c r="C3" s="445" t="s">
        <v>1232</v>
      </c>
      <c r="D3" s="196" t="s">
        <v>2791</v>
      </c>
      <c r="E3" s="197" t="s">
        <v>2792</v>
      </c>
      <c r="F3" s="211" t="s">
        <v>2793</v>
      </c>
      <c r="G3" s="198" t="s">
        <v>23</v>
      </c>
      <c r="H3" s="198" t="s">
        <v>2817</v>
      </c>
      <c r="I3" s="199" t="s">
        <v>2818</v>
      </c>
      <c r="J3" s="199" t="s">
        <v>2819</v>
      </c>
      <c r="K3" s="465" t="s">
        <v>1344</v>
      </c>
      <c r="L3" s="198" t="s">
        <v>37</v>
      </c>
      <c r="M3" s="198" t="s">
        <v>1237</v>
      </c>
      <c r="N3" s="198" t="s">
        <v>2794</v>
      </c>
      <c r="O3" s="198" t="s">
        <v>1239</v>
      </c>
      <c r="P3" s="198" t="s">
        <v>1240</v>
      </c>
      <c r="Q3" s="447" t="s">
        <v>1241</v>
      </c>
    </row>
    <row r="4" spans="1:17" s="483" customFormat="1" ht="24.95" customHeight="1" x14ac:dyDescent="0.25">
      <c r="A4" s="470">
        <v>43132</v>
      </c>
      <c r="B4" s="471" t="s">
        <v>2832</v>
      </c>
      <c r="C4" s="472" t="s">
        <v>40</v>
      </c>
      <c r="D4" s="473" t="s">
        <v>701</v>
      </c>
      <c r="E4" s="473" t="s">
        <v>2833</v>
      </c>
      <c r="F4" s="474">
        <v>43132</v>
      </c>
      <c r="G4" s="475">
        <v>389.81</v>
      </c>
      <c r="H4" s="476">
        <v>30</v>
      </c>
      <c r="I4" s="477">
        <v>15.2</v>
      </c>
      <c r="J4" s="478">
        <f>(I4*K4/100)/(H4*G4)*1000</f>
        <v>1.2867807393345478</v>
      </c>
      <c r="K4" s="479">
        <v>99</v>
      </c>
      <c r="L4" s="480" t="s">
        <v>212</v>
      </c>
      <c r="M4" s="481" t="s">
        <v>1237</v>
      </c>
      <c r="N4" s="482" t="s">
        <v>2835</v>
      </c>
      <c r="O4" s="480" t="s">
        <v>2648</v>
      </c>
      <c r="P4" s="480" t="s">
        <v>2834</v>
      </c>
      <c r="Q4" s="484" t="s">
        <v>2983</v>
      </c>
    </row>
    <row r="5" spans="1:17" ht="24.95" customHeight="1" x14ac:dyDescent="0.25">
      <c r="A5" s="448">
        <v>43160</v>
      </c>
      <c r="B5" s="449" t="s">
        <v>2947</v>
      </c>
      <c r="C5" s="472" t="s">
        <v>170</v>
      </c>
      <c r="D5" s="293" t="s">
        <v>701</v>
      </c>
      <c r="E5" s="124" t="s">
        <v>1777</v>
      </c>
      <c r="F5" s="383" t="s">
        <v>2948</v>
      </c>
      <c r="G5" s="126">
        <v>298.85000000000002</v>
      </c>
      <c r="H5" s="374">
        <v>5</v>
      </c>
      <c r="I5" s="375">
        <v>14</v>
      </c>
      <c r="J5" s="464">
        <f t="shared" ref="J5:J68" si="0">(I5*K5/100)/(H5*G5)*1000</f>
        <v>9.3692487870168983E-2</v>
      </c>
      <c r="K5" s="466">
        <v>1</v>
      </c>
      <c r="L5" s="443" t="s">
        <v>49</v>
      </c>
      <c r="M5" s="421" t="s">
        <v>2042</v>
      </c>
      <c r="N5" s="444" t="s">
        <v>2681</v>
      </c>
      <c r="O5" s="443" t="s">
        <v>2846</v>
      </c>
      <c r="P5" s="443"/>
      <c r="Q5" s="484" t="s">
        <v>2983</v>
      </c>
    </row>
    <row r="6" spans="1:17" ht="24.95" customHeight="1" x14ac:dyDescent="0.25">
      <c r="A6" s="448">
        <v>43160</v>
      </c>
      <c r="B6" s="209" t="s">
        <v>2949</v>
      </c>
      <c r="C6" s="455" t="s">
        <v>744</v>
      </c>
      <c r="D6" s="293" t="s">
        <v>701</v>
      </c>
      <c r="E6" s="124" t="s">
        <v>1777</v>
      </c>
      <c r="F6" s="383">
        <v>43039</v>
      </c>
      <c r="G6" s="126">
        <v>298.85000000000002</v>
      </c>
      <c r="H6" s="104">
        <v>5</v>
      </c>
      <c r="I6" s="106">
        <v>1</v>
      </c>
      <c r="J6" s="464">
        <f t="shared" si="0"/>
        <v>6.6923205621549275E-3</v>
      </c>
      <c r="K6" s="467">
        <v>1</v>
      </c>
      <c r="L6" s="443" t="s">
        <v>49</v>
      </c>
      <c r="M6" s="443" t="s">
        <v>2042</v>
      </c>
      <c r="N6" s="444" t="s">
        <v>2681</v>
      </c>
      <c r="O6" s="443" t="s">
        <v>2648</v>
      </c>
      <c r="P6" s="443" t="s">
        <v>2950</v>
      </c>
      <c r="Q6" s="484" t="s">
        <v>2983</v>
      </c>
    </row>
    <row r="7" spans="1:17" ht="24.95" customHeight="1" x14ac:dyDescent="0.25">
      <c r="A7" s="448">
        <v>43160</v>
      </c>
      <c r="B7" s="209" t="s">
        <v>2951</v>
      </c>
      <c r="C7" s="472" t="s">
        <v>170</v>
      </c>
      <c r="D7" s="293" t="s">
        <v>701</v>
      </c>
      <c r="E7" s="124" t="s">
        <v>2567</v>
      </c>
      <c r="F7" s="216">
        <v>43160</v>
      </c>
      <c r="G7" s="126">
        <v>523.17999999999995</v>
      </c>
      <c r="H7" s="104">
        <v>1.5</v>
      </c>
      <c r="I7" s="106">
        <v>25</v>
      </c>
      <c r="J7" s="464">
        <f t="shared" si="0"/>
        <v>30.263644125030265</v>
      </c>
      <c r="K7" s="467">
        <v>95</v>
      </c>
      <c r="L7" s="443" t="s">
        <v>49</v>
      </c>
      <c r="M7" s="421" t="s">
        <v>2042</v>
      </c>
      <c r="N7" s="444" t="s">
        <v>2681</v>
      </c>
      <c r="O7" s="443" t="s">
        <v>2846</v>
      </c>
      <c r="P7" s="443"/>
      <c r="Q7" s="484" t="s">
        <v>2983</v>
      </c>
    </row>
    <row r="8" spans="1:17" ht="24.95" customHeight="1" x14ac:dyDescent="0.25">
      <c r="A8" s="448">
        <v>43160</v>
      </c>
      <c r="B8" s="209" t="s">
        <v>2952</v>
      </c>
      <c r="C8" s="472" t="s">
        <v>170</v>
      </c>
      <c r="D8" s="293" t="s">
        <v>701</v>
      </c>
      <c r="E8" s="124" t="s">
        <v>2567</v>
      </c>
      <c r="F8" s="216">
        <v>43160</v>
      </c>
      <c r="G8" s="126">
        <v>523.17999999999995</v>
      </c>
      <c r="H8" s="104">
        <v>1.5</v>
      </c>
      <c r="I8" s="106">
        <v>25</v>
      </c>
      <c r="J8" s="464">
        <f t="shared" si="0"/>
        <v>30.263644125030265</v>
      </c>
      <c r="K8" s="467">
        <v>95</v>
      </c>
      <c r="L8" s="443" t="s">
        <v>49</v>
      </c>
      <c r="M8" s="421" t="s">
        <v>2042</v>
      </c>
      <c r="N8" s="444" t="s">
        <v>2681</v>
      </c>
      <c r="O8" s="443" t="s">
        <v>2846</v>
      </c>
      <c r="P8" s="443"/>
      <c r="Q8" s="484" t="s">
        <v>2983</v>
      </c>
    </row>
    <row r="9" spans="1:17" ht="24.95" customHeight="1" x14ac:dyDescent="0.25">
      <c r="A9" s="448">
        <v>43160</v>
      </c>
      <c r="B9" s="209" t="s">
        <v>2953</v>
      </c>
      <c r="C9" s="455" t="s">
        <v>170</v>
      </c>
      <c r="D9" s="293" t="s">
        <v>701</v>
      </c>
      <c r="E9" s="124" t="s">
        <v>1744</v>
      </c>
      <c r="F9" s="260">
        <v>43115</v>
      </c>
      <c r="G9" s="104">
        <v>228</v>
      </c>
      <c r="H9" s="126">
        <v>100</v>
      </c>
      <c r="I9" s="126">
        <v>2346.4</v>
      </c>
      <c r="J9" s="464">
        <f t="shared" si="0"/>
        <v>1.0291228070175438</v>
      </c>
      <c r="K9" s="466">
        <v>1</v>
      </c>
      <c r="L9" s="443" t="s">
        <v>49</v>
      </c>
      <c r="M9" s="421" t="s">
        <v>2042</v>
      </c>
      <c r="N9" s="444" t="s">
        <v>2681</v>
      </c>
      <c r="O9" s="443" t="s">
        <v>2846</v>
      </c>
      <c r="P9" s="443"/>
      <c r="Q9" s="484" t="s">
        <v>2983</v>
      </c>
    </row>
    <row r="10" spans="1:17" ht="24.95" customHeight="1" x14ac:dyDescent="0.25">
      <c r="A10" s="448">
        <v>43161</v>
      </c>
      <c r="B10" s="451" t="s">
        <v>2956</v>
      </c>
      <c r="C10" s="458" t="s">
        <v>40</v>
      </c>
      <c r="D10" s="293" t="s">
        <v>2957</v>
      </c>
      <c r="E10" s="293" t="s">
        <v>2958</v>
      </c>
      <c r="F10" s="216">
        <v>43161</v>
      </c>
      <c r="G10" s="126">
        <v>351.82</v>
      </c>
      <c r="H10" s="374">
        <v>9</v>
      </c>
      <c r="I10" s="375">
        <v>11.24</v>
      </c>
      <c r="J10" s="464">
        <f>(I10*K10/100)/(H10*G10)*1000</f>
        <v>3.5142970837360012</v>
      </c>
      <c r="K10" s="466">
        <v>99</v>
      </c>
      <c r="L10" s="443" t="s">
        <v>49</v>
      </c>
      <c r="M10" s="218" t="s">
        <v>1600</v>
      </c>
      <c r="N10" s="376" t="s">
        <v>2959</v>
      </c>
      <c r="O10" s="443" t="s">
        <v>2648</v>
      </c>
      <c r="P10" s="443"/>
      <c r="Q10" s="484" t="s">
        <v>2983</v>
      </c>
    </row>
    <row r="11" spans="1:17" ht="24.95" customHeight="1" x14ac:dyDescent="0.25">
      <c r="A11" s="448">
        <v>43164</v>
      </c>
      <c r="B11" s="209" t="s">
        <v>2743</v>
      </c>
      <c r="C11" s="455" t="s">
        <v>40</v>
      </c>
      <c r="D11" s="103" t="s">
        <v>701</v>
      </c>
      <c r="E11" s="124" t="s">
        <v>1582</v>
      </c>
      <c r="F11" s="260" t="s">
        <v>2973</v>
      </c>
      <c r="G11" s="126">
        <v>319.27999999999997</v>
      </c>
      <c r="H11" s="104">
        <v>1</v>
      </c>
      <c r="I11" s="106">
        <v>1</v>
      </c>
      <c r="J11" s="464">
        <f t="shared" si="0"/>
        <v>3.1007266349285896</v>
      </c>
      <c r="K11" s="467">
        <v>99</v>
      </c>
      <c r="L11" s="443" t="s">
        <v>1724</v>
      </c>
      <c r="M11" s="262" t="s">
        <v>1600</v>
      </c>
      <c r="N11" s="376" t="s">
        <v>2959</v>
      </c>
      <c r="O11" s="443" t="s">
        <v>2846</v>
      </c>
      <c r="P11" s="443"/>
      <c r="Q11" s="484" t="s">
        <v>2983</v>
      </c>
    </row>
    <row r="12" spans="1:17" ht="24.95" customHeight="1" x14ac:dyDescent="0.25">
      <c r="A12" s="448">
        <v>43164</v>
      </c>
      <c r="B12" s="209" t="s">
        <v>2682</v>
      </c>
      <c r="C12" s="455" t="s">
        <v>170</v>
      </c>
      <c r="D12" s="103" t="s">
        <v>2630</v>
      </c>
      <c r="E12" s="124" t="s">
        <v>2636</v>
      </c>
      <c r="F12" s="260">
        <v>43111</v>
      </c>
      <c r="G12" s="104">
        <v>386.88</v>
      </c>
      <c r="H12" s="104">
        <v>10</v>
      </c>
      <c r="I12" s="106">
        <v>11.98</v>
      </c>
      <c r="J12" s="464">
        <f>(I12*K12/100)/(H12*G12)*1000</f>
        <v>3.0656017369727047</v>
      </c>
      <c r="K12" s="467">
        <v>99</v>
      </c>
      <c r="L12" s="288" t="s">
        <v>49</v>
      </c>
      <c r="M12" s="262" t="s">
        <v>1756</v>
      </c>
      <c r="N12" s="444" t="s">
        <v>2974</v>
      </c>
      <c r="O12" s="443" t="s">
        <v>2648</v>
      </c>
      <c r="P12" s="443"/>
      <c r="Q12" s="484" t="s">
        <v>2983</v>
      </c>
    </row>
    <row r="13" spans="1:17" ht="24.95" customHeight="1" x14ac:dyDescent="0.25">
      <c r="A13" s="448">
        <v>43165</v>
      </c>
      <c r="B13" s="209" t="s">
        <v>2976</v>
      </c>
      <c r="C13" s="455" t="s">
        <v>40</v>
      </c>
      <c r="D13" s="103" t="s">
        <v>2957</v>
      </c>
      <c r="E13" s="103" t="s">
        <v>2975</v>
      </c>
      <c r="F13" s="260">
        <v>43165</v>
      </c>
      <c r="G13" s="104">
        <v>528.59</v>
      </c>
      <c r="H13" s="104">
        <v>9</v>
      </c>
      <c r="I13" s="106">
        <v>13.6</v>
      </c>
      <c r="J13" s="464">
        <f>(I13*K13/100)/(H13*G13)*1000</f>
        <v>2.8587584159955939</v>
      </c>
      <c r="K13" s="467">
        <v>100</v>
      </c>
      <c r="L13" s="443" t="s">
        <v>49</v>
      </c>
      <c r="M13" s="443" t="s">
        <v>1430</v>
      </c>
      <c r="N13" s="444" t="s">
        <v>2959</v>
      </c>
      <c r="O13" s="443" t="s">
        <v>2648</v>
      </c>
      <c r="P13" s="443"/>
      <c r="Q13" s="484" t="s">
        <v>2983</v>
      </c>
    </row>
    <row r="14" spans="1:17" ht="24.95" customHeight="1" x14ac:dyDescent="0.25">
      <c r="A14" s="448">
        <v>43166</v>
      </c>
      <c r="B14" s="209" t="s">
        <v>2977</v>
      </c>
      <c r="C14" s="455" t="s">
        <v>170</v>
      </c>
      <c r="D14" s="103" t="s">
        <v>1041</v>
      </c>
      <c r="E14" s="124" t="s">
        <v>779</v>
      </c>
      <c r="F14" s="260">
        <v>43084</v>
      </c>
      <c r="G14" s="126">
        <v>197.13</v>
      </c>
      <c r="H14" s="104">
        <v>25</v>
      </c>
      <c r="I14" s="106">
        <v>44.9</v>
      </c>
      <c r="J14" s="464">
        <f t="shared" si="0"/>
        <v>9.0196317151118528</v>
      </c>
      <c r="K14" s="467">
        <v>99</v>
      </c>
      <c r="L14" s="443" t="s">
        <v>49</v>
      </c>
      <c r="M14" s="443" t="s">
        <v>2121</v>
      </c>
      <c r="N14" s="444" t="s">
        <v>2974</v>
      </c>
      <c r="O14" s="443" t="s">
        <v>2846</v>
      </c>
      <c r="P14" s="443"/>
      <c r="Q14" s="484" t="s">
        <v>2983</v>
      </c>
    </row>
    <row r="15" spans="1:17" ht="24.95" customHeight="1" x14ac:dyDescent="0.25">
      <c r="A15" s="448">
        <v>43167</v>
      </c>
      <c r="B15" s="209" t="s">
        <v>2979</v>
      </c>
      <c r="C15" s="455" t="s">
        <v>824</v>
      </c>
      <c r="D15" s="103" t="s">
        <v>2960</v>
      </c>
      <c r="E15" s="124" t="s">
        <v>2961</v>
      </c>
      <c r="F15" s="216">
        <v>43167</v>
      </c>
      <c r="G15" s="493">
        <v>357.79</v>
      </c>
      <c r="H15" s="104">
        <v>0.3</v>
      </c>
      <c r="I15" s="106">
        <v>2.64</v>
      </c>
      <c r="J15" s="464">
        <f>(I15*K15/100)/(H15*G15)*1000</f>
        <v>24.103524413762266</v>
      </c>
      <c r="K15" s="467">
        <v>98</v>
      </c>
      <c r="L15" s="443" t="s">
        <v>212</v>
      </c>
      <c r="M15" s="443" t="s">
        <v>2042</v>
      </c>
      <c r="N15" s="444" t="s">
        <v>2933</v>
      </c>
      <c r="O15" s="443" t="s">
        <v>2846</v>
      </c>
      <c r="P15" s="443"/>
      <c r="Q15" s="484" t="s">
        <v>2983</v>
      </c>
    </row>
    <row r="16" spans="1:17" ht="24.95" customHeight="1" x14ac:dyDescent="0.25">
      <c r="A16" s="448">
        <v>43167</v>
      </c>
      <c r="B16" s="209" t="s">
        <v>2980</v>
      </c>
      <c r="C16" s="455" t="s">
        <v>824</v>
      </c>
      <c r="D16" s="103" t="s">
        <v>2960</v>
      </c>
      <c r="E16" s="124" t="s">
        <v>2962</v>
      </c>
      <c r="F16" s="216">
        <v>43167</v>
      </c>
      <c r="G16" s="493">
        <v>488.48</v>
      </c>
      <c r="H16" s="104">
        <v>0.36</v>
      </c>
      <c r="I16" s="106">
        <v>3.3</v>
      </c>
      <c r="J16" s="464">
        <f t="shared" si="0"/>
        <v>18.390381045965718</v>
      </c>
      <c r="K16" s="467">
        <v>98</v>
      </c>
      <c r="L16" s="443" t="s">
        <v>212</v>
      </c>
      <c r="M16" s="443" t="s">
        <v>2042</v>
      </c>
      <c r="N16" s="444" t="s">
        <v>2933</v>
      </c>
      <c r="O16" s="443" t="s">
        <v>2846</v>
      </c>
      <c r="P16" s="443"/>
      <c r="Q16" s="484" t="s">
        <v>2983</v>
      </c>
    </row>
    <row r="17" spans="1:18" ht="24.95" customHeight="1" x14ac:dyDescent="0.25">
      <c r="A17" s="448">
        <v>43167</v>
      </c>
      <c r="B17" s="209" t="s">
        <v>2981</v>
      </c>
      <c r="C17" s="455" t="s">
        <v>824</v>
      </c>
      <c r="D17" s="103" t="s">
        <v>2960</v>
      </c>
      <c r="E17" s="124" t="s">
        <v>2963</v>
      </c>
      <c r="F17" s="216">
        <v>43167</v>
      </c>
      <c r="G17" s="493">
        <v>350.82</v>
      </c>
      <c r="H17" s="104">
        <v>0.25</v>
      </c>
      <c r="I17" s="106">
        <v>3.72</v>
      </c>
      <c r="J17" s="464">
        <f t="shared" si="0"/>
        <v>41.566615358303402</v>
      </c>
      <c r="K17" s="467">
        <v>98</v>
      </c>
      <c r="L17" s="443" t="s">
        <v>212</v>
      </c>
      <c r="M17" s="443" t="s">
        <v>2042</v>
      </c>
      <c r="N17" s="444" t="s">
        <v>2933</v>
      </c>
      <c r="O17" s="443" t="s">
        <v>2846</v>
      </c>
      <c r="P17" s="443"/>
      <c r="Q17" s="484" t="s">
        <v>2983</v>
      </c>
    </row>
    <row r="18" spans="1:18" ht="24.95" customHeight="1" x14ac:dyDescent="0.25">
      <c r="A18" s="448">
        <v>43167</v>
      </c>
      <c r="B18" s="209" t="s">
        <v>2982</v>
      </c>
      <c r="C18" s="455" t="s">
        <v>824</v>
      </c>
      <c r="D18" s="103" t="s">
        <v>2960</v>
      </c>
      <c r="E18" s="124" t="s">
        <v>2964</v>
      </c>
      <c r="F18" s="216">
        <v>43167</v>
      </c>
      <c r="G18" s="493">
        <v>236.27</v>
      </c>
      <c r="H18" s="104">
        <v>1.1000000000000001</v>
      </c>
      <c r="I18" s="106">
        <v>3.4</v>
      </c>
      <c r="J18" s="464">
        <f t="shared" si="0"/>
        <v>12.820463491306167</v>
      </c>
      <c r="K18" s="467">
        <v>98</v>
      </c>
      <c r="L18" s="443" t="s">
        <v>212</v>
      </c>
      <c r="M18" s="443" t="s">
        <v>2042</v>
      </c>
      <c r="N18" s="444" t="s">
        <v>2933</v>
      </c>
      <c r="O18" s="443" t="s">
        <v>2846</v>
      </c>
      <c r="P18" s="443"/>
      <c r="Q18" s="484" t="s">
        <v>2983</v>
      </c>
    </row>
    <row r="19" spans="1:18" ht="24.95" customHeight="1" x14ac:dyDescent="0.25">
      <c r="A19" s="448">
        <v>43167</v>
      </c>
      <c r="B19" s="209" t="s">
        <v>2984</v>
      </c>
      <c r="C19" s="455" t="s">
        <v>40</v>
      </c>
      <c r="D19" s="103" t="s">
        <v>701</v>
      </c>
      <c r="E19" s="103" t="s">
        <v>1840</v>
      </c>
      <c r="F19" s="216">
        <v>43164</v>
      </c>
      <c r="G19" s="126">
        <v>238.3</v>
      </c>
      <c r="H19" s="104"/>
      <c r="I19" s="106"/>
      <c r="J19" s="464" t="e">
        <f t="shared" si="0"/>
        <v>#DIV/0!</v>
      </c>
      <c r="K19" s="467"/>
      <c r="L19" s="443"/>
      <c r="M19" s="443" t="s">
        <v>1430</v>
      </c>
      <c r="N19" s="444" t="s">
        <v>1034</v>
      </c>
      <c r="O19" s="443" t="s">
        <v>2846</v>
      </c>
      <c r="P19" s="421"/>
      <c r="Q19" s="484" t="s">
        <v>2983</v>
      </c>
    </row>
    <row r="20" spans="1:18" ht="24.95" customHeight="1" x14ac:dyDescent="0.25">
      <c r="A20" s="448">
        <v>43167</v>
      </c>
      <c r="B20" s="209" t="s">
        <v>2985</v>
      </c>
      <c r="C20" s="455" t="s">
        <v>40</v>
      </c>
      <c r="D20" s="124" t="s">
        <v>701</v>
      </c>
      <c r="E20" s="124" t="s">
        <v>1840</v>
      </c>
      <c r="F20" s="216">
        <v>43167</v>
      </c>
      <c r="G20" s="126">
        <v>238.3</v>
      </c>
      <c r="H20" s="104"/>
      <c r="I20" s="431"/>
      <c r="J20" s="464" t="e">
        <f t="shared" si="0"/>
        <v>#DIV/0!</v>
      </c>
      <c r="K20" s="467"/>
      <c r="L20" s="443"/>
      <c r="M20" s="443" t="s">
        <v>1430</v>
      </c>
      <c r="N20" s="444" t="s">
        <v>1034</v>
      </c>
      <c r="O20" s="443" t="s">
        <v>2648</v>
      </c>
      <c r="P20" s="421"/>
      <c r="Q20" s="484" t="s">
        <v>2983</v>
      </c>
    </row>
    <row r="21" spans="1:18" ht="24.95" customHeight="1" x14ac:dyDescent="0.25">
      <c r="A21" s="448">
        <v>43171</v>
      </c>
      <c r="B21" s="451" t="s">
        <v>2943</v>
      </c>
      <c r="C21" s="455" t="s">
        <v>40</v>
      </c>
      <c r="D21" s="124" t="s">
        <v>1701</v>
      </c>
      <c r="E21" s="124" t="s">
        <v>2250</v>
      </c>
      <c r="F21" s="216">
        <v>43152</v>
      </c>
      <c r="G21" s="126">
        <v>526.75</v>
      </c>
      <c r="H21" s="374">
        <v>10</v>
      </c>
      <c r="I21" s="106">
        <v>1.1100000000000001</v>
      </c>
      <c r="J21" s="464">
        <f t="shared" si="0"/>
        <v>0.21072615092548649</v>
      </c>
      <c r="K21" s="467">
        <v>100</v>
      </c>
      <c r="L21" s="443" t="s">
        <v>212</v>
      </c>
      <c r="M21" s="443" t="s">
        <v>1600</v>
      </c>
      <c r="N21" s="444" t="s">
        <v>2925</v>
      </c>
      <c r="O21" s="443" t="s">
        <v>2648</v>
      </c>
      <c r="P21" s="421"/>
      <c r="Q21" s="484" t="s">
        <v>3010</v>
      </c>
    </row>
    <row r="22" spans="1:18" ht="24.95" customHeight="1" x14ac:dyDescent="0.25">
      <c r="A22" s="448">
        <v>43171</v>
      </c>
      <c r="B22" s="451" t="s">
        <v>2870</v>
      </c>
      <c r="C22" s="458" t="s">
        <v>40</v>
      </c>
      <c r="D22" s="293" t="s">
        <v>1701</v>
      </c>
      <c r="E22" s="103" t="s">
        <v>2838</v>
      </c>
      <c r="F22" s="260">
        <v>43137</v>
      </c>
      <c r="G22" s="126">
        <v>428.57</v>
      </c>
      <c r="H22" s="374">
        <v>10</v>
      </c>
      <c r="I22" s="106">
        <v>1.3</v>
      </c>
      <c r="J22" s="464">
        <f t="shared" si="0"/>
        <v>0.30333434444781482</v>
      </c>
      <c r="K22" s="467">
        <v>100</v>
      </c>
      <c r="L22" s="443" t="s">
        <v>212</v>
      </c>
      <c r="M22" s="443" t="s">
        <v>1600</v>
      </c>
      <c r="N22" s="444" t="s">
        <v>2925</v>
      </c>
      <c r="O22" s="443" t="s">
        <v>2648</v>
      </c>
      <c r="P22" s="443"/>
      <c r="Q22" s="484" t="s">
        <v>3010</v>
      </c>
    </row>
    <row r="23" spans="1:18" ht="24.95" customHeight="1" x14ac:dyDescent="0.25">
      <c r="A23" s="448">
        <v>43172</v>
      </c>
      <c r="B23" s="209" t="s">
        <v>2678</v>
      </c>
      <c r="C23" s="455" t="s">
        <v>744</v>
      </c>
      <c r="D23" s="293" t="s">
        <v>701</v>
      </c>
      <c r="E23" s="103" t="s">
        <v>2558</v>
      </c>
      <c r="F23" s="216">
        <v>43070</v>
      </c>
      <c r="G23" s="126">
        <v>89.09</v>
      </c>
      <c r="H23" s="104"/>
      <c r="I23" s="106">
        <v>3105</v>
      </c>
      <c r="J23" s="464" t="e">
        <f t="shared" si="0"/>
        <v>#DIV/0!</v>
      </c>
      <c r="K23" s="467">
        <v>99</v>
      </c>
      <c r="L23" s="443" t="s">
        <v>49</v>
      </c>
      <c r="M23" s="443" t="s">
        <v>2042</v>
      </c>
      <c r="N23" s="444" t="s">
        <v>2933</v>
      </c>
      <c r="O23" s="443" t="s">
        <v>2648</v>
      </c>
      <c r="P23" s="443"/>
      <c r="Q23" s="484" t="s">
        <v>3010</v>
      </c>
    </row>
    <row r="24" spans="1:18" ht="24.95" customHeight="1" x14ac:dyDescent="0.25">
      <c r="A24" s="448">
        <v>43173</v>
      </c>
      <c r="B24" s="209" t="s">
        <v>2985</v>
      </c>
      <c r="C24" s="455" t="s">
        <v>824</v>
      </c>
      <c r="D24" s="103" t="s">
        <v>701</v>
      </c>
      <c r="E24" s="103" t="s">
        <v>1840</v>
      </c>
      <c r="F24" s="216">
        <v>43167</v>
      </c>
      <c r="G24" s="126">
        <v>238.3</v>
      </c>
      <c r="H24" s="104"/>
      <c r="I24" s="106"/>
      <c r="J24" s="464" t="e">
        <f>(I24*K24/100)/(H24*G24)*1000</f>
        <v>#DIV/0!</v>
      </c>
      <c r="K24" s="467">
        <v>100</v>
      </c>
      <c r="L24" s="443" t="s">
        <v>1434</v>
      </c>
      <c r="M24" s="443" t="s">
        <v>1613</v>
      </c>
      <c r="N24" s="444" t="s">
        <v>2933</v>
      </c>
      <c r="O24" s="443" t="s">
        <v>2846</v>
      </c>
      <c r="P24" s="288"/>
      <c r="Q24" s="484" t="s">
        <v>3010</v>
      </c>
      <c r="R24" s="456"/>
    </row>
    <row r="25" spans="1:18" ht="24.95" customHeight="1" x14ac:dyDescent="0.25">
      <c r="A25" s="448">
        <v>43173</v>
      </c>
      <c r="B25" s="209" t="s">
        <v>3000</v>
      </c>
      <c r="C25" s="455" t="s">
        <v>824</v>
      </c>
      <c r="D25" s="103" t="s">
        <v>701</v>
      </c>
      <c r="E25" s="103" t="s">
        <v>1840</v>
      </c>
      <c r="F25" s="216">
        <v>43173</v>
      </c>
      <c r="G25" s="126">
        <v>238.3</v>
      </c>
      <c r="H25" s="104"/>
      <c r="I25" s="106"/>
      <c r="J25" s="464" t="e">
        <f t="shared" si="0"/>
        <v>#DIV/0!</v>
      </c>
      <c r="K25" s="467"/>
      <c r="L25" s="443"/>
      <c r="M25" s="443" t="s">
        <v>1613</v>
      </c>
      <c r="N25" s="444" t="s">
        <v>2933</v>
      </c>
      <c r="O25" s="443" t="s">
        <v>2648</v>
      </c>
      <c r="P25" s="443"/>
      <c r="Q25" s="484" t="s">
        <v>3010</v>
      </c>
    </row>
    <row r="26" spans="1:18" ht="24.95" customHeight="1" x14ac:dyDescent="0.25">
      <c r="A26" s="448">
        <v>43178</v>
      </c>
      <c r="B26" s="209" t="s">
        <v>2999</v>
      </c>
      <c r="C26" s="455" t="s">
        <v>1610</v>
      </c>
      <c r="D26" s="103" t="s">
        <v>701</v>
      </c>
      <c r="E26" s="103" t="s">
        <v>1582</v>
      </c>
      <c r="F26" s="216">
        <v>43178</v>
      </c>
      <c r="G26" s="104">
        <v>319.27999999999997</v>
      </c>
      <c r="H26" s="104">
        <v>1</v>
      </c>
      <c r="I26" s="106">
        <v>2</v>
      </c>
      <c r="J26" s="464">
        <f>(I26*K26/100)/(H26*G26)*1000</f>
        <v>6.2014532698571792</v>
      </c>
      <c r="K26" s="467">
        <v>99</v>
      </c>
      <c r="L26" s="443" t="s">
        <v>1724</v>
      </c>
      <c r="M26" s="443" t="s">
        <v>1613</v>
      </c>
      <c r="N26" s="444" t="s">
        <v>2681</v>
      </c>
      <c r="O26" s="288" t="s">
        <v>2846</v>
      </c>
      <c r="P26" s="288" t="s">
        <v>3001</v>
      </c>
      <c r="Q26" s="484" t="s">
        <v>3010</v>
      </c>
    </row>
    <row r="27" spans="1:18" ht="24.95" customHeight="1" x14ac:dyDescent="0.25">
      <c r="A27" s="448">
        <v>43179</v>
      </c>
      <c r="B27" s="209" t="s">
        <v>3003</v>
      </c>
      <c r="C27" s="455" t="s">
        <v>824</v>
      </c>
      <c r="D27" s="103" t="s">
        <v>701</v>
      </c>
      <c r="E27" s="124" t="s">
        <v>828</v>
      </c>
      <c r="F27" s="216">
        <v>43179</v>
      </c>
      <c r="G27" s="104"/>
      <c r="H27" s="104"/>
      <c r="I27" s="106"/>
      <c r="J27" s="464" t="e">
        <f t="shared" si="0"/>
        <v>#DIV/0!</v>
      </c>
      <c r="K27" s="467"/>
      <c r="L27" s="443"/>
      <c r="M27" s="443" t="s">
        <v>2042</v>
      </c>
      <c r="N27" s="444" t="s">
        <v>2933</v>
      </c>
      <c r="O27" s="443" t="s">
        <v>2648</v>
      </c>
      <c r="P27" s="443" t="s">
        <v>3002</v>
      </c>
      <c r="Q27" s="484" t="s">
        <v>3010</v>
      </c>
    </row>
    <row r="28" spans="1:18" ht="24.95" customHeight="1" x14ac:dyDescent="0.25">
      <c r="A28" s="448">
        <v>43179</v>
      </c>
      <c r="B28" s="209" t="s">
        <v>3004</v>
      </c>
      <c r="C28" s="455" t="s">
        <v>824</v>
      </c>
      <c r="D28" s="103" t="s">
        <v>701</v>
      </c>
      <c r="E28" s="124" t="s">
        <v>828</v>
      </c>
      <c r="F28" s="216">
        <v>42859</v>
      </c>
      <c r="G28" s="104"/>
      <c r="H28" s="104"/>
      <c r="I28" s="106"/>
      <c r="J28" s="464" t="e">
        <f t="shared" ref="J28" si="1">(I28*K28/100)/(H28*G28)*1000</f>
        <v>#DIV/0!</v>
      </c>
      <c r="K28" s="467"/>
      <c r="L28" s="443"/>
      <c r="M28" s="443" t="s">
        <v>2042</v>
      </c>
      <c r="N28" s="444" t="s">
        <v>2933</v>
      </c>
      <c r="O28" s="443" t="s">
        <v>2846</v>
      </c>
      <c r="P28" s="443" t="s">
        <v>3005</v>
      </c>
      <c r="Q28" s="484" t="s">
        <v>3010</v>
      </c>
    </row>
    <row r="29" spans="1:18" ht="24.95" customHeight="1" x14ac:dyDescent="0.25">
      <c r="A29" s="448">
        <v>43179</v>
      </c>
      <c r="B29" s="209" t="s">
        <v>3006</v>
      </c>
      <c r="C29" s="455" t="s">
        <v>40</v>
      </c>
      <c r="D29" s="103" t="s">
        <v>1701</v>
      </c>
      <c r="E29" s="124" t="s">
        <v>2997</v>
      </c>
      <c r="F29" s="216">
        <v>43179</v>
      </c>
      <c r="G29" s="104">
        <v>428.57</v>
      </c>
      <c r="H29" s="104">
        <v>10</v>
      </c>
      <c r="I29" s="106">
        <v>6</v>
      </c>
      <c r="J29" s="464">
        <f t="shared" si="0"/>
        <v>1.4000046666822223</v>
      </c>
      <c r="K29" s="467">
        <v>100</v>
      </c>
      <c r="L29" s="443" t="s">
        <v>212</v>
      </c>
      <c r="M29" s="443" t="s">
        <v>1600</v>
      </c>
      <c r="N29" s="444" t="s">
        <v>3007</v>
      </c>
      <c r="O29" s="443" t="s">
        <v>2648</v>
      </c>
      <c r="P29" s="443"/>
      <c r="Q29" s="484" t="s">
        <v>3010</v>
      </c>
    </row>
    <row r="30" spans="1:18" ht="24.95" customHeight="1" x14ac:dyDescent="0.25">
      <c r="A30" s="448">
        <v>43179</v>
      </c>
      <c r="B30" s="209" t="s">
        <v>3008</v>
      </c>
      <c r="C30" s="455" t="s">
        <v>170</v>
      </c>
      <c r="D30" s="103" t="s">
        <v>2960</v>
      </c>
      <c r="E30" s="124" t="s">
        <v>2964</v>
      </c>
      <c r="F30" s="216">
        <v>43179</v>
      </c>
      <c r="G30" s="493">
        <v>236.27</v>
      </c>
      <c r="H30" s="104">
        <v>11</v>
      </c>
      <c r="I30" s="106">
        <v>7.16</v>
      </c>
      <c r="J30" s="464">
        <f t="shared" si="0"/>
        <v>2.6998387822868288</v>
      </c>
      <c r="K30" s="468">
        <v>98</v>
      </c>
      <c r="L30" s="443" t="s">
        <v>212</v>
      </c>
      <c r="M30" s="443" t="s">
        <v>1756</v>
      </c>
      <c r="N30" s="444" t="s">
        <v>2933</v>
      </c>
      <c r="O30" s="443" t="s">
        <v>2846</v>
      </c>
      <c r="P30" s="443"/>
      <c r="Q30" s="484" t="s">
        <v>3010</v>
      </c>
    </row>
    <row r="31" spans="1:18" ht="31.5" customHeight="1" x14ac:dyDescent="0.25">
      <c r="A31" s="448">
        <v>43182</v>
      </c>
      <c r="B31" s="209" t="s">
        <v>3022</v>
      </c>
      <c r="C31" s="455" t="s">
        <v>40</v>
      </c>
      <c r="D31" s="103" t="s">
        <v>3025</v>
      </c>
      <c r="E31" s="124" t="s">
        <v>3026</v>
      </c>
      <c r="F31" s="216">
        <v>43182</v>
      </c>
      <c r="G31" s="126">
        <v>4329.8599999999997</v>
      </c>
      <c r="H31" s="104">
        <v>0.23100000000000001</v>
      </c>
      <c r="I31" s="106">
        <v>0.1</v>
      </c>
      <c r="J31" s="464">
        <f t="shared" si="0"/>
        <v>9.9980237906175468E-2</v>
      </c>
      <c r="K31" s="468">
        <v>100</v>
      </c>
      <c r="L31" s="443" t="s">
        <v>212</v>
      </c>
      <c r="M31" s="443" t="s">
        <v>1463</v>
      </c>
      <c r="N31" s="444" t="s">
        <v>3029</v>
      </c>
      <c r="O31" s="443" t="s">
        <v>2846</v>
      </c>
      <c r="P31" s="443" t="s">
        <v>3108</v>
      </c>
      <c r="Q31" s="484" t="s">
        <v>3107</v>
      </c>
    </row>
    <row r="32" spans="1:18" ht="30" customHeight="1" x14ac:dyDescent="0.25">
      <c r="A32" s="448">
        <v>43182</v>
      </c>
      <c r="B32" s="209" t="s">
        <v>3023</v>
      </c>
      <c r="C32" s="455" t="s">
        <v>40</v>
      </c>
      <c r="D32" s="124" t="s">
        <v>3025</v>
      </c>
      <c r="E32" s="124" t="s">
        <v>3027</v>
      </c>
      <c r="F32" s="216">
        <v>43182</v>
      </c>
      <c r="G32" s="126">
        <v>2033.36</v>
      </c>
      <c r="H32" s="104">
        <v>0.48899999999999999</v>
      </c>
      <c r="I32" s="106">
        <v>0.8</v>
      </c>
      <c r="J32" s="464">
        <f t="shared" si="0"/>
        <v>0.80457558919271555</v>
      </c>
      <c r="K32" s="467">
        <v>100</v>
      </c>
      <c r="L32" s="443" t="s">
        <v>49</v>
      </c>
      <c r="M32" s="443" t="s">
        <v>1463</v>
      </c>
      <c r="N32" s="444" t="s">
        <v>3029</v>
      </c>
      <c r="O32" s="443" t="s">
        <v>2846</v>
      </c>
      <c r="P32" s="443" t="s">
        <v>3108</v>
      </c>
      <c r="Q32" s="484" t="s">
        <v>3107</v>
      </c>
    </row>
    <row r="33" spans="1:17" ht="30" customHeight="1" x14ac:dyDescent="0.25">
      <c r="A33" s="448">
        <v>43182</v>
      </c>
      <c r="B33" s="209" t="s">
        <v>3024</v>
      </c>
      <c r="C33" s="455" t="s">
        <v>40</v>
      </c>
      <c r="D33" s="103" t="s">
        <v>3025</v>
      </c>
      <c r="E33" s="124" t="s">
        <v>3028</v>
      </c>
      <c r="F33" s="216">
        <v>43182</v>
      </c>
      <c r="G33" s="126">
        <v>2314.48</v>
      </c>
      <c r="H33" s="104">
        <v>0.432</v>
      </c>
      <c r="I33" s="106">
        <v>0.82</v>
      </c>
      <c r="J33" s="464">
        <f>(I33*K33/100)/(H33*G33)*1000</f>
        <v>0.82011862195747987</v>
      </c>
      <c r="K33" s="467">
        <v>100</v>
      </c>
      <c r="L33" s="443" t="s">
        <v>49</v>
      </c>
      <c r="M33" s="443" t="s">
        <v>1463</v>
      </c>
      <c r="N33" s="444" t="s">
        <v>3029</v>
      </c>
      <c r="O33" s="443" t="s">
        <v>2846</v>
      </c>
      <c r="P33" s="443" t="s">
        <v>3108</v>
      </c>
      <c r="Q33" s="484" t="s">
        <v>3107</v>
      </c>
    </row>
    <row r="34" spans="1:17" ht="24.95" customHeight="1" x14ac:dyDescent="0.25">
      <c r="A34" s="448">
        <v>43185</v>
      </c>
      <c r="B34" s="209" t="s">
        <v>3031</v>
      </c>
      <c r="C34" s="455" t="s">
        <v>1610</v>
      </c>
      <c r="D34" s="103" t="s">
        <v>289</v>
      </c>
      <c r="E34" s="103" t="s">
        <v>1545</v>
      </c>
      <c r="F34" s="216">
        <v>42556</v>
      </c>
      <c r="G34" s="126">
        <v>75.069999999999993</v>
      </c>
      <c r="H34" s="104">
        <v>1</v>
      </c>
      <c r="I34" s="106">
        <v>1.68</v>
      </c>
      <c r="J34" s="464">
        <f>(I34*K34/100)/(H34*G34)*1000</f>
        <v>22.356733715199152</v>
      </c>
      <c r="K34" s="467">
        <v>99.9</v>
      </c>
      <c r="L34" s="443" t="s">
        <v>1434</v>
      </c>
      <c r="M34" s="443" t="s">
        <v>1613</v>
      </c>
      <c r="N34" s="444" t="s">
        <v>3030</v>
      </c>
      <c r="O34" s="443" t="s">
        <v>2648</v>
      </c>
      <c r="P34" s="443"/>
      <c r="Q34" s="484" t="s">
        <v>3107</v>
      </c>
    </row>
    <row r="35" spans="1:17" ht="24.95" customHeight="1" x14ac:dyDescent="0.25">
      <c r="A35" s="448">
        <v>43186</v>
      </c>
      <c r="B35" s="209" t="s">
        <v>3032</v>
      </c>
      <c r="C35" s="455" t="s">
        <v>40</v>
      </c>
      <c r="D35" s="103" t="s">
        <v>701</v>
      </c>
      <c r="E35" s="124" t="s">
        <v>3033</v>
      </c>
      <c r="F35" s="260">
        <v>43075</v>
      </c>
      <c r="G35" s="126">
        <v>182.7</v>
      </c>
      <c r="H35" s="104">
        <v>1</v>
      </c>
      <c r="I35" s="106">
        <v>1.02</v>
      </c>
      <c r="J35" s="464">
        <f>(I35*K35/100)/(H35*G35)*1000</f>
        <v>5.5270935960591139</v>
      </c>
      <c r="K35" s="467">
        <v>99</v>
      </c>
      <c r="L35" s="443" t="s">
        <v>49</v>
      </c>
      <c r="M35" s="443" t="s">
        <v>1431</v>
      </c>
      <c r="N35" s="444" t="s">
        <v>3034</v>
      </c>
      <c r="O35" s="443" t="s">
        <v>2648</v>
      </c>
      <c r="P35" s="443"/>
      <c r="Q35" s="484" t="s">
        <v>3107</v>
      </c>
    </row>
    <row r="36" spans="1:17" ht="24.95" customHeight="1" x14ac:dyDescent="0.25">
      <c r="A36" s="448">
        <v>43187</v>
      </c>
      <c r="B36" s="209" t="s">
        <v>3035</v>
      </c>
      <c r="C36" s="455" t="s">
        <v>1610</v>
      </c>
      <c r="D36" s="103" t="s">
        <v>701</v>
      </c>
      <c r="E36" s="103" t="s">
        <v>3036</v>
      </c>
      <c r="F36" s="260">
        <v>43187</v>
      </c>
      <c r="G36" s="104"/>
      <c r="H36" s="104"/>
      <c r="I36" s="106"/>
      <c r="J36" s="464" t="e">
        <f t="shared" si="0"/>
        <v>#DIV/0!</v>
      </c>
      <c r="K36" s="467"/>
      <c r="L36" s="443" t="s">
        <v>1434</v>
      </c>
      <c r="M36" s="443" t="s">
        <v>1613</v>
      </c>
      <c r="N36" s="444" t="s">
        <v>2933</v>
      </c>
      <c r="O36" s="443" t="s">
        <v>2648</v>
      </c>
      <c r="P36" s="443"/>
      <c r="Q36" s="484" t="s">
        <v>3107</v>
      </c>
    </row>
    <row r="37" spans="1:17" ht="24.95" customHeight="1" x14ac:dyDescent="0.25">
      <c r="A37" s="448">
        <v>43188</v>
      </c>
      <c r="B37" s="209" t="s">
        <v>3051</v>
      </c>
      <c r="C37" s="455" t="s">
        <v>40</v>
      </c>
      <c r="D37" s="124" t="s">
        <v>3037</v>
      </c>
      <c r="E37" s="124" t="s">
        <v>3053</v>
      </c>
      <c r="F37" s="216">
        <v>43188</v>
      </c>
      <c r="G37" s="126">
        <v>3561.12</v>
      </c>
      <c r="H37" s="374">
        <v>0.2</v>
      </c>
      <c r="I37" s="375">
        <v>0.5</v>
      </c>
      <c r="J37" s="464">
        <f t="shared" si="0"/>
        <v>0.67745540728759479</v>
      </c>
      <c r="K37" s="468">
        <v>96.5</v>
      </c>
      <c r="L37" s="443" t="s">
        <v>49</v>
      </c>
      <c r="M37" s="443" t="s">
        <v>1431</v>
      </c>
      <c r="N37" s="444" t="s">
        <v>3054</v>
      </c>
      <c r="O37" s="443" t="s">
        <v>2846</v>
      </c>
      <c r="P37" s="443"/>
      <c r="Q37" s="484" t="s">
        <v>3107</v>
      </c>
    </row>
    <row r="38" spans="1:17" ht="24.95" customHeight="1" x14ac:dyDescent="0.25">
      <c r="A38" s="448">
        <v>43188</v>
      </c>
      <c r="B38" s="209" t="s">
        <v>3052</v>
      </c>
      <c r="C38" s="455" t="s">
        <v>40</v>
      </c>
      <c r="D38" s="124" t="s">
        <v>3037</v>
      </c>
      <c r="E38" s="124" t="s">
        <v>3053</v>
      </c>
      <c r="F38" s="216">
        <v>43188</v>
      </c>
      <c r="G38" s="126">
        <v>3561.2</v>
      </c>
      <c r="H38" s="104">
        <v>0.2</v>
      </c>
      <c r="I38" s="106">
        <v>0.5</v>
      </c>
      <c r="J38" s="464">
        <f t="shared" si="0"/>
        <v>0.6774401887004381</v>
      </c>
      <c r="K38" s="467">
        <v>96.5</v>
      </c>
      <c r="L38" s="443" t="s">
        <v>49</v>
      </c>
      <c r="M38" s="443" t="s">
        <v>1431</v>
      </c>
      <c r="N38" s="444" t="s">
        <v>3054</v>
      </c>
      <c r="O38" s="443" t="s">
        <v>2846</v>
      </c>
      <c r="P38" s="443"/>
      <c r="Q38" s="484" t="s">
        <v>3107</v>
      </c>
    </row>
    <row r="39" spans="1:17" ht="24.95" customHeight="1" x14ac:dyDescent="0.25">
      <c r="A39" s="448">
        <v>43188</v>
      </c>
      <c r="B39" s="209" t="s">
        <v>3055</v>
      </c>
      <c r="C39" s="455" t="s">
        <v>40</v>
      </c>
      <c r="D39" s="124" t="s">
        <v>3037</v>
      </c>
      <c r="E39" s="124" t="s">
        <v>3057</v>
      </c>
      <c r="F39" s="216">
        <v>43188</v>
      </c>
      <c r="G39" s="104">
        <v>2899.36</v>
      </c>
      <c r="H39" s="104">
        <v>0.2</v>
      </c>
      <c r="I39" s="375">
        <v>0.5</v>
      </c>
      <c r="J39" s="464">
        <f t="shared" si="0"/>
        <v>0.82863114618398526</v>
      </c>
      <c r="K39" s="467">
        <v>96.1</v>
      </c>
      <c r="L39" s="443" t="s">
        <v>49</v>
      </c>
      <c r="M39" s="443" t="s">
        <v>1431</v>
      </c>
      <c r="N39" s="444" t="s">
        <v>3054</v>
      </c>
      <c r="O39" s="443" t="s">
        <v>2846</v>
      </c>
      <c r="P39" s="443"/>
      <c r="Q39" s="484" t="s">
        <v>3107</v>
      </c>
    </row>
    <row r="40" spans="1:17" ht="24.95" customHeight="1" x14ac:dyDescent="0.25">
      <c r="A40" s="448">
        <v>43188</v>
      </c>
      <c r="B40" s="209" t="s">
        <v>3056</v>
      </c>
      <c r="C40" s="455" t="s">
        <v>40</v>
      </c>
      <c r="D40" s="124" t="s">
        <v>3037</v>
      </c>
      <c r="E40" s="124" t="s">
        <v>3057</v>
      </c>
      <c r="F40" s="216">
        <v>43188</v>
      </c>
      <c r="G40" s="104">
        <v>2899.36</v>
      </c>
      <c r="H40" s="104">
        <v>0.2</v>
      </c>
      <c r="I40" s="106">
        <v>0.5</v>
      </c>
      <c r="J40" s="464">
        <f t="shared" si="0"/>
        <v>0.82863114618398526</v>
      </c>
      <c r="K40" s="467">
        <v>96.1</v>
      </c>
      <c r="L40" s="443" t="s">
        <v>49</v>
      </c>
      <c r="M40" s="443" t="s">
        <v>1431</v>
      </c>
      <c r="N40" s="444" t="s">
        <v>3054</v>
      </c>
      <c r="O40" s="443" t="s">
        <v>2846</v>
      </c>
      <c r="P40" s="443"/>
      <c r="Q40" s="484" t="s">
        <v>3107</v>
      </c>
    </row>
    <row r="41" spans="1:17" ht="24.95" customHeight="1" x14ac:dyDescent="0.25">
      <c r="A41" s="448">
        <v>43188</v>
      </c>
      <c r="B41" s="209" t="s">
        <v>3058</v>
      </c>
      <c r="C41" s="455" t="s">
        <v>40</v>
      </c>
      <c r="D41" s="103" t="s">
        <v>701</v>
      </c>
      <c r="E41" s="33" t="s">
        <v>2619</v>
      </c>
      <c r="F41" s="216">
        <v>43188</v>
      </c>
      <c r="G41" s="104">
        <v>213.66</v>
      </c>
      <c r="H41" s="104">
        <v>10</v>
      </c>
      <c r="I41" s="106">
        <v>2.93</v>
      </c>
      <c r="J41" s="464">
        <f t="shared" si="0"/>
        <v>1.3713376392399141</v>
      </c>
      <c r="K41" s="467">
        <v>100</v>
      </c>
      <c r="L41" s="443" t="s">
        <v>49</v>
      </c>
      <c r="M41" s="443" t="s">
        <v>1600</v>
      </c>
      <c r="N41" s="444" t="s">
        <v>3054</v>
      </c>
      <c r="O41" s="443" t="s">
        <v>2648</v>
      </c>
      <c r="P41" s="443"/>
      <c r="Q41" s="484" t="s">
        <v>3107</v>
      </c>
    </row>
    <row r="42" spans="1:17" ht="24.95" customHeight="1" x14ac:dyDescent="0.25">
      <c r="A42" s="448">
        <v>43189</v>
      </c>
      <c r="B42" s="209" t="s">
        <v>3058</v>
      </c>
      <c r="C42" s="455" t="s">
        <v>40</v>
      </c>
      <c r="D42" s="103" t="s">
        <v>701</v>
      </c>
      <c r="E42" s="33" t="s">
        <v>2619</v>
      </c>
      <c r="F42" s="216">
        <v>43188</v>
      </c>
      <c r="G42" s="104">
        <v>213.66</v>
      </c>
      <c r="H42" s="104">
        <v>10</v>
      </c>
      <c r="I42" s="106">
        <v>4.17</v>
      </c>
      <c r="J42" s="464">
        <f>(I42*K42/100)/(H42*G42)*1000</f>
        <v>1.9516989609660209</v>
      </c>
      <c r="K42" s="467">
        <v>100</v>
      </c>
      <c r="L42" s="443" t="s">
        <v>49</v>
      </c>
      <c r="M42" s="443" t="s">
        <v>1463</v>
      </c>
      <c r="N42" s="444" t="s">
        <v>3054</v>
      </c>
      <c r="O42" s="443" t="s">
        <v>2648</v>
      </c>
      <c r="P42" s="443"/>
      <c r="Q42" s="484" t="s">
        <v>3107</v>
      </c>
    </row>
    <row r="43" spans="1:17" ht="24.95" customHeight="1" x14ac:dyDescent="0.25">
      <c r="A43" s="448"/>
      <c r="B43" s="209"/>
      <c r="C43" s="455"/>
      <c r="D43" s="103"/>
      <c r="E43" s="124"/>
      <c r="F43" s="260"/>
      <c r="G43" s="126"/>
      <c r="H43" s="104"/>
      <c r="I43" s="106"/>
      <c r="J43" s="464" t="e">
        <f t="shared" si="0"/>
        <v>#DIV/0!</v>
      </c>
      <c r="K43" s="467"/>
      <c r="L43" s="443"/>
      <c r="M43" s="443"/>
      <c r="N43" s="444"/>
      <c r="O43" s="443"/>
      <c r="Q43" s="218"/>
    </row>
    <row r="44" spans="1:17" ht="24.95" customHeight="1" x14ac:dyDescent="0.25">
      <c r="A44" s="448"/>
      <c r="B44" s="450"/>
      <c r="C44" s="457"/>
      <c r="D44" s="293"/>
      <c r="E44" s="124"/>
      <c r="F44" s="260"/>
      <c r="G44" s="126"/>
      <c r="H44" s="374"/>
      <c r="I44" s="375"/>
      <c r="J44" s="464" t="e">
        <f t="shared" si="0"/>
        <v>#DIV/0!</v>
      </c>
      <c r="L44" s="443"/>
      <c r="M44" s="218"/>
      <c r="N44" s="444"/>
      <c r="O44" s="443"/>
      <c r="Q44" s="218"/>
    </row>
    <row r="45" spans="1:17" ht="24.95" customHeight="1" x14ac:dyDescent="0.25">
      <c r="A45" s="448"/>
      <c r="B45" s="451"/>
      <c r="C45" s="458"/>
      <c r="D45" s="778" t="s">
        <v>3109</v>
      </c>
      <c r="E45" s="779"/>
      <c r="F45" s="779"/>
      <c r="G45" s="779"/>
      <c r="H45" s="779"/>
      <c r="I45" s="779"/>
      <c r="J45" s="779"/>
      <c r="K45" s="779"/>
      <c r="L45" s="780"/>
      <c r="M45" s="218"/>
      <c r="N45" s="444"/>
      <c r="O45" s="443"/>
      <c r="Q45" s="218"/>
    </row>
    <row r="46" spans="1:17" ht="24.95" customHeight="1" x14ac:dyDescent="0.25">
      <c r="A46" s="448"/>
      <c r="B46" s="451"/>
      <c r="C46" s="458"/>
      <c r="D46" s="293"/>
      <c r="E46" s="124"/>
      <c r="F46" s="216"/>
      <c r="G46" s="126"/>
      <c r="H46" s="374"/>
      <c r="I46" s="375"/>
      <c r="J46" s="464" t="e">
        <f t="shared" si="0"/>
        <v>#DIV/0!</v>
      </c>
      <c r="L46" s="443"/>
      <c r="M46" s="218"/>
      <c r="N46" s="444"/>
      <c r="O46" s="443"/>
      <c r="Q46" s="218"/>
    </row>
    <row r="47" spans="1:17" ht="24.95" customHeight="1" x14ac:dyDescent="0.25">
      <c r="A47" s="448"/>
      <c r="B47" s="451"/>
      <c r="C47" s="458"/>
      <c r="D47" s="293"/>
      <c r="E47" s="293"/>
      <c r="F47" s="216"/>
      <c r="G47" s="126"/>
      <c r="H47" s="374"/>
      <c r="I47" s="375"/>
      <c r="J47" s="464" t="e">
        <f t="shared" si="0"/>
        <v>#DIV/0!</v>
      </c>
      <c r="L47" s="443"/>
      <c r="M47" s="218"/>
      <c r="N47" s="376"/>
      <c r="O47" s="443"/>
      <c r="Q47" s="218"/>
    </row>
    <row r="48" spans="1:17" ht="24.95" customHeight="1" x14ac:dyDescent="0.25">
      <c r="A48" s="448"/>
      <c r="B48" s="451"/>
      <c r="C48" s="458"/>
      <c r="D48" s="293"/>
      <c r="E48" s="293"/>
      <c r="F48" s="216"/>
      <c r="G48" s="126"/>
      <c r="H48" s="374"/>
      <c r="I48" s="375"/>
      <c r="J48" s="464" t="e">
        <f t="shared" si="0"/>
        <v>#DIV/0!</v>
      </c>
      <c r="L48" s="443"/>
      <c r="M48" s="218"/>
      <c r="N48" s="376"/>
      <c r="O48" s="443"/>
      <c r="Q48" s="218"/>
    </row>
    <row r="49" spans="1:17" ht="24.95" customHeight="1" x14ac:dyDescent="0.25">
      <c r="A49" s="448"/>
      <c r="B49" s="451"/>
      <c r="C49" s="458"/>
      <c r="D49" s="293"/>
      <c r="E49" s="293"/>
      <c r="F49" s="216"/>
      <c r="G49" s="126"/>
      <c r="H49" s="374"/>
      <c r="I49" s="375"/>
      <c r="J49" s="464" t="e">
        <f t="shared" si="0"/>
        <v>#DIV/0!</v>
      </c>
      <c r="L49" s="443"/>
      <c r="M49" s="218"/>
      <c r="N49" s="376"/>
      <c r="O49" s="443"/>
      <c r="Q49" s="218"/>
    </row>
    <row r="50" spans="1:17" ht="24.95" customHeight="1" x14ac:dyDescent="0.25">
      <c r="A50" s="448"/>
      <c r="B50" s="452"/>
      <c r="C50" s="459"/>
      <c r="D50" s="293"/>
      <c r="E50" s="293"/>
      <c r="F50" s="216"/>
      <c r="G50" s="126"/>
      <c r="H50" s="374"/>
      <c r="I50" s="375"/>
      <c r="J50" s="464" t="e">
        <f t="shared" si="0"/>
        <v>#DIV/0!</v>
      </c>
      <c r="L50" s="443"/>
      <c r="M50" s="218"/>
      <c r="N50" s="376"/>
      <c r="O50" s="443"/>
    </row>
    <row r="51" spans="1:17" ht="24.95" customHeight="1" x14ac:dyDescent="0.25">
      <c r="A51" s="448"/>
      <c r="B51" s="209"/>
      <c r="C51" s="455"/>
      <c r="D51" s="293"/>
      <c r="E51" s="293"/>
      <c r="F51" s="216"/>
      <c r="G51" s="126"/>
      <c r="H51" s="374"/>
      <c r="I51" s="375"/>
      <c r="J51" s="464" t="e">
        <f t="shared" si="0"/>
        <v>#DIV/0!</v>
      </c>
      <c r="L51" s="443"/>
      <c r="M51" s="218"/>
      <c r="N51" s="376"/>
      <c r="O51" s="443"/>
    </row>
    <row r="52" spans="1:17" ht="24.95" customHeight="1" x14ac:dyDescent="0.25">
      <c r="A52" s="448"/>
      <c r="B52" s="209"/>
      <c r="C52" s="455"/>
      <c r="D52" s="124"/>
      <c r="E52" s="124"/>
      <c r="F52" s="216"/>
      <c r="G52" s="126"/>
      <c r="H52" s="374"/>
      <c r="I52" s="375"/>
      <c r="J52" s="464" t="e">
        <f t="shared" si="0"/>
        <v>#DIV/0!</v>
      </c>
      <c r="K52" s="468"/>
      <c r="L52" s="443"/>
      <c r="M52" s="218"/>
      <c r="N52" s="376"/>
      <c r="O52" s="443"/>
    </row>
    <row r="53" spans="1:17" ht="24.95" customHeight="1" x14ac:dyDescent="0.25">
      <c r="A53" s="448"/>
      <c r="B53" s="209"/>
      <c r="C53" s="455"/>
      <c r="D53" s="124"/>
      <c r="E53" s="124"/>
      <c r="F53" s="216"/>
      <c r="G53" s="126"/>
      <c r="H53" s="374"/>
      <c r="I53" s="375"/>
      <c r="J53" s="464" t="e">
        <f t="shared" si="0"/>
        <v>#DIV/0!</v>
      </c>
      <c r="K53" s="468"/>
      <c r="L53" s="443"/>
      <c r="M53" s="218"/>
      <c r="N53" s="376"/>
      <c r="O53" s="443"/>
    </row>
    <row r="54" spans="1:17" ht="24.95" customHeight="1" x14ac:dyDescent="0.25">
      <c r="A54" s="448"/>
      <c r="B54" s="449"/>
      <c r="C54" s="454"/>
      <c r="D54" s="293"/>
      <c r="E54" s="293"/>
      <c r="F54" s="216"/>
      <c r="G54" s="126"/>
      <c r="H54" s="374"/>
      <c r="I54" s="375"/>
      <c r="J54" s="464" t="e">
        <f t="shared" si="0"/>
        <v>#DIV/0!</v>
      </c>
      <c r="L54" s="443"/>
      <c r="M54" s="218"/>
      <c r="N54" s="376"/>
      <c r="O54" s="443"/>
    </row>
    <row r="55" spans="1:17" ht="24.95" customHeight="1" x14ac:dyDescent="0.25">
      <c r="A55" s="448"/>
      <c r="B55" s="449"/>
      <c r="C55" s="454"/>
      <c r="D55" s="293"/>
      <c r="E55" s="293"/>
      <c r="F55" s="216"/>
      <c r="G55" s="126"/>
      <c r="H55" s="374"/>
      <c r="I55" s="375"/>
      <c r="J55" s="464" t="e">
        <f t="shared" si="0"/>
        <v>#DIV/0!</v>
      </c>
      <c r="L55" s="443"/>
      <c r="M55" s="218"/>
      <c r="N55" s="376"/>
      <c r="O55" s="443"/>
    </row>
    <row r="56" spans="1:17" ht="24.95" customHeight="1" x14ac:dyDescent="0.25">
      <c r="A56" s="448"/>
      <c r="B56" s="209"/>
      <c r="C56" s="455"/>
      <c r="D56" s="293"/>
      <c r="E56" s="293"/>
      <c r="F56" s="216"/>
      <c r="G56" s="126"/>
      <c r="H56" s="374"/>
      <c r="I56" s="375"/>
      <c r="J56" s="464" t="e">
        <f t="shared" si="0"/>
        <v>#DIV/0!</v>
      </c>
      <c r="L56" s="443"/>
      <c r="N56" s="376"/>
      <c r="O56" s="443"/>
    </row>
    <row r="57" spans="1:17" ht="24.95" customHeight="1" x14ac:dyDescent="0.25">
      <c r="A57" s="448"/>
      <c r="B57" s="209"/>
      <c r="C57" s="455"/>
      <c r="D57" s="293"/>
      <c r="E57" s="293"/>
      <c r="F57" s="216"/>
      <c r="G57" s="126"/>
      <c r="H57" s="374"/>
      <c r="I57" s="375"/>
      <c r="J57" s="464" t="e">
        <f t="shared" si="0"/>
        <v>#DIV/0!</v>
      </c>
      <c r="L57" s="443"/>
      <c r="N57" s="376"/>
      <c r="O57" s="443"/>
    </row>
    <row r="58" spans="1:17" ht="24.95" customHeight="1" x14ac:dyDescent="0.25">
      <c r="A58" s="448"/>
      <c r="B58" s="209"/>
      <c r="C58" s="455"/>
      <c r="D58" s="293"/>
      <c r="E58" s="293"/>
      <c r="F58" s="216"/>
      <c r="G58" s="126"/>
      <c r="H58" s="374"/>
      <c r="I58" s="375"/>
      <c r="J58" s="464" t="e">
        <f t="shared" si="0"/>
        <v>#DIV/0!</v>
      </c>
      <c r="L58" s="443"/>
      <c r="N58" s="376"/>
      <c r="O58" s="443"/>
    </row>
    <row r="59" spans="1:17" ht="24.95" customHeight="1" x14ac:dyDescent="0.25">
      <c r="A59" s="448"/>
      <c r="B59" s="209"/>
      <c r="C59" s="455"/>
      <c r="D59" s="293"/>
      <c r="E59" s="293"/>
      <c r="F59" s="216"/>
      <c r="G59" s="126"/>
      <c r="H59" s="374"/>
      <c r="I59" s="375"/>
      <c r="J59" s="464" t="e">
        <f t="shared" si="0"/>
        <v>#DIV/0!</v>
      </c>
      <c r="L59" s="443"/>
      <c r="N59" s="376"/>
      <c r="O59" s="443"/>
    </row>
    <row r="60" spans="1:17" ht="24.95" customHeight="1" x14ac:dyDescent="0.25">
      <c r="A60" s="448"/>
      <c r="B60" s="209"/>
      <c r="C60" s="455"/>
      <c r="D60" s="293"/>
      <c r="E60" s="293"/>
      <c r="F60" s="216"/>
      <c r="G60" s="126"/>
      <c r="H60" s="374"/>
      <c r="I60" s="375"/>
      <c r="J60" s="464" t="e">
        <f t="shared" si="0"/>
        <v>#DIV/0!</v>
      </c>
      <c r="L60" s="443"/>
      <c r="N60" s="376"/>
      <c r="O60" s="443"/>
    </row>
    <row r="61" spans="1:17" ht="24.95" customHeight="1" x14ac:dyDescent="0.25">
      <c r="A61" s="448"/>
      <c r="B61" s="209"/>
      <c r="C61" s="455"/>
      <c r="D61" s="293"/>
      <c r="E61" s="293"/>
      <c r="F61" s="216"/>
      <c r="G61" s="126"/>
      <c r="H61" s="374"/>
      <c r="I61" s="375"/>
      <c r="J61" s="464" t="e">
        <f t="shared" si="0"/>
        <v>#DIV/0!</v>
      </c>
      <c r="L61" s="443"/>
      <c r="N61" s="376"/>
      <c r="O61" s="443"/>
    </row>
    <row r="62" spans="1:17" ht="24.95" customHeight="1" x14ac:dyDescent="0.25">
      <c r="A62" s="448"/>
      <c r="B62" s="209"/>
      <c r="C62" s="455"/>
      <c r="D62" s="293"/>
      <c r="E62" s="293"/>
      <c r="F62" s="216"/>
      <c r="G62" s="126"/>
      <c r="H62" s="374"/>
      <c r="I62" s="375"/>
      <c r="J62" s="464" t="e">
        <f t="shared" si="0"/>
        <v>#DIV/0!</v>
      </c>
      <c r="L62" s="443"/>
      <c r="N62" s="376"/>
      <c r="O62" s="443"/>
    </row>
    <row r="63" spans="1:17" ht="24.95" customHeight="1" x14ac:dyDescent="0.25">
      <c r="A63" s="448"/>
      <c r="B63" s="209"/>
      <c r="C63" s="455"/>
      <c r="D63" s="293"/>
      <c r="E63" s="293"/>
      <c r="F63" s="216"/>
      <c r="G63" s="126"/>
      <c r="H63" s="374"/>
      <c r="I63" s="375"/>
      <c r="J63" s="464" t="e">
        <f t="shared" si="0"/>
        <v>#DIV/0!</v>
      </c>
      <c r="L63" s="443"/>
      <c r="N63" s="376"/>
      <c r="O63" s="443"/>
    </row>
    <row r="64" spans="1:17" ht="24.95" customHeight="1" x14ac:dyDescent="0.25">
      <c r="A64" s="448"/>
      <c r="B64" s="209"/>
      <c r="C64" s="455"/>
      <c r="D64" s="293"/>
      <c r="E64" s="293"/>
      <c r="F64" s="216"/>
      <c r="G64" s="126"/>
      <c r="H64" s="374"/>
      <c r="I64" s="375"/>
      <c r="J64" s="464" t="e">
        <f t="shared" si="0"/>
        <v>#DIV/0!</v>
      </c>
      <c r="L64" s="443"/>
      <c r="N64" s="376"/>
      <c r="O64" s="443"/>
    </row>
    <row r="65" spans="1:15" ht="24.95" customHeight="1" x14ac:dyDescent="0.25">
      <c r="A65" s="448"/>
      <c r="B65" s="209"/>
      <c r="C65" s="455"/>
      <c r="D65" s="293"/>
      <c r="E65" s="293"/>
      <c r="F65" s="216"/>
      <c r="G65" s="126"/>
      <c r="H65" s="374"/>
      <c r="I65" s="375"/>
      <c r="J65" s="464" t="e">
        <f t="shared" si="0"/>
        <v>#DIV/0!</v>
      </c>
      <c r="L65" s="443"/>
      <c r="N65" s="376"/>
      <c r="O65" s="443"/>
    </row>
    <row r="66" spans="1:15" ht="24.95" customHeight="1" x14ac:dyDescent="0.25">
      <c r="A66" s="448"/>
      <c r="B66" s="209"/>
      <c r="C66" s="455"/>
      <c r="D66" s="293"/>
      <c r="E66" s="293"/>
      <c r="F66" s="216"/>
      <c r="G66" s="126"/>
      <c r="H66" s="374"/>
      <c r="I66" s="375"/>
      <c r="J66" s="464" t="e">
        <f t="shared" si="0"/>
        <v>#DIV/0!</v>
      </c>
      <c r="L66" s="443"/>
      <c r="N66" s="376"/>
      <c r="O66" s="443"/>
    </row>
    <row r="67" spans="1:15" ht="24.95" customHeight="1" x14ac:dyDescent="0.25">
      <c r="A67" s="448"/>
      <c r="B67" s="209"/>
      <c r="C67" s="455"/>
      <c r="D67" s="293"/>
      <c r="E67" s="293"/>
      <c r="F67" s="216"/>
      <c r="G67" s="126"/>
      <c r="H67" s="374"/>
      <c r="I67" s="375"/>
      <c r="J67" s="464" t="e">
        <f t="shared" si="0"/>
        <v>#DIV/0!</v>
      </c>
      <c r="L67" s="443"/>
      <c r="N67" s="376"/>
      <c r="O67" s="443"/>
    </row>
    <row r="68" spans="1:15" ht="24.95" customHeight="1" x14ac:dyDescent="0.25">
      <c r="A68" s="448"/>
      <c r="B68" s="209"/>
      <c r="C68" s="455"/>
      <c r="D68" s="293"/>
      <c r="E68" s="293"/>
      <c r="F68" s="216"/>
      <c r="G68" s="126"/>
      <c r="H68" s="374"/>
      <c r="I68" s="375"/>
      <c r="J68" s="464" t="e">
        <f t="shared" si="0"/>
        <v>#DIV/0!</v>
      </c>
      <c r="L68" s="443"/>
      <c r="N68" s="376"/>
      <c r="O68" s="443"/>
    </row>
    <row r="69" spans="1:15" ht="24.95" customHeight="1" x14ac:dyDescent="0.25">
      <c r="A69" s="448"/>
      <c r="B69" s="209"/>
      <c r="C69" s="455"/>
      <c r="D69" s="293"/>
      <c r="E69" s="293"/>
      <c r="F69" s="216"/>
      <c r="G69" s="126"/>
      <c r="H69" s="374"/>
      <c r="I69" s="375"/>
      <c r="J69" s="464" t="e">
        <f t="shared" ref="J69:J93" si="2">(I69*K69/100)/(H69*G69)*1000</f>
        <v>#DIV/0!</v>
      </c>
      <c r="L69" s="443"/>
      <c r="N69" s="376"/>
      <c r="O69" s="443"/>
    </row>
    <row r="70" spans="1:15" ht="24.95" customHeight="1" x14ac:dyDescent="0.25">
      <c r="A70" s="448"/>
      <c r="B70" s="209"/>
      <c r="C70" s="455"/>
      <c r="D70" s="293"/>
      <c r="E70" s="293"/>
      <c r="F70" s="216"/>
      <c r="G70" s="126"/>
      <c r="H70" s="374"/>
      <c r="I70" s="375"/>
      <c r="J70" s="464" t="e">
        <f t="shared" si="2"/>
        <v>#DIV/0!</v>
      </c>
      <c r="L70" s="443"/>
      <c r="N70" s="376"/>
      <c r="O70" s="443"/>
    </row>
    <row r="71" spans="1:15" ht="24.95" customHeight="1" x14ac:dyDescent="0.25">
      <c r="A71" s="448"/>
      <c r="B71" s="209"/>
      <c r="C71" s="455"/>
      <c r="D71" s="293"/>
      <c r="E71" s="293"/>
      <c r="F71" s="216"/>
      <c r="G71" s="126"/>
      <c r="H71" s="374"/>
      <c r="I71" s="375"/>
      <c r="J71" s="464" t="e">
        <f t="shared" si="2"/>
        <v>#DIV/0!</v>
      </c>
      <c r="L71" s="443"/>
      <c r="N71" s="376"/>
      <c r="O71" s="443"/>
    </row>
    <row r="72" spans="1:15" ht="24.95" customHeight="1" x14ac:dyDescent="0.25">
      <c r="A72" s="448"/>
      <c r="B72" s="209"/>
      <c r="C72" s="455"/>
      <c r="D72" s="293"/>
      <c r="E72" s="293"/>
      <c r="F72" s="216"/>
      <c r="G72" s="126"/>
      <c r="H72" s="374"/>
      <c r="I72" s="375"/>
      <c r="J72" s="464" t="e">
        <f t="shared" si="2"/>
        <v>#DIV/0!</v>
      </c>
      <c r="L72" s="443"/>
      <c r="N72" s="376"/>
      <c r="O72" s="443"/>
    </row>
    <row r="73" spans="1:15" ht="24.95" customHeight="1" x14ac:dyDescent="0.25">
      <c r="A73" s="448"/>
      <c r="B73" s="209"/>
      <c r="C73" s="455"/>
      <c r="D73" s="293"/>
      <c r="E73" s="293"/>
      <c r="F73" s="216"/>
      <c r="G73" s="126"/>
      <c r="H73" s="374"/>
      <c r="I73" s="375"/>
      <c r="J73" s="464" t="e">
        <f t="shared" si="2"/>
        <v>#DIV/0!</v>
      </c>
      <c r="L73" s="443"/>
      <c r="N73" s="376"/>
      <c r="O73" s="443"/>
    </row>
    <row r="74" spans="1:15" ht="24.95" customHeight="1" x14ac:dyDescent="0.25">
      <c r="A74" s="448"/>
      <c r="B74" s="209"/>
      <c r="C74" s="455"/>
      <c r="D74" s="293"/>
      <c r="E74" s="293"/>
      <c r="F74" s="216"/>
      <c r="G74" s="126"/>
      <c r="H74" s="374"/>
      <c r="I74" s="375"/>
      <c r="J74" s="464" t="e">
        <f t="shared" si="2"/>
        <v>#DIV/0!</v>
      </c>
      <c r="L74" s="443"/>
      <c r="N74" s="376"/>
      <c r="O74" s="443"/>
    </row>
    <row r="75" spans="1:15" ht="24.95" customHeight="1" x14ac:dyDescent="0.25">
      <c r="A75" s="448"/>
      <c r="B75" s="209"/>
      <c r="C75" s="455"/>
      <c r="D75" s="293"/>
      <c r="E75" s="293"/>
      <c r="F75" s="216"/>
      <c r="G75" s="126"/>
      <c r="H75" s="374"/>
      <c r="I75" s="375"/>
      <c r="J75" s="464" t="e">
        <f t="shared" si="2"/>
        <v>#DIV/0!</v>
      </c>
      <c r="L75" s="443"/>
      <c r="N75" s="376"/>
      <c r="O75" s="443"/>
    </row>
    <row r="76" spans="1:15" ht="24.95" customHeight="1" x14ac:dyDescent="0.25">
      <c r="A76" s="448"/>
      <c r="B76" s="209"/>
      <c r="C76" s="455"/>
      <c r="D76" s="293"/>
      <c r="E76" s="293"/>
      <c r="F76" s="216"/>
      <c r="G76" s="126"/>
      <c r="H76" s="374"/>
      <c r="I76" s="375"/>
      <c r="J76" s="464" t="e">
        <f t="shared" si="2"/>
        <v>#DIV/0!</v>
      </c>
      <c r="L76" s="443"/>
      <c r="N76" s="376"/>
      <c r="O76" s="443"/>
    </row>
    <row r="77" spans="1:15" ht="24.95" customHeight="1" x14ac:dyDescent="0.25">
      <c r="A77" s="448"/>
      <c r="B77" s="209"/>
      <c r="C77" s="455"/>
      <c r="D77" s="293"/>
      <c r="E77" s="293"/>
      <c r="F77" s="216"/>
      <c r="G77" s="126"/>
      <c r="H77" s="374"/>
      <c r="I77" s="375"/>
      <c r="J77" s="464" t="e">
        <f t="shared" si="2"/>
        <v>#DIV/0!</v>
      </c>
      <c r="L77" s="443"/>
      <c r="N77" s="376"/>
      <c r="O77" s="443"/>
    </row>
    <row r="78" spans="1:15" ht="24.95" customHeight="1" x14ac:dyDescent="0.25">
      <c r="A78" s="448"/>
      <c r="B78" s="209"/>
      <c r="C78" s="455"/>
      <c r="D78" s="293"/>
      <c r="E78" s="293"/>
      <c r="F78" s="216"/>
      <c r="G78" s="126"/>
      <c r="H78" s="374"/>
      <c r="I78" s="375"/>
      <c r="J78" s="464" t="e">
        <f t="shared" si="2"/>
        <v>#DIV/0!</v>
      </c>
      <c r="L78" s="443"/>
      <c r="N78" s="376"/>
      <c r="O78" s="443"/>
    </row>
    <row r="79" spans="1:15" ht="24.95" customHeight="1" x14ac:dyDescent="0.25">
      <c r="A79" s="448"/>
      <c r="B79" s="209"/>
      <c r="C79" s="455"/>
      <c r="D79" s="293"/>
      <c r="E79" s="293"/>
      <c r="F79" s="216"/>
      <c r="G79" s="126"/>
      <c r="H79" s="374"/>
      <c r="I79" s="375"/>
      <c r="J79" s="464" t="e">
        <f t="shared" si="2"/>
        <v>#DIV/0!</v>
      </c>
      <c r="L79" s="443"/>
      <c r="N79" s="376"/>
      <c r="O79" s="443"/>
    </row>
    <row r="80" spans="1:15" ht="24.95" customHeight="1" x14ac:dyDescent="0.25">
      <c r="A80" s="448"/>
      <c r="B80" s="209"/>
      <c r="C80" s="455"/>
      <c r="D80" s="293"/>
      <c r="E80" s="293"/>
      <c r="F80" s="216"/>
      <c r="G80" s="126"/>
      <c r="H80" s="374"/>
      <c r="I80" s="375"/>
      <c r="J80" s="464" t="e">
        <f t="shared" si="2"/>
        <v>#DIV/0!</v>
      </c>
      <c r="L80" s="443"/>
      <c r="N80" s="376"/>
      <c r="O80" s="443"/>
    </row>
    <row r="81" spans="1:15" ht="24.95" customHeight="1" x14ac:dyDescent="0.25">
      <c r="A81" s="448"/>
      <c r="B81" s="209"/>
      <c r="C81" s="455"/>
      <c r="D81" s="293"/>
      <c r="E81" s="293"/>
      <c r="F81" s="216"/>
      <c r="G81" s="126"/>
      <c r="H81" s="374"/>
      <c r="I81" s="375"/>
      <c r="J81" s="464" t="e">
        <f t="shared" si="2"/>
        <v>#DIV/0!</v>
      </c>
      <c r="L81" s="443"/>
      <c r="N81" s="376"/>
      <c r="O81" s="443"/>
    </row>
    <row r="82" spans="1:15" ht="24.95" customHeight="1" x14ac:dyDescent="0.25">
      <c r="A82" s="448"/>
      <c r="B82" s="209"/>
      <c r="C82" s="455"/>
      <c r="D82" s="293"/>
      <c r="E82" s="293"/>
      <c r="F82" s="216"/>
      <c r="G82" s="126"/>
      <c r="H82" s="374"/>
      <c r="I82" s="375"/>
      <c r="J82" s="464" t="e">
        <f t="shared" si="2"/>
        <v>#DIV/0!</v>
      </c>
      <c r="L82" s="443"/>
      <c r="N82" s="376"/>
      <c r="O82" s="443"/>
    </row>
    <row r="83" spans="1:15" ht="24.95" customHeight="1" x14ac:dyDescent="0.25">
      <c r="A83" s="448"/>
      <c r="B83" s="209"/>
      <c r="C83" s="455"/>
      <c r="D83" s="293"/>
      <c r="E83" s="293"/>
      <c r="F83" s="216"/>
      <c r="G83" s="126"/>
      <c r="H83" s="374"/>
      <c r="I83" s="375"/>
      <c r="J83" s="464" t="e">
        <f t="shared" si="2"/>
        <v>#DIV/0!</v>
      </c>
      <c r="L83" s="443"/>
      <c r="N83" s="376"/>
      <c r="O83" s="443"/>
    </row>
    <row r="84" spans="1:15" ht="24.95" customHeight="1" x14ac:dyDescent="0.25">
      <c r="A84" s="448"/>
      <c r="B84" s="209"/>
      <c r="C84" s="455"/>
      <c r="D84" s="293"/>
      <c r="E84" s="293"/>
      <c r="F84" s="216"/>
      <c r="G84" s="126"/>
      <c r="H84" s="374"/>
      <c r="I84" s="375"/>
      <c r="J84" s="464" t="e">
        <f t="shared" si="2"/>
        <v>#DIV/0!</v>
      </c>
      <c r="L84" s="443"/>
      <c r="N84" s="376"/>
      <c r="O84" s="443"/>
    </row>
    <row r="85" spans="1:15" ht="24.95" customHeight="1" x14ac:dyDescent="0.25">
      <c r="A85" s="448"/>
      <c r="B85" s="209"/>
      <c r="C85" s="455"/>
      <c r="D85" s="293"/>
      <c r="E85" s="293"/>
      <c r="F85" s="216"/>
      <c r="G85" s="126"/>
      <c r="H85" s="374"/>
      <c r="I85" s="375"/>
      <c r="J85" s="464" t="e">
        <f t="shared" si="2"/>
        <v>#DIV/0!</v>
      </c>
      <c r="L85" s="443"/>
      <c r="N85" s="376"/>
      <c r="O85" s="443"/>
    </row>
    <row r="86" spans="1:15" ht="24.95" customHeight="1" x14ac:dyDescent="0.25">
      <c r="A86" s="448"/>
      <c r="B86" s="209"/>
      <c r="C86" s="455"/>
      <c r="D86" s="293"/>
      <c r="E86" s="293"/>
      <c r="F86" s="216"/>
      <c r="G86" s="126"/>
      <c r="H86" s="374"/>
      <c r="I86" s="375"/>
      <c r="J86" s="464" t="e">
        <f t="shared" si="2"/>
        <v>#DIV/0!</v>
      </c>
      <c r="L86" s="443"/>
      <c r="N86" s="376"/>
      <c r="O86" s="443"/>
    </row>
    <row r="87" spans="1:15" ht="24.95" customHeight="1" x14ac:dyDescent="0.25">
      <c r="A87" s="448"/>
      <c r="B87" s="209"/>
      <c r="C87" s="455"/>
      <c r="D87" s="293"/>
      <c r="E87" s="293"/>
      <c r="F87" s="216"/>
      <c r="G87" s="126"/>
      <c r="H87" s="374"/>
      <c r="I87" s="375"/>
      <c r="J87" s="464" t="e">
        <f t="shared" si="2"/>
        <v>#DIV/0!</v>
      </c>
      <c r="L87" s="443"/>
      <c r="N87" s="376"/>
      <c r="O87" s="443"/>
    </row>
    <row r="88" spans="1:15" ht="24.95" customHeight="1" x14ac:dyDescent="0.25">
      <c r="A88" s="448"/>
      <c r="B88" s="209"/>
      <c r="C88" s="455"/>
      <c r="D88" s="293"/>
      <c r="E88" s="293"/>
      <c r="F88" s="216"/>
      <c r="G88" s="126"/>
      <c r="H88" s="374"/>
      <c r="I88" s="375"/>
      <c r="J88" s="464" t="e">
        <f t="shared" si="2"/>
        <v>#DIV/0!</v>
      </c>
      <c r="L88" s="443"/>
      <c r="N88" s="376"/>
      <c r="O88" s="443"/>
    </row>
    <row r="89" spans="1:15" ht="24.95" customHeight="1" x14ac:dyDescent="0.25">
      <c r="A89" s="448"/>
      <c r="B89" s="209"/>
      <c r="C89" s="455"/>
      <c r="D89" s="293"/>
      <c r="E89" s="293"/>
      <c r="F89" s="216"/>
      <c r="G89" s="126"/>
      <c r="H89" s="374"/>
      <c r="I89" s="375"/>
      <c r="J89" s="464" t="e">
        <f t="shared" si="2"/>
        <v>#DIV/0!</v>
      </c>
      <c r="L89" s="443"/>
      <c r="N89" s="376"/>
      <c r="O89" s="443"/>
    </row>
    <row r="90" spans="1:15" ht="24.95" customHeight="1" x14ac:dyDescent="0.25">
      <c r="A90" s="448"/>
      <c r="B90" s="209"/>
      <c r="C90" s="455"/>
      <c r="D90" s="293"/>
      <c r="E90" s="293"/>
      <c r="F90" s="216"/>
      <c r="G90" s="126"/>
      <c r="H90" s="374"/>
      <c r="I90" s="375"/>
      <c r="J90" s="464" t="e">
        <f t="shared" si="2"/>
        <v>#DIV/0!</v>
      </c>
      <c r="L90" s="443"/>
      <c r="N90" s="376"/>
      <c r="O90" s="443"/>
    </row>
    <row r="91" spans="1:15" ht="24.95" customHeight="1" x14ac:dyDescent="0.25">
      <c r="A91" s="448"/>
      <c r="B91" s="209"/>
      <c r="C91" s="455"/>
      <c r="D91" s="293"/>
      <c r="E91" s="293"/>
      <c r="F91" s="216"/>
      <c r="G91" s="126"/>
      <c r="H91" s="374"/>
      <c r="I91" s="375"/>
      <c r="J91" s="464" t="e">
        <f t="shared" si="2"/>
        <v>#DIV/0!</v>
      </c>
      <c r="L91" s="443"/>
      <c r="N91" s="376"/>
      <c r="O91" s="443"/>
    </row>
    <row r="92" spans="1:15" ht="24.95" customHeight="1" x14ac:dyDescent="0.25">
      <c r="A92" s="448"/>
      <c r="B92" s="209"/>
      <c r="C92" s="455"/>
      <c r="D92" s="293"/>
      <c r="E92" s="293"/>
      <c r="F92" s="216"/>
      <c r="G92" s="126"/>
      <c r="H92" s="374"/>
      <c r="I92" s="375"/>
      <c r="J92" s="464" t="e">
        <f t="shared" si="2"/>
        <v>#DIV/0!</v>
      </c>
      <c r="L92" s="443"/>
      <c r="N92" s="376"/>
      <c r="O92" s="443"/>
    </row>
    <row r="93" spans="1:15" ht="24.95" customHeight="1" x14ac:dyDescent="0.25">
      <c r="A93" s="448"/>
      <c r="B93" s="209"/>
      <c r="C93" s="455"/>
      <c r="D93" s="293"/>
      <c r="E93" s="293"/>
      <c r="F93" s="216"/>
      <c r="G93" s="126"/>
      <c r="H93" s="374"/>
      <c r="I93" s="375"/>
      <c r="J93" s="464" t="e">
        <f t="shared" si="2"/>
        <v>#DIV/0!</v>
      </c>
      <c r="L93" s="443"/>
      <c r="N93" s="376"/>
      <c r="O93" s="443"/>
    </row>
  </sheetData>
  <mergeCells count="3">
    <mergeCell ref="A1:O1"/>
    <mergeCell ref="A2:O2"/>
    <mergeCell ref="D45:L45"/>
  </mergeCells>
  <conditionalFormatting sqref="L3:Q3">
    <cfRule type="cellIs" dxfId="445" priority="9" operator="equal">
      <formula>"sous surveillance"</formula>
    </cfRule>
  </conditionalFormatting>
  <conditionalFormatting sqref="K52:K53 K37 K30:K31">
    <cfRule type="cellIs" dxfId="444" priority="7" operator="equal">
      <formula>"Conforme"</formula>
    </cfRule>
    <cfRule type="cellIs" dxfId="443" priority="8" operator="equal">
      <formula>"Non conforme"</formula>
    </cfRule>
  </conditionalFormatting>
  <dataValidations count="6">
    <dataValidation type="list" allowBlank="1" showInputMessage="1" sqref="M43">
      <formula1>INDIRECT(C43)</formula1>
    </dataValidation>
    <dataValidation type="list" allowBlank="1" showInputMessage="1" showErrorMessage="1" sqref="O4:O93">
      <formula1>"Yes, No"</formula1>
    </dataValidation>
    <dataValidation errorStyle="warning" allowBlank="1" showInputMessage="1" showErrorMessage="1" sqref="K52:K53 L3:P3 K37 K30:K31"/>
    <dataValidation type="list" allowBlank="1" showInputMessage="1" showErrorMessage="1" sqref="L32:L35 L26:L29">
      <formula1>"Medium NBA, H2O mQ, DMSO, eq NaOH, EtOH, eq HCl,Citrate buffer, directly in ACSF"</formula1>
    </dataValidation>
    <dataValidation type="list" allowBlank="1" showInputMessage="1" showErrorMessage="1" sqref="L30:L31 L4:L11 L19:L25 L36:L44 L46:L93">
      <formula1>"H2O mQ, DMSO, eq NaOH, EtOH, eq HCl,Citrate buffer, directly in ACSF"</formula1>
    </dataValidation>
    <dataValidation type="list" allowBlank="1" showInputMessage="1" showErrorMessage="1" sqref="L12:L18">
      <formula1>"H2O mQ, DMSO, eq NaOH, EtOH, eq HCl,Citrate buffer, directly in ACSF, O2 sucrose"</formula1>
    </dataValidation>
  </dataValidations>
  <pageMargins left="0.7" right="0.7" top="0.75" bottom="0.75" header="0.3" footer="0.3"/>
  <pageSetup paperSize="9" scale="47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93"/>
  <sheetViews>
    <sheetView view="pageBreakPreview" topLeftCell="C1" zoomScale="60" zoomScaleNormal="70" workbookViewId="0">
      <selection activeCell="C14" sqref="A14:XFD14"/>
    </sheetView>
  </sheetViews>
  <sheetFormatPr baseColWidth="10" defaultColWidth="11.42578125" defaultRowHeight="15" x14ac:dyDescent="0.25"/>
  <cols>
    <col min="1" max="1" width="19" style="177" customWidth="1"/>
    <col min="2" max="2" width="30.85546875" style="446" customWidth="1"/>
    <col min="3" max="3" width="13.5703125" style="446" customWidth="1"/>
    <col min="4" max="4" width="21" style="446" customWidth="1"/>
    <col min="5" max="5" width="36" style="446" bestFit="1" customWidth="1"/>
    <col min="6" max="6" width="14.42578125" style="460" bestFit="1" customWidth="1"/>
    <col min="7" max="7" width="11.85546875" style="446" customWidth="1"/>
    <col min="8" max="8" width="16.7109375" style="446" customWidth="1"/>
    <col min="9" max="9" width="20.85546875" style="446" customWidth="1"/>
    <col min="10" max="10" width="14.7109375" style="498" customWidth="1"/>
    <col min="11" max="11" width="10.5703125" style="466" customWidth="1"/>
    <col min="12" max="12" width="16.140625" style="446" customWidth="1"/>
    <col min="13" max="13" width="11.42578125" style="446"/>
    <col min="14" max="14" width="28.140625" style="446" customWidth="1"/>
    <col min="15" max="15" width="11.42578125" style="446"/>
    <col min="16" max="16" width="76.42578125" style="446" bestFit="1" customWidth="1"/>
    <col min="17" max="17" width="16.7109375" style="446" customWidth="1"/>
    <col min="18" max="16384" width="11.42578125" style="446"/>
  </cols>
  <sheetData>
    <row r="1" spans="1:17" ht="50.25" customHeight="1" x14ac:dyDescent="0.25">
      <c r="A1" s="772" t="s">
        <v>1340</v>
      </c>
      <c r="B1" s="772"/>
      <c r="C1" s="772"/>
      <c r="D1" s="773"/>
      <c r="E1" s="773"/>
      <c r="F1" s="773"/>
      <c r="G1" s="773"/>
      <c r="H1" s="773"/>
      <c r="I1" s="773"/>
      <c r="J1" s="773"/>
      <c r="K1" s="773"/>
      <c r="L1" s="773"/>
      <c r="M1" s="773"/>
      <c r="N1" s="773"/>
      <c r="O1" s="773"/>
      <c r="P1" s="453"/>
      <c r="Q1" s="453"/>
    </row>
    <row r="2" spans="1:17" ht="24" customHeight="1" x14ac:dyDescent="0.25">
      <c r="A2" s="774">
        <v>43191</v>
      </c>
      <c r="B2" s="775"/>
      <c r="C2" s="775"/>
      <c r="D2" s="776"/>
      <c r="E2" s="776"/>
      <c r="F2" s="776"/>
      <c r="G2" s="776"/>
      <c r="H2" s="776"/>
      <c r="I2" s="776"/>
      <c r="J2" s="776"/>
      <c r="K2" s="776"/>
      <c r="L2" s="776"/>
      <c r="M2" s="776"/>
      <c r="N2" s="776"/>
      <c r="O2" s="776"/>
      <c r="P2" s="453"/>
      <c r="Q2" s="453"/>
    </row>
    <row r="3" spans="1:17" s="498" customFormat="1" ht="30" customHeight="1" x14ac:dyDescent="0.25">
      <c r="A3" s="209" t="s">
        <v>34</v>
      </c>
      <c r="B3" s="209" t="s">
        <v>2790</v>
      </c>
      <c r="C3" s="445" t="s">
        <v>1232</v>
      </c>
      <c r="D3" s="196" t="s">
        <v>2791</v>
      </c>
      <c r="E3" s="197" t="s">
        <v>2792</v>
      </c>
      <c r="F3" s="211" t="s">
        <v>2793</v>
      </c>
      <c r="G3" s="198" t="s">
        <v>23</v>
      </c>
      <c r="H3" s="198" t="s">
        <v>2817</v>
      </c>
      <c r="I3" s="199" t="s">
        <v>2818</v>
      </c>
      <c r="J3" s="199" t="s">
        <v>2819</v>
      </c>
      <c r="K3" s="465" t="s">
        <v>1344</v>
      </c>
      <c r="L3" s="198" t="s">
        <v>37</v>
      </c>
      <c r="M3" s="198" t="s">
        <v>1237</v>
      </c>
      <c r="N3" s="198" t="s">
        <v>2794</v>
      </c>
      <c r="O3" s="198" t="s">
        <v>1239</v>
      </c>
      <c r="P3" s="198" t="s">
        <v>1240</v>
      </c>
      <c r="Q3" s="447" t="s">
        <v>1241</v>
      </c>
    </row>
    <row r="4" spans="1:17" s="483" customFormat="1" ht="24.95" customHeight="1" x14ac:dyDescent="0.25">
      <c r="A4" s="499">
        <v>43132</v>
      </c>
      <c r="B4" s="500" t="s">
        <v>2832</v>
      </c>
      <c r="C4" s="501" t="s">
        <v>40</v>
      </c>
      <c r="D4" s="502" t="s">
        <v>701</v>
      </c>
      <c r="E4" s="502" t="s">
        <v>2833</v>
      </c>
      <c r="F4" s="503">
        <v>43132</v>
      </c>
      <c r="G4" s="504">
        <v>389.81</v>
      </c>
      <c r="H4" s="505">
        <v>30</v>
      </c>
      <c r="I4" s="506">
        <v>15.2</v>
      </c>
      <c r="J4" s="507">
        <f t="shared" ref="J4:J20" si="0">(I4*K4/100)/(H4*G4)*1000</f>
        <v>1.2867807393345478</v>
      </c>
      <c r="K4" s="508">
        <v>99</v>
      </c>
      <c r="L4" s="509" t="s">
        <v>212</v>
      </c>
      <c r="M4" s="510" t="s">
        <v>1237</v>
      </c>
      <c r="N4" s="511" t="s">
        <v>2835</v>
      </c>
      <c r="O4" s="509" t="s">
        <v>2648</v>
      </c>
      <c r="P4" s="509" t="s">
        <v>2834</v>
      </c>
      <c r="Q4" s="512" t="s">
        <v>2983</v>
      </c>
    </row>
    <row r="5" spans="1:17" ht="24.95" customHeight="1" x14ac:dyDescent="0.25">
      <c r="A5" s="448">
        <v>43193</v>
      </c>
      <c r="B5" s="449" t="s">
        <v>3059</v>
      </c>
      <c r="C5" s="472" t="s">
        <v>40</v>
      </c>
      <c r="D5" s="293" t="s">
        <v>3046</v>
      </c>
      <c r="E5" s="124" t="s">
        <v>3060</v>
      </c>
      <c r="F5" s="383">
        <v>43193</v>
      </c>
      <c r="G5" s="126">
        <v>424.45</v>
      </c>
      <c r="H5" s="374">
        <v>10</v>
      </c>
      <c r="I5" s="375">
        <v>5.01</v>
      </c>
      <c r="J5" s="464">
        <f t="shared" si="0"/>
        <v>1.1803510425256214</v>
      </c>
      <c r="K5" s="466">
        <v>100</v>
      </c>
      <c r="L5" s="443" t="s">
        <v>212</v>
      </c>
      <c r="M5" s="421" t="s">
        <v>1463</v>
      </c>
      <c r="N5" s="444"/>
      <c r="O5" s="443" t="s">
        <v>2846</v>
      </c>
      <c r="P5" s="443"/>
      <c r="Q5" s="484" t="s">
        <v>3129</v>
      </c>
    </row>
    <row r="6" spans="1:17" ht="24.95" customHeight="1" x14ac:dyDescent="0.25">
      <c r="A6" s="448">
        <v>43193</v>
      </c>
      <c r="B6" s="209" t="s">
        <v>3061</v>
      </c>
      <c r="C6" s="455" t="s">
        <v>40</v>
      </c>
      <c r="D6" s="293" t="s">
        <v>3046</v>
      </c>
      <c r="E6" s="124" t="s">
        <v>3062</v>
      </c>
      <c r="F6" s="383">
        <v>43193</v>
      </c>
      <c r="G6" s="126">
        <v>410.47</v>
      </c>
      <c r="H6" s="104">
        <v>10</v>
      </c>
      <c r="I6" s="106">
        <v>2.46</v>
      </c>
      <c r="J6" s="464">
        <f t="shared" si="0"/>
        <v>0.59931298267839295</v>
      </c>
      <c r="K6" s="467">
        <v>100</v>
      </c>
      <c r="L6" s="443" t="s">
        <v>212</v>
      </c>
      <c r="M6" s="443" t="s">
        <v>1463</v>
      </c>
      <c r="N6" s="444"/>
      <c r="O6" s="443" t="s">
        <v>2846</v>
      </c>
      <c r="P6" s="443"/>
      <c r="Q6" s="484" t="s">
        <v>3129</v>
      </c>
    </row>
    <row r="7" spans="1:17" ht="24.95" customHeight="1" x14ac:dyDescent="0.25">
      <c r="A7" s="448">
        <v>43199</v>
      </c>
      <c r="B7" s="209" t="s">
        <v>3071</v>
      </c>
      <c r="C7" s="472" t="s">
        <v>40</v>
      </c>
      <c r="D7" s="293" t="s">
        <v>2957</v>
      </c>
      <c r="E7" s="124" t="s">
        <v>3063</v>
      </c>
      <c r="F7" s="216">
        <v>43199</v>
      </c>
      <c r="G7" s="126">
        <v>322.87700000000001</v>
      </c>
      <c r="H7" s="104">
        <v>9</v>
      </c>
      <c r="I7" s="106">
        <v>5.42</v>
      </c>
      <c r="J7" s="464">
        <f t="shared" si="0"/>
        <v>1.8651753522927375</v>
      </c>
      <c r="K7" s="467">
        <v>100</v>
      </c>
      <c r="L7" s="443" t="s">
        <v>49</v>
      </c>
      <c r="M7" s="421" t="s">
        <v>1463</v>
      </c>
      <c r="N7" s="444" t="s">
        <v>3072</v>
      </c>
      <c r="O7" s="443" t="s">
        <v>2648</v>
      </c>
      <c r="P7" s="443"/>
      <c r="Q7" s="484" t="s">
        <v>3133</v>
      </c>
    </row>
    <row r="8" spans="1:17" ht="24.95" customHeight="1" x14ac:dyDescent="0.25">
      <c r="A8" s="448">
        <v>43199</v>
      </c>
      <c r="B8" s="209" t="s">
        <v>3073</v>
      </c>
      <c r="C8" s="472" t="s">
        <v>40</v>
      </c>
      <c r="D8" s="293" t="s">
        <v>2957</v>
      </c>
      <c r="E8" s="124" t="s">
        <v>3067</v>
      </c>
      <c r="F8" s="216">
        <v>43199</v>
      </c>
      <c r="G8" s="126">
        <v>409.96</v>
      </c>
      <c r="H8" s="104">
        <v>9</v>
      </c>
      <c r="I8" s="106">
        <v>6.33</v>
      </c>
      <c r="J8" s="464">
        <f t="shared" si="0"/>
        <v>1.7156145314990081</v>
      </c>
      <c r="K8" s="467">
        <v>100</v>
      </c>
      <c r="L8" s="443" t="s">
        <v>49</v>
      </c>
      <c r="M8" s="421" t="s">
        <v>1463</v>
      </c>
      <c r="N8" s="444" t="s">
        <v>3072</v>
      </c>
      <c r="O8" s="443" t="s">
        <v>2648</v>
      </c>
      <c r="P8" s="443"/>
      <c r="Q8" s="484" t="s">
        <v>3133</v>
      </c>
    </row>
    <row r="9" spans="1:17" ht="24.95" customHeight="1" x14ac:dyDescent="0.25">
      <c r="A9" s="448">
        <v>43199</v>
      </c>
      <c r="B9" s="209" t="s">
        <v>3074</v>
      </c>
      <c r="C9" s="455" t="s">
        <v>40</v>
      </c>
      <c r="D9" s="293" t="s">
        <v>2957</v>
      </c>
      <c r="E9" s="124" t="s">
        <v>3066</v>
      </c>
      <c r="F9" s="260">
        <v>43199</v>
      </c>
      <c r="G9" s="104">
        <v>366.26</v>
      </c>
      <c r="H9" s="126">
        <v>9</v>
      </c>
      <c r="I9" s="126">
        <v>5.49</v>
      </c>
      <c r="J9" s="464">
        <f t="shared" si="0"/>
        <v>1.6654835362856988</v>
      </c>
      <c r="K9" s="466">
        <v>100</v>
      </c>
      <c r="L9" s="443" t="s">
        <v>49</v>
      </c>
      <c r="M9" s="421" t="s">
        <v>1463</v>
      </c>
      <c r="N9" s="444" t="s">
        <v>3072</v>
      </c>
      <c r="O9" s="443" t="s">
        <v>2648</v>
      </c>
      <c r="P9" s="443"/>
      <c r="Q9" s="484" t="s">
        <v>3133</v>
      </c>
    </row>
    <row r="10" spans="1:17" ht="24.95" customHeight="1" x14ac:dyDescent="0.25">
      <c r="A10" s="448">
        <v>43199</v>
      </c>
      <c r="B10" s="451" t="s">
        <v>3075</v>
      </c>
      <c r="C10" s="458" t="s">
        <v>40</v>
      </c>
      <c r="D10" s="293" t="s">
        <v>2957</v>
      </c>
      <c r="E10" s="124" t="s">
        <v>3069</v>
      </c>
      <c r="F10" s="216">
        <v>43199</v>
      </c>
      <c r="G10" s="126">
        <v>348.27</v>
      </c>
      <c r="H10" s="374">
        <v>9</v>
      </c>
      <c r="I10" s="375">
        <v>8.26</v>
      </c>
      <c r="J10" s="464">
        <f t="shared" si="0"/>
        <v>2.6352478760093545</v>
      </c>
      <c r="K10" s="466">
        <v>100</v>
      </c>
      <c r="L10" s="443" t="s">
        <v>49</v>
      </c>
      <c r="M10" s="218" t="s">
        <v>1463</v>
      </c>
      <c r="N10" s="444" t="s">
        <v>3072</v>
      </c>
      <c r="O10" s="443" t="s">
        <v>2648</v>
      </c>
      <c r="P10" s="443"/>
      <c r="Q10" s="484" t="s">
        <v>3133</v>
      </c>
    </row>
    <row r="11" spans="1:17" ht="24.95" customHeight="1" x14ac:dyDescent="0.25">
      <c r="A11" s="448">
        <v>43199</v>
      </c>
      <c r="B11" s="209" t="s">
        <v>3076</v>
      </c>
      <c r="C11" s="455" t="s">
        <v>40</v>
      </c>
      <c r="D11" s="293" t="s">
        <v>2957</v>
      </c>
      <c r="E11" s="124" t="s">
        <v>3077</v>
      </c>
      <c r="F11" s="260">
        <v>43047</v>
      </c>
      <c r="G11" s="126">
        <v>198.11</v>
      </c>
      <c r="H11" s="104"/>
      <c r="I11" s="106"/>
      <c r="J11" s="464" t="e">
        <f t="shared" si="0"/>
        <v>#DIV/0!</v>
      </c>
      <c r="K11" s="467">
        <v>100</v>
      </c>
      <c r="L11" s="443"/>
      <c r="M11" s="262" t="s">
        <v>1600</v>
      </c>
      <c r="N11" s="376"/>
      <c r="O11" s="443" t="s">
        <v>2846</v>
      </c>
      <c r="P11" s="443"/>
      <c r="Q11" s="484" t="s">
        <v>3133</v>
      </c>
    </row>
    <row r="12" spans="1:17" ht="24.95" customHeight="1" x14ac:dyDescent="0.25">
      <c r="A12" s="448">
        <v>43200</v>
      </c>
      <c r="B12" s="209" t="s">
        <v>3078</v>
      </c>
      <c r="C12" s="455" t="s">
        <v>40</v>
      </c>
      <c r="D12" s="103" t="s">
        <v>701</v>
      </c>
      <c r="E12" s="124" t="s">
        <v>3079</v>
      </c>
      <c r="F12" s="260">
        <v>43178</v>
      </c>
      <c r="G12" s="104">
        <v>319.27999999999997</v>
      </c>
      <c r="H12" s="104">
        <v>1</v>
      </c>
      <c r="I12" s="106">
        <v>1</v>
      </c>
      <c r="J12" s="464">
        <f t="shared" si="0"/>
        <v>3.1007266349285896</v>
      </c>
      <c r="K12" s="467">
        <v>99</v>
      </c>
      <c r="L12" s="288" t="s">
        <v>1724</v>
      </c>
      <c r="M12" s="262" t="s">
        <v>1463</v>
      </c>
      <c r="N12" s="444" t="s">
        <v>3072</v>
      </c>
      <c r="O12" s="443" t="s">
        <v>2648</v>
      </c>
      <c r="P12" s="443"/>
      <c r="Q12" s="484" t="s">
        <v>3171</v>
      </c>
    </row>
    <row r="13" spans="1:17" ht="24.95" customHeight="1" x14ac:dyDescent="0.25">
      <c r="A13" s="448">
        <v>43200</v>
      </c>
      <c r="B13" s="209" t="s">
        <v>3080</v>
      </c>
      <c r="C13" s="455" t="s">
        <v>40</v>
      </c>
      <c r="D13" s="103" t="s">
        <v>701</v>
      </c>
      <c r="E13" s="103" t="s">
        <v>3081</v>
      </c>
      <c r="F13" s="260">
        <v>43164</v>
      </c>
      <c r="G13" s="104">
        <v>110.04</v>
      </c>
      <c r="H13" s="104" t="s">
        <v>61</v>
      </c>
      <c r="I13" s="106" t="s">
        <v>61</v>
      </c>
      <c r="J13" s="464" t="e">
        <f t="shared" si="0"/>
        <v>#VALUE!</v>
      </c>
      <c r="K13" s="467" t="s">
        <v>61</v>
      </c>
      <c r="L13" s="443" t="s">
        <v>49</v>
      </c>
      <c r="M13" s="443" t="s">
        <v>1430</v>
      </c>
      <c r="N13" s="444" t="s">
        <v>3082</v>
      </c>
      <c r="O13" s="443" t="s">
        <v>2846</v>
      </c>
      <c r="P13" s="443"/>
      <c r="Q13" s="484" t="s">
        <v>3171</v>
      </c>
    </row>
    <row r="14" spans="1:17" ht="24.95" customHeight="1" x14ac:dyDescent="0.25">
      <c r="A14" s="448">
        <v>43200</v>
      </c>
      <c r="B14" s="209" t="s">
        <v>3091</v>
      </c>
      <c r="C14" s="455" t="s">
        <v>1610</v>
      </c>
      <c r="D14" s="103" t="s">
        <v>1041</v>
      </c>
      <c r="E14" s="124" t="s">
        <v>3092</v>
      </c>
      <c r="F14" s="260">
        <v>43200</v>
      </c>
      <c r="G14" s="126">
        <v>307.64999999999998</v>
      </c>
      <c r="H14" s="104">
        <v>20</v>
      </c>
      <c r="I14" s="106">
        <v>49.12</v>
      </c>
      <c r="J14" s="464">
        <f t="shared" si="0"/>
        <v>7.9032666991711347</v>
      </c>
      <c r="K14" s="467">
        <v>99</v>
      </c>
      <c r="L14" s="443" t="s">
        <v>49</v>
      </c>
      <c r="M14" s="443" t="s">
        <v>1613</v>
      </c>
      <c r="N14" s="444" t="s">
        <v>3082</v>
      </c>
      <c r="O14" s="443" t="s">
        <v>2846</v>
      </c>
      <c r="P14" s="443"/>
      <c r="Q14" s="484" t="s">
        <v>3171</v>
      </c>
    </row>
    <row r="15" spans="1:17" ht="24.95" customHeight="1" x14ac:dyDescent="0.25">
      <c r="A15" s="448">
        <v>43206</v>
      </c>
      <c r="B15" s="209" t="s">
        <v>3104</v>
      </c>
      <c r="C15" s="455" t="s">
        <v>1610</v>
      </c>
      <c r="D15" s="103" t="s">
        <v>230</v>
      </c>
      <c r="E15" s="124" t="s">
        <v>2612</v>
      </c>
      <c r="F15" s="216">
        <v>43206</v>
      </c>
      <c r="G15" s="126">
        <v>353.83</v>
      </c>
      <c r="H15" s="104">
        <v>10</v>
      </c>
      <c r="I15" s="106">
        <v>1.51</v>
      </c>
      <c r="J15" s="464">
        <f t="shared" si="0"/>
        <v>0.42675861289319733</v>
      </c>
      <c r="K15" s="467">
        <v>100</v>
      </c>
      <c r="L15" s="443" t="s">
        <v>212</v>
      </c>
      <c r="M15" s="443" t="s">
        <v>1613</v>
      </c>
      <c r="N15" s="444" t="s">
        <v>3102</v>
      </c>
      <c r="O15" s="443" t="s">
        <v>2648</v>
      </c>
      <c r="P15" s="443"/>
      <c r="Q15" s="484" t="s">
        <v>3171</v>
      </c>
    </row>
    <row r="16" spans="1:17" ht="24.95" customHeight="1" x14ac:dyDescent="0.25">
      <c r="A16" s="448">
        <v>43206</v>
      </c>
      <c r="B16" s="209" t="s">
        <v>3105</v>
      </c>
      <c r="C16" s="455" t="s">
        <v>40</v>
      </c>
      <c r="D16" s="103" t="s">
        <v>701</v>
      </c>
      <c r="E16" s="124" t="s">
        <v>860</v>
      </c>
      <c r="F16" s="216">
        <v>43206</v>
      </c>
      <c r="G16" s="493">
        <v>336.28</v>
      </c>
      <c r="H16" s="104">
        <v>10</v>
      </c>
      <c r="I16" s="106">
        <v>48.3</v>
      </c>
      <c r="J16" s="464">
        <f t="shared" si="0"/>
        <v>14.219400499583681</v>
      </c>
      <c r="K16" s="467">
        <v>99</v>
      </c>
      <c r="L16" s="443" t="s">
        <v>212</v>
      </c>
      <c r="M16" s="443" t="s">
        <v>1463</v>
      </c>
      <c r="N16" s="444" t="s">
        <v>1034</v>
      </c>
      <c r="O16" s="443" t="s">
        <v>2846</v>
      </c>
      <c r="P16" s="443"/>
      <c r="Q16" s="484" t="s">
        <v>3171</v>
      </c>
    </row>
    <row r="17" spans="1:18" ht="24.95" customHeight="1" x14ac:dyDescent="0.25">
      <c r="A17" s="448">
        <v>43206</v>
      </c>
      <c r="B17" s="209" t="s">
        <v>2682</v>
      </c>
      <c r="C17" s="455" t="s">
        <v>40</v>
      </c>
      <c r="D17" s="103" t="s">
        <v>3106</v>
      </c>
      <c r="E17" s="124" t="s">
        <v>2636</v>
      </c>
      <c r="F17" s="216">
        <v>43111</v>
      </c>
      <c r="G17" s="493">
        <v>386.88</v>
      </c>
      <c r="H17" s="104">
        <v>10</v>
      </c>
      <c r="I17" s="106">
        <v>5.63</v>
      </c>
      <c r="J17" s="464">
        <f t="shared" si="0"/>
        <v>1.4406792803970223</v>
      </c>
      <c r="K17" s="467">
        <v>99</v>
      </c>
      <c r="L17" s="443" t="s">
        <v>49</v>
      </c>
      <c r="M17" s="443" t="s">
        <v>1431</v>
      </c>
      <c r="N17" s="444" t="s">
        <v>2974</v>
      </c>
      <c r="O17" s="443" t="s">
        <v>2648</v>
      </c>
      <c r="P17" s="443"/>
      <c r="Q17" s="484" t="s">
        <v>3171</v>
      </c>
    </row>
    <row r="18" spans="1:18" ht="24.95" customHeight="1" x14ac:dyDescent="0.25">
      <c r="A18" s="448">
        <v>43207</v>
      </c>
      <c r="B18" s="209" t="s">
        <v>1531</v>
      </c>
      <c r="C18" s="455" t="s">
        <v>40</v>
      </c>
      <c r="D18" s="103" t="s">
        <v>3106</v>
      </c>
      <c r="E18" s="124" t="s">
        <v>243</v>
      </c>
      <c r="F18" s="216">
        <v>42234</v>
      </c>
      <c r="G18" s="493">
        <v>213.23</v>
      </c>
      <c r="H18" s="104">
        <v>10</v>
      </c>
      <c r="I18" s="106">
        <v>3.53</v>
      </c>
      <c r="J18" s="464">
        <f t="shared" si="0"/>
        <v>1.6554893776673079</v>
      </c>
      <c r="K18" s="467">
        <v>100</v>
      </c>
      <c r="L18" s="443" t="s">
        <v>49</v>
      </c>
      <c r="M18" s="443" t="s">
        <v>1431</v>
      </c>
      <c r="N18" s="444" t="s">
        <v>2974</v>
      </c>
      <c r="O18" s="443" t="s">
        <v>2648</v>
      </c>
      <c r="P18" s="443"/>
      <c r="Q18" s="484" t="s">
        <v>3171</v>
      </c>
    </row>
    <row r="19" spans="1:18" ht="24.95" customHeight="1" x14ac:dyDescent="0.25">
      <c r="A19" s="448">
        <v>43208</v>
      </c>
      <c r="B19" s="209" t="s">
        <v>3110</v>
      </c>
      <c r="C19" s="455" t="s">
        <v>1610</v>
      </c>
      <c r="D19" s="103" t="s">
        <v>230</v>
      </c>
      <c r="E19" s="103" t="s">
        <v>806</v>
      </c>
      <c r="F19" s="216">
        <v>43208</v>
      </c>
      <c r="G19" s="126">
        <v>509.29</v>
      </c>
      <c r="H19" s="104">
        <v>10</v>
      </c>
      <c r="I19" s="106">
        <v>46.05</v>
      </c>
      <c r="J19" s="464">
        <f t="shared" si="0"/>
        <v>8.5898996642384482</v>
      </c>
      <c r="K19" s="467">
        <v>95</v>
      </c>
      <c r="L19" s="443" t="s">
        <v>49</v>
      </c>
      <c r="M19" s="443" t="s">
        <v>1756</v>
      </c>
      <c r="N19" s="444" t="s">
        <v>3111</v>
      </c>
      <c r="O19" s="443" t="s">
        <v>2846</v>
      </c>
      <c r="P19" s="421"/>
      <c r="Q19" s="484" t="s">
        <v>3171</v>
      </c>
    </row>
    <row r="20" spans="1:18" ht="24.95" customHeight="1" x14ac:dyDescent="0.25">
      <c r="A20" s="448">
        <v>43208</v>
      </c>
      <c r="B20" s="209" t="s">
        <v>2682</v>
      </c>
      <c r="C20" s="455" t="s">
        <v>40</v>
      </c>
      <c r="D20" s="103" t="s">
        <v>3106</v>
      </c>
      <c r="E20" s="124" t="s">
        <v>2636</v>
      </c>
      <c r="F20" s="216">
        <v>43111</v>
      </c>
      <c r="G20" s="493">
        <v>386.88</v>
      </c>
      <c r="H20" s="104">
        <v>10</v>
      </c>
      <c r="I20" s="431">
        <v>7.1</v>
      </c>
      <c r="J20" s="464">
        <f t="shared" si="0"/>
        <v>1.8168424317617864</v>
      </c>
      <c r="K20" s="467">
        <v>99</v>
      </c>
      <c r="L20" s="443" t="s">
        <v>49</v>
      </c>
      <c r="M20" s="443" t="s">
        <v>1416</v>
      </c>
      <c r="N20" s="444" t="s">
        <v>2974</v>
      </c>
      <c r="O20" s="443" t="s">
        <v>2846</v>
      </c>
      <c r="P20" s="421"/>
      <c r="Q20" s="484" t="s">
        <v>3171</v>
      </c>
    </row>
    <row r="21" spans="1:18" ht="24.95" customHeight="1" x14ac:dyDescent="0.25">
      <c r="A21" s="448">
        <v>43209</v>
      </c>
      <c r="B21" s="451" t="s">
        <v>2678</v>
      </c>
      <c r="C21" s="455" t="s">
        <v>40</v>
      </c>
      <c r="D21" s="124" t="s">
        <v>701</v>
      </c>
      <c r="E21" s="124" t="s">
        <v>2679</v>
      </c>
      <c r="F21" s="216">
        <v>43048</v>
      </c>
      <c r="G21" s="126" t="s">
        <v>3112</v>
      </c>
      <c r="H21" s="374" t="s">
        <v>3114</v>
      </c>
      <c r="I21" s="106" t="s">
        <v>3113</v>
      </c>
      <c r="J21" s="464" t="s">
        <v>3115</v>
      </c>
      <c r="K21" s="467">
        <v>99</v>
      </c>
      <c r="L21" s="443" t="s">
        <v>49</v>
      </c>
      <c r="M21" s="443" t="s">
        <v>1431</v>
      </c>
      <c r="N21" s="444" t="s">
        <v>1493</v>
      </c>
      <c r="O21" s="443" t="s">
        <v>2648</v>
      </c>
      <c r="P21" s="421"/>
      <c r="Q21" s="484" t="s">
        <v>3171</v>
      </c>
    </row>
    <row r="22" spans="1:18" ht="24.95" customHeight="1" x14ac:dyDescent="0.25">
      <c r="A22" s="448">
        <v>43209</v>
      </c>
      <c r="B22" s="451" t="s">
        <v>3075</v>
      </c>
      <c r="C22" s="458" t="s">
        <v>40</v>
      </c>
      <c r="D22" s="293" t="s">
        <v>2957</v>
      </c>
      <c r="E22" s="124" t="s">
        <v>3069</v>
      </c>
      <c r="F22" s="260">
        <v>43199</v>
      </c>
      <c r="G22" s="126">
        <v>348.27</v>
      </c>
      <c r="H22" s="374">
        <v>9</v>
      </c>
      <c r="I22" s="106">
        <v>2.5099999999999998</v>
      </c>
      <c r="J22" s="464">
        <f t="shared" ref="J22:J31" si="1">(I22*K22/100)/(H22*G22)*1000</f>
        <v>0.80078355554279401</v>
      </c>
      <c r="K22" s="467">
        <v>100</v>
      </c>
      <c r="L22" s="443" t="s">
        <v>49</v>
      </c>
      <c r="M22" s="443" t="s">
        <v>1431</v>
      </c>
      <c r="N22" s="444" t="s">
        <v>3072</v>
      </c>
      <c r="O22" s="443" t="s">
        <v>2648</v>
      </c>
      <c r="P22" s="443"/>
      <c r="Q22" s="484" t="s">
        <v>3171</v>
      </c>
    </row>
    <row r="23" spans="1:18" ht="24.95" customHeight="1" x14ac:dyDescent="0.25">
      <c r="A23" s="448">
        <v>43210</v>
      </c>
      <c r="B23" s="209" t="s">
        <v>3006</v>
      </c>
      <c r="C23" s="455" t="s">
        <v>40</v>
      </c>
      <c r="D23" s="293" t="s">
        <v>230</v>
      </c>
      <c r="E23" s="103" t="s">
        <v>2997</v>
      </c>
      <c r="F23" s="216">
        <v>43179</v>
      </c>
      <c r="G23" s="126">
        <v>428.57</v>
      </c>
      <c r="H23" s="104">
        <v>3</v>
      </c>
      <c r="I23" s="106">
        <v>5.12</v>
      </c>
      <c r="J23" s="464">
        <f t="shared" si="1"/>
        <v>3.9822354963405431</v>
      </c>
      <c r="K23" s="467">
        <v>100</v>
      </c>
      <c r="L23" s="443" t="s">
        <v>212</v>
      </c>
      <c r="M23" s="443" t="s">
        <v>1431</v>
      </c>
      <c r="N23" s="444" t="s">
        <v>3007</v>
      </c>
      <c r="O23" s="443" t="s">
        <v>2648</v>
      </c>
      <c r="P23" s="443"/>
      <c r="Q23" s="484" t="s">
        <v>3171</v>
      </c>
    </row>
    <row r="24" spans="1:18" ht="24.95" customHeight="1" x14ac:dyDescent="0.25">
      <c r="A24" s="448">
        <v>43213</v>
      </c>
      <c r="B24" s="209" t="s">
        <v>3104</v>
      </c>
      <c r="C24" s="455" t="s">
        <v>1610</v>
      </c>
      <c r="D24" s="103" t="s">
        <v>230</v>
      </c>
      <c r="E24" s="124" t="s">
        <v>2612</v>
      </c>
      <c r="F24" s="216">
        <v>43206</v>
      </c>
      <c r="G24" s="126">
        <v>353.83</v>
      </c>
      <c r="H24" s="104">
        <v>10</v>
      </c>
      <c r="I24" s="106">
        <v>1.21</v>
      </c>
      <c r="J24" s="464">
        <f t="shared" si="1"/>
        <v>0.34197213351044287</v>
      </c>
      <c r="K24" s="467">
        <v>100</v>
      </c>
      <c r="L24" s="443" t="s">
        <v>212</v>
      </c>
      <c r="M24" s="443" t="s">
        <v>1613</v>
      </c>
      <c r="N24" s="444" t="s">
        <v>3102</v>
      </c>
      <c r="O24" s="443" t="s">
        <v>2648</v>
      </c>
      <c r="P24" s="288"/>
      <c r="Q24" s="484" t="s">
        <v>3171</v>
      </c>
      <c r="R24" s="456"/>
    </row>
    <row r="25" spans="1:18" ht="24.95" customHeight="1" x14ac:dyDescent="0.25">
      <c r="A25" s="448">
        <v>43214</v>
      </c>
      <c r="B25" s="209" t="s">
        <v>3006</v>
      </c>
      <c r="C25" s="455" t="s">
        <v>40</v>
      </c>
      <c r="D25" s="293" t="s">
        <v>230</v>
      </c>
      <c r="E25" s="103" t="s">
        <v>2997</v>
      </c>
      <c r="F25" s="216">
        <v>43179</v>
      </c>
      <c r="G25" s="126">
        <v>428.57</v>
      </c>
      <c r="H25" s="104">
        <v>3</v>
      </c>
      <c r="I25" s="106">
        <v>3.35</v>
      </c>
      <c r="J25" s="464">
        <f t="shared" si="1"/>
        <v>2.6055642407696915</v>
      </c>
      <c r="K25" s="467">
        <v>100</v>
      </c>
      <c r="L25" s="443" t="s">
        <v>212</v>
      </c>
      <c r="M25" s="443" t="s">
        <v>1416</v>
      </c>
      <c r="N25" s="444" t="s">
        <v>3007</v>
      </c>
      <c r="O25" s="443" t="s">
        <v>2648</v>
      </c>
      <c r="P25" s="443" t="s">
        <v>3123</v>
      </c>
      <c r="Q25" s="484" t="s">
        <v>3171</v>
      </c>
    </row>
    <row r="26" spans="1:18" ht="24.95" customHeight="1" x14ac:dyDescent="0.25">
      <c r="A26" s="448">
        <v>43214</v>
      </c>
      <c r="B26" s="209" t="s">
        <v>3124</v>
      </c>
      <c r="C26" s="455" t="s">
        <v>1610</v>
      </c>
      <c r="D26" s="103" t="s">
        <v>230</v>
      </c>
      <c r="E26" s="103" t="s">
        <v>3117</v>
      </c>
      <c r="F26" s="216">
        <v>43214</v>
      </c>
      <c r="G26" s="104">
        <v>418.7</v>
      </c>
      <c r="H26" s="104">
        <v>10</v>
      </c>
      <c r="I26" s="106">
        <v>2.5099999999999998</v>
      </c>
      <c r="J26" s="464">
        <f t="shared" si="1"/>
        <v>0.59947456412705991</v>
      </c>
      <c r="K26" s="467">
        <v>100</v>
      </c>
      <c r="L26" s="443" t="s">
        <v>212</v>
      </c>
      <c r="M26" s="443" t="s">
        <v>2121</v>
      </c>
      <c r="N26" s="444" t="s">
        <v>3111</v>
      </c>
      <c r="O26" s="288" t="s">
        <v>2648</v>
      </c>
      <c r="P26" s="288" t="s">
        <v>3127</v>
      </c>
      <c r="Q26" s="484" t="s">
        <v>3171</v>
      </c>
    </row>
    <row r="27" spans="1:18" ht="24.95" customHeight="1" x14ac:dyDescent="0.25">
      <c r="A27" s="448">
        <v>43216</v>
      </c>
      <c r="B27" s="209" t="s">
        <v>3125</v>
      </c>
      <c r="C27" s="455" t="s">
        <v>3126</v>
      </c>
      <c r="D27" s="103" t="s">
        <v>701</v>
      </c>
      <c r="E27" s="124" t="s">
        <v>2636</v>
      </c>
      <c r="F27" s="216">
        <v>43216</v>
      </c>
      <c r="G27" s="104">
        <v>386.88</v>
      </c>
      <c r="H27" s="104">
        <v>10</v>
      </c>
      <c r="I27" s="106">
        <v>44.1</v>
      </c>
      <c r="J27" s="464">
        <f t="shared" si="1"/>
        <v>11.398883374689825</v>
      </c>
      <c r="K27" s="467">
        <v>100</v>
      </c>
      <c r="L27" s="443" t="s">
        <v>49</v>
      </c>
      <c r="M27" s="443" t="s">
        <v>1613</v>
      </c>
      <c r="N27" s="444" t="s">
        <v>1493</v>
      </c>
      <c r="O27" s="443" t="s">
        <v>2846</v>
      </c>
      <c r="P27" s="443"/>
      <c r="Q27" s="484" t="s">
        <v>3171</v>
      </c>
    </row>
    <row r="28" spans="1:18" ht="24.95" customHeight="1" x14ac:dyDescent="0.25">
      <c r="A28" s="448">
        <v>43216</v>
      </c>
      <c r="B28" s="209" t="s">
        <v>3128</v>
      </c>
      <c r="C28" s="455" t="s">
        <v>40</v>
      </c>
      <c r="D28" s="103" t="s">
        <v>1041</v>
      </c>
      <c r="E28" s="124" t="s">
        <v>2190</v>
      </c>
      <c r="F28" s="260">
        <v>42839</v>
      </c>
      <c r="G28" s="126">
        <v>324.85000000000002</v>
      </c>
      <c r="H28" s="104">
        <v>1</v>
      </c>
      <c r="I28" s="106">
        <v>2.23</v>
      </c>
      <c r="J28" s="464">
        <f t="shared" si="1"/>
        <v>6.8647067877481911</v>
      </c>
      <c r="K28" s="467">
        <v>100</v>
      </c>
      <c r="L28" s="443" t="s">
        <v>49</v>
      </c>
      <c r="M28" s="443" t="s">
        <v>1463</v>
      </c>
      <c r="N28" s="444" t="s">
        <v>3034</v>
      </c>
      <c r="O28" s="443" t="s">
        <v>2648</v>
      </c>
      <c r="P28" s="443"/>
      <c r="Q28" s="484" t="s">
        <v>3171</v>
      </c>
    </row>
    <row r="29" spans="1:18" ht="24.95" customHeight="1" x14ac:dyDescent="0.25">
      <c r="A29" s="448">
        <v>43217</v>
      </c>
      <c r="B29" s="209" t="s">
        <v>3130</v>
      </c>
      <c r="C29" s="455" t="s">
        <v>40</v>
      </c>
      <c r="D29" s="103" t="s">
        <v>230</v>
      </c>
      <c r="E29" s="124" t="s">
        <v>2612</v>
      </c>
      <c r="F29" s="527">
        <v>43069</v>
      </c>
      <c r="G29" s="104">
        <v>353.83</v>
      </c>
      <c r="H29" s="104">
        <v>5</v>
      </c>
      <c r="I29" s="106">
        <v>2.56</v>
      </c>
      <c r="J29" s="464">
        <f t="shared" si="1"/>
        <v>1.4470225814656759</v>
      </c>
      <c r="K29" s="467">
        <v>100</v>
      </c>
      <c r="L29" s="443" t="s">
        <v>212</v>
      </c>
      <c r="M29" s="443" t="s">
        <v>1463</v>
      </c>
      <c r="N29" s="444" t="s">
        <v>3131</v>
      </c>
      <c r="O29" s="443" t="s">
        <v>2648</v>
      </c>
      <c r="P29" s="443"/>
      <c r="Q29" s="484" t="s">
        <v>3171</v>
      </c>
    </row>
    <row r="30" spans="1:18" ht="24.95" customHeight="1" x14ac:dyDescent="0.25">
      <c r="A30" s="448">
        <v>43217</v>
      </c>
      <c r="B30" s="209" t="s">
        <v>3132</v>
      </c>
      <c r="C30" s="455" t="s">
        <v>1610</v>
      </c>
      <c r="D30" s="103" t="s">
        <v>701</v>
      </c>
      <c r="E30" s="124" t="s">
        <v>860</v>
      </c>
      <c r="F30" s="216">
        <v>43217</v>
      </c>
      <c r="G30" s="493">
        <v>336.28</v>
      </c>
      <c r="H30" s="104">
        <v>20</v>
      </c>
      <c r="I30" s="106">
        <v>50.06</v>
      </c>
      <c r="J30" s="464">
        <f t="shared" si="1"/>
        <v>7.3687700725585836</v>
      </c>
      <c r="K30" s="468">
        <v>99</v>
      </c>
      <c r="L30" s="443" t="s">
        <v>212</v>
      </c>
      <c r="M30" s="443" t="s">
        <v>1756</v>
      </c>
      <c r="N30" s="444" t="s">
        <v>1034</v>
      </c>
      <c r="O30" s="443" t="s">
        <v>2846</v>
      </c>
      <c r="P30" s="443"/>
      <c r="Q30" s="484" t="s">
        <v>3171</v>
      </c>
    </row>
    <row r="31" spans="1:18" ht="24.95" customHeight="1" x14ac:dyDescent="0.25">
      <c r="A31" s="448">
        <v>43220</v>
      </c>
      <c r="B31" s="209" t="s">
        <v>3137</v>
      </c>
      <c r="C31" s="455" t="s">
        <v>1610</v>
      </c>
      <c r="D31" s="103" t="s">
        <v>230</v>
      </c>
      <c r="E31" s="103" t="s">
        <v>3116</v>
      </c>
      <c r="F31" s="216">
        <v>43220</v>
      </c>
      <c r="G31" s="104">
        <v>430.59</v>
      </c>
      <c r="H31" s="104">
        <v>10</v>
      </c>
      <c r="I31" s="106">
        <v>10</v>
      </c>
      <c r="J31" s="464">
        <f t="shared" si="1"/>
        <v>2.3223948535730048</v>
      </c>
      <c r="K31" s="467">
        <v>100</v>
      </c>
      <c r="L31" s="443" t="s">
        <v>212</v>
      </c>
      <c r="M31" s="443" t="s">
        <v>2262</v>
      </c>
      <c r="N31" s="444" t="s">
        <v>3111</v>
      </c>
      <c r="O31" s="443" t="s">
        <v>2846</v>
      </c>
      <c r="P31" s="288" t="s">
        <v>3138</v>
      </c>
      <c r="Q31" s="484" t="s">
        <v>3171</v>
      </c>
    </row>
    <row r="32" spans="1:18" ht="24.95" customHeight="1" x14ac:dyDescent="0.25">
      <c r="A32" s="448"/>
      <c r="B32" s="209"/>
      <c r="C32" s="455"/>
      <c r="D32" s="103"/>
      <c r="E32" s="103"/>
      <c r="F32" s="216"/>
      <c r="G32" s="126"/>
      <c r="H32" s="104"/>
      <c r="I32" s="106"/>
      <c r="J32" s="464" t="e">
        <f t="shared" ref="J32" si="2">(I32*K32/100)/(H32*G32)*1000</f>
        <v>#DIV/0!</v>
      </c>
      <c r="K32" s="467"/>
      <c r="L32" s="443"/>
      <c r="M32" s="443"/>
      <c r="N32" s="444"/>
      <c r="O32" s="443"/>
      <c r="P32" s="443"/>
      <c r="Q32" s="484"/>
    </row>
    <row r="33" spans="1:17" ht="24.95" customHeight="1" x14ac:dyDescent="0.25">
      <c r="A33" s="448"/>
      <c r="B33" s="209"/>
      <c r="C33" s="455"/>
      <c r="D33" s="103"/>
      <c r="E33" s="103"/>
      <c r="F33" s="781" t="s">
        <v>3173</v>
      </c>
      <c r="G33" s="782"/>
      <c r="H33" s="782"/>
      <c r="I33" s="782"/>
      <c r="J33" s="782"/>
      <c r="K33" s="782"/>
      <c r="L33" s="782"/>
      <c r="M33" s="783"/>
      <c r="N33" s="444"/>
      <c r="O33" s="443"/>
      <c r="Q33" s="484"/>
    </row>
    <row r="34" spans="1:17" ht="24.95" customHeight="1" x14ac:dyDescent="0.25">
      <c r="A34" s="448"/>
      <c r="B34" s="209"/>
      <c r="C34" s="455"/>
      <c r="D34" s="103"/>
      <c r="E34" s="103"/>
      <c r="F34" s="216"/>
      <c r="G34" s="126"/>
      <c r="H34" s="104"/>
      <c r="I34" s="106"/>
      <c r="J34" s="464" t="e">
        <f t="shared" ref="J34:J68" si="3">(I34*K34/100)/(H34*G34)*1000</f>
        <v>#DIV/0!</v>
      </c>
      <c r="K34" s="467"/>
      <c r="L34" s="443"/>
      <c r="M34" s="443"/>
      <c r="N34" s="444"/>
      <c r="O34" s="443"/>
      <c r="P34" s="443"/>
      <c r="Q34" s="484"/>
    </row>
    <row r="35" spans="1:17" ht="24.95" customHeight="1" x14ac:dyDescent="0.25">
      <c r="A35" s="448"/>
      <c r="B35" s="209"/>
      <c r="C35" s="455"/>
      <c r="D35" s="103"/>
      <c r="E35" s="124"/>
      <c r="F35" s="260"/>
      <c r="G35" s="126"/>
      <c r="H35" s="104"/>
      <c r="I35" s="106"/>
      <c r="J35" s="464" t="e">
        <f t="shared" si="3"/>
        <v>#DIV/0!</v>
      </c>
      <c r="K35" s="467"/>
      <c r="L35" s="443"/>
      <c r="M35" s="443"/>
      <c r="N35" s="444"/>
      <c r="O35" s="443"/>
      <c r="P35" s="443"/>
      <c r="Q35" s="218"/>
    </row>
    <row r="36" spans="1:17" ht="24.95" customHeight="1" x14ac:dyDescent="0.25">
      <c r="A36" s="448"/>
      <c r="B36" s="209"/>
      <c r="C36" s="455"/>
      <c r="D36" s="103"/>
      <c r="E36" s="103"/>
      <c r="F36" s="260"/>
      <c r="G36" s="104"/>
      <c r="H36" s="104"/>
      <c r="I36" s="106"/>
      <c r="J36" s="464" t="e">
        <f t="shared" si="3"/>
        <v>#DIV/0!</v>
      </c>
      <c r="K36" s="467"/>
      <c r="L36" s="443"/>
      <c r="M36" s="443"/>
      <c r="N36" s="444"/>
      <c r="O36" s="443"/>
      <c r="P36" s="443"/>
      <c r="Q36" s="218"/>
    </row>
    <row r="37" spans="1:17" ht="24.95" customHeight="1" x14ac:dyDescent="0.25">
      <c r="A37" s="448"/>
      <c r="B37" s="209"/>
      <c r="C37" s="455"/>
      <c r="D37" s="124"/>
      <c r="E37" s="124"/>
      <c r="F37" s="216"/>
      <c r="G37" s="126"/>
      <c r="H37" s="374"/>
      <c r="I37" s="375"/>
      <c r="J37" s="464" t="e">
        <f t="shared" si="3"/>
        <v>#DIV/0!</v>
      </c>
      <c r="K37" s="468"/>
      <c r="L37" s="443"/>
      <c r="M37" s="443"/>
      <c r="N37" s="444"/>
      <c r="O37" s="443"/>
      <c r="P37" s="443"/>
      <c r="Q37" s="218"/>
    </row>
    <row r="38" spans="1:17" ht="24.95" customHeight="1" x14ac:dyDescent="0.25">
      <c r="A38" s="448"/>
      <c r="B38" s="209"/>
      <c r="C38" s="455"/>
      <c r="D38" s="124"/>
      <c r="E38" s="124"/>
      <c r="F38" s="216"/>
      <c r="G38" s="126"/>
      <c r="H38" s="104"/>
      <c r="I38" s="106"/>
      <c r="J38" s="464" t="e">
        <f t="shared" si="3"/>
        <v>#DIV/0!</v>
      </c>
      <c r="K38" s="467"/>
      <c r="L38" s="443"/>
      <c r="M38" s="443"/>
      <c r="N38" s="444"/>
      <c r="O38" s="443"/>
      <c r="P38" s="443"/>
      <c r="Q38" s="218"/>
    </row>
    <row r="39" spans="1:17" ht="24.95" customHeight="1" x14ac:dyDescent="0.25">
      <c r="A39" s="448"/>
      <c r="B39" s="209"/>
      <c r="C39" s="455"/>
      <c r="D39" s="124"/>
      <c r="E39" s="124"/>
      <c r="F39" s="216"/>
      <c r="G39" s="104"/>
      <c r="H39" s="104"/>
      <c r="I39" s="375"/>
      <c r="J39" s="464" t="e">
        <f t="shared" si="3"/>
        <v>#DIV/0!</v>
      </c>
      <c r="K39" s="467"/>
      <c r="L39" s="443"/>
      <c r="M39" s="443"/>
      <c r="N39" s="444"/>
      <c r="O39" s="443"/>
      <c r="P39" s="443"/>
      <c r="Q39" s="218"/>
    </row>
    <row r="40" spans="1:17" ht="24.95" customHeight="1" x14ac:dyDescent="0.25">
      <c r="A40" s="448"/>
      <c r="B40" s="209"/>
      <c r="C40" s="455"/>
      <c r="D40" s="124"/>
      <c r="E40" s="124"/>
      <c r="F40" s="216"/>
      <c r="G40" s="104"/>
      <c r="H40" s="104"/>
      <c r="I40" s="106"/>
      <c r="J40" s="464" t="e">
        <f t="shared" si="3"/>
        <v>#DIV/0!</v>
      </c>
      <c r="K40" s="467"/>
      <c r="L40" s="443"/>
      <c r="M40" s="443"/>
      <c r="N40" s="444"/>
      <c r="O40" s="443"/>
      <c r="P40" s="443"/>
      <c r="Q40" s="218"/>
    </row>
    <row r="41" spans="1:17" ht="24.95" customHeight="1" x14ac:dyDescent="0.25">
      <c r="A41" s="448"/>
      <c r="B41" s="209"/>
      <c r="C41" s="455"/>
      <c r="D41" s="103"/>
      <c r="E41" s="33"/>
      <c r="F41" s="216"/>
      <c r="G41" s="104"/>
      <c r="H41" s="104"/>
      <c r="I41" s="106"/>
      <c r="J41" s="464" t="e">
        <f t="shared" si="3"/>
        <v>#DIV/0!</v>
      </c>
      <c r="K41" s="467"/>
      <c r="L41" s="443"/>
      <c r="M41" s="443"/>
      <c r="N41" s="444"/>
      <c r="O41" s="443"/>
      <c r="P41" s="443"/>
      <c r="Q41" s="218"/>
    </row>
    <row r="42" spans="1:17" ht="24.95" customHeight="1" x14ac:dyDescent="0.25">
      <c r="A42" s="448"/>
      <c r="B42" s="209"/>
      <c r="C42" s="455"/>
      <c r="D42" s="103"/>
      <c r="E42" s="33"/>
      <c r="F42" s="216"/>
      <c r="G42" s="104"/>
      <c r="H42" s="104"/>
      <c r="I42" s="106"/>
      <c r="J42" s="464" t="e">
        <f t="shared" si="3"/>
        <v>#DIV/0!</v>
      </c>
      <c r="K42" s="467"/>
      <c r="L42" s="443"/>
      <c r="M42" s="443"/>
      <c r="N42" s="444"/>
      <c r="O42" s="443"/>
      <c r="P42" s="443"/>
      <c r="Q42" s="218"/>
    </row>
    <row r="43" spans="1:17" ht="24.95" customHeight="1" x14ac:dyDescent="0.25">
      <c r="A43" s="448"/>
      <c r="B43" s="209"/>
      <c r="C43" s="455"/>
      <c r="D43" s="103"/>
      <c r="E43" s="124"/>
      <c r="F43" s="260"/>
      <c r="G43" s="126"/>
      <c r="H43" s="104"/>
      <c r="I43" s="106"/>
      <c r="J43" s="464" t="e">
        <f t="shared" si="3"/>
        <v>#DIV/0!</v>
      </c>
      <c r="K43" s="467"/>
      <c r="L43" s="443"/>
      <c r="M43" s="443"/>
      <c r="N43" s="444"/>
      <c r="O43" s="443"/>
      <c r="Q43" s="218"/>
    </row>
    <row r="44" spans="1:17" ht="24.95" customHeight="1" x14ac:dyDescent="0.25">
      <c r="A44" s="448"/>
      <c r="B44" s="450"/>
      <c r="C44" s="457"/>
      <c r="D44" s="293"/>
      <c r="E44" s="124"/>
      <c r="F44" s="260"/>
      <c r="G44" s="126"/>
      <c r="H44" s="374"/>
      <c r="I44" s="375"/>
      <c r="J44" s="464" t="e">
        <f t="shared" si="3"/>
        <v>#DIV/0!</v>
      </c>
      <c r="L44" s="443"/>
      <c r="M44" s="218"/>
      <c r="N44" s="444"/>
      <c r="O44" s="443"/>
      <c r="Q44" s="218"/>
    </row>
    <row r="45" spans="1:17" ht="24.95" customHeight="1" x14ac:dyDescent="0.25">
      <c r="A45" s="448"/>
      <c r="B45" s="451"/>
      <c r="C45" s="458"/>
      <c r="D45" s="293"/>
      <c r="E45" s="103"/>
      <c r="F45" s="260"/>
      <c r="G45" s="126"/>
      <c r="H45" s="374"/>
      <c r="I45" s="375"/>
      <c r="J45" s="464" t="e">
        <f t="shared" si="3"/>
        <v>#DIV/0!</v>
      </c>
      <c r="L45" s="443"/>
      <c r="M45" s="218"/>
      <c r="N45" s="444"/>
      <c r="O45" s="443"/>
      <c r="Q45" s="218"/>
    </row>
    <row r="46" spans="1:17" ht="24.95" customHeight="1" x14ac:dyDescent="0.25">
      <c r="A46" s="448"/>
      <c r="B46" s="451"/>
      <c r="C46" s="458"/>
      <c r="D46" s="293"/>
      <c r="E46" s="124"/>
      <c r="F46" s="216"/>
      <c r="G46" s="126"/>
      <c r="H46" s="374"/>
      <c r="I46" s="375"/>
      <c r="J46" s="464" t="e">
        <f t="shared" si="3"/>
        <v>#DIV/0!</v>
      </c>
      <c r="L46" s="443"/>
      <c r="M46" s="218"/>
      <c r="N46" s="444"/>
      <c r="O46" s="443"/>
      <c r="Q46" s="218"/>
    </row>
    <row r="47" spans="1:17" ht="24.95" customHeight="1" x14ac:dyDescent="0.25">
      <c r="A47" s="448"/>
      <c r="B47" s="451"/>
      <c r="C47" s="458"/>
      <c r="D47" s="293"/>
      <c r="E47" s="293"/>
      <c r="F47" s="216"/>
      <c r="G47" s="126"/>
      <c r="H47" s="374"/>
      <c r="I47" s="375"/>
      <c r="J47" s="464" t="e">
        <f t="shared" si="3"/>
        <v>#DIV/0!</v>
      </c>
      <c r="L47" s="443"/>
      <c r="M47" s="218"/>
      <c r="N47" s="376"/>
      <c r="O47" s="443"/>
      <c r="Q47" s="218"/>
    </row>
    <row r="48" spans="1:17" ht="24.95" customHeight="1" x14ac:dyDescent="0.25">
      <c r="A48" s="448"/>
      <c r="B48" s="451"/>
      <c r="C48" s="458"/>
      <c r="D48" s="293"/>
      <c r="E48" s="293"/>
      <c r="F48" s="216"/>
      <c r="G48" s="126"/>
      <c r="H48" s="374"/>
      <c r="I48" s="375"/>
      <c r="J48" s="464" t="e">
        <f t="shared" si="3"/>
        <v>#DIV/0!</v>
      </c>
      <c r="L48" s="443"/>
      <c r="M48" s="218"/>
      <c r="N48" s="376"/>
      <c r="O48" s="443"/>
      <c r="Q48" s="218"/>
    </row>
    <row r="49" spans="1:17" ht="24.95" customHeight="1" x14ac:dyDescent="0.25">
      <c r="A49" s="448"/>
      <c r="B49" s="451"/>
      <c r="C49" s="458"/>
      <c r="D49" s="293"/>
      <c r="E49" s="293"/>
      <c r="F49" s="216"/>
      <c r="G49" s="126"/>
      <c r="H49" s="374"/>
      <c r="I49" s="375"/>
      <c r="J49" s="464" t="e">
        <f t="shared" si="3"/>
        <v>#DIV/0!</v>
      </c>
      <c r="L49" s="443"/>
      <c r="M49" s="218"/>
      <c r="N49" s="376"/>
      <c r="O49" s="443"/>
      <c r="Q49" s="218"/>
    </row>
    <row r="50" spans="1:17" ht="24.95" customHeight="1" x14ac:dyDescent="0.25">
      <c r="A50" s="448"/>
      <c r="B50" s="452"/>
      <c r="C50" s="459"/>
      <c r="D50" s="293"/>
      <c r="E50" s="293"/>
      <c r="F50" s="216"/>
      <c r="G50" s="126"/>
      <c r="H50" s="374"/>
      <c r="I50" s="375"/>
      <c r="J50" s="464" t="e">
        <f t="shared" si="3"/>
        <v>#DIV/0!</v>
      </c>
      <c r="L50" s="443"/>
      <c r="M50" s="218"/>
      <c r="N50" s="376"/>
      <c r="O50" s="443"/>
    </row>
    <row r="51" spans="1:17" ht="24.95" customHeight="1" x14ac:dyDescent="0.25">
      <c r="A51" s="448"/>
      <c r="B51" s="209"/>
      <c r="C51" s="455"/>
      <c r="D51" s="293"/>
      <c r="E51" s="293"/>
      <c r="F51" s="216"/>
      <c r="G51" s="126"/>
      <c r="H51" s="374"/>
      <c r="I51" s="375"/>
      <c r="J51" s="464" t="e">
        <f t="shared" si="3"/>
        <v>#DIV/0!</v>
      </c>
      <c r="L51" s="443"/>
      <c r="M51" s="218"/>
      <c r="N51" s="376"/>
      <c r="O51" s="443"/>
    </row>
    <row r="52" spans="1:17" ht="24.95" customHeight="1" x14ac:dyDescent="0.25">
      <c r="A52" s="448"/>
      <c r="B52" s="209"/>
      <c r="C52" s="455"/>
      <c r="D52" s="124"/>
      <c r="E52" s="124"/>
      <c r="F52" s="216"/>
      <c r="G52" s="126"/>
      <c r="H52" s="374"/>
      <c r="I52" s="375"/>
      <c r="J52" s="464" t="e">
        <f t="shared" si="3"/>
        <v>#DIV/0!</v>
      </c>
      <c r="K52" s="468"/>
      <c r="L52" s="443"/>
      <c r="M52" s="218"/>
      <c r="N52" s="376"/>
      <c r="O52" s="443"/>
    </row>
    <row r="53" spans="1:17" ht="24.95" customHeight="1" x14ac:dyDescent="0.25">
      <c r="A53" s="448"/>
      <c r="B53" s="209"/>
      <c r="C53" s="455"/>
      <c r="D53" s="124"/>
      <c r="E53" s="124"/>
      <c r="F53" s="216"/>
      <c r="G53" s="126"/>
      <c r="H53" s="374"/>
      <c r="I53" s="375"/>
      <c r="J53" s="464" t="e">
        <f t="shared" si="3"/>
        <v>#DIV/0!</v>
      </c>
      <c r="K53" s="468"/>
      <c r="L53" s="443"/>
      <c r="M53" s="218"/>
      <c r="N53" s="376"/>
      <c r="O53" s="443"/>
    </row>
    <row r="54" spans="1:17" ht="24.95" customHeight="1" x14ac:dyDescent="0.25">
      <c r="A54" s="448"/>
      <c r="B54" s="449"/>
      <c r="C54" s="454"/>
      <c r="D54" s="293"/>
      <c r="E54" s="293"/>
      <c r="F54" s="216"/>
      <c r="G54" s="126"/>
      <c r="H54" s="374"/>
      <c r="I54" s="375"/>
      <c r="J54" s="464" t="e">
        <f t="shared" si="3"/>
        <v>#DIV/0!</v>
      </c>
      <c r="L54" s="443"/>
      <c r="M54" s="218"/>
      <c r="N54" s="376"/>
      <c r="O54" s="443"/>
    </row>
    <row r="55" spans="1:17" ht="24.95" customHeight="1" x14ac:dyDescent="0.25">
      <c r="A55" s="448"/>
      <c r="B55" s="449"/>
      <c r="C55" s="454"/>
      <c r="D55" s="293"/>
      <c r="E55" s="293"/>
      <c r="F55" s="216"/>
      <c r="G55" s="126"/>
      <c r="H55" s="374"/>
      <c r="I55" s="375"/>
      <c r="J55" s="464" t="e">
        <f t="shared" si="3"/>
        <v>#DIV/0!</v>
      </c>
      <c r="L55" s="443"/>
      <c r="M55" s="218"/>
      <c r="N55" s="376"/>
      <c r="O55" s="443"/>
    </row>
    <row r="56" spans="1:17" ht="24.95" customHeight="1" x14ac:dyDescent="0.25">
      <c r="A56" s="448"/>
      <c r="B56" s="209"/>
      <c r="C56" s="455"/>
      <c r="D56" s="293"/>
      <c r="E56" s="293"/>
      <c r="F56" s="216"/>
      <c r="G56" s="126"/>
      <c r="H56" s="374"/>
      <c r="I56" s="375"/>
      <c r="J56" s="464" t="e">
        <f t="shared" si="3"/>
        <v>#DIV/0!</v>
      </c>
      <c r="L56" s="443"/>
      <c r="N56" s="376"/>
      <c r="O56" s="443"/>
    </row>
    <row r="57" spans="1:17" ht="24.95" customHeight="1" x14ac:dyDescent="0.25">
      <c r="A57" s="448"/>
      <c r="B57" s="209"/>
      <c r="C57" s="455"/>
      <c r="D57" s="293"/>
      <c r="E57" s="293"/>
      <c r="F57" s="216"/>
      <c r="G57" s="126"/>
      <c r="H57" s="374"/>
      <c r="I57" s="375"/>
      <c r="J57" s="464" t="e">
        <f t="shared" si="3"/>
        <v>#DIV/0!</v>
      </c>
      <c r="L57" s="443"/>
      <c r="N57" s="376"/>
      <c r="O57" s="443"/>
    </row>
    <row r="58" spans="1:17" ht="24.95" customHeight="1" x14ac:dyDescent="0.25">
      <c r="A58" s="448"/>
      <c r="B58" s="209"/>
      <c r="C58" s="455"/>
      <c r="D58" s="293"/>
      <c r="E58" s="293"/>
      <c r="F58" s="216"/>
      <c r="G58" s="126"/>
      <c r="H58" s="374"/>
      <c r="I58" s="375"/>
      <c r="J58" s="464" t="e">
        <f t="shared" si="3"/>
        <v>#DIV/0!</v>
      </c>
      <c r="L58" s="443"/>
      <c r="N58" s="376"/>
      <c r="O58" s="443"/>
    </row>
    <row r="59" spans="1:17" ht="24.95" customHeight="1" x14ac:dyDescent="0.25">
      <c r="A59" s="448"/>
      <c r="B59" s="209"/>
      <c r="C59" s="455"/>
      <c r="D59" s="293"/>
      <c r="E59" s="293"/>
      <c r="F59" s="216"/>
      <c r="G59" s="126"/>
      <c r="H59" s="374"/>
      <c r="I59" s="375"/>
      <c r="J59" s="464" t="e">
        <f t="shared" si="3"/>
        <v>#DIV/0!</v>
      </c>
      <c r="L59" s="443"/>
      <c r="N59" s="376"/>
      <c r="O59" s="443"/>
    </row>
    <row r="60" spans="1:17" ht="24.95" customHeight="1" x14ac:dyDescent="0.25">
      <c r="A60" s="448"/>
      <c r="B60" s="209"/>
      <c r="C60" s="455"/>
      <c r="D60" s="293"/>
      <c r="E60" s="293"/>
      <c r="F60" s="216"/>
      <c r="G60" s="126"/>
      <c r="H60" s="374"/>
      <c r="I60" s="375"/>
      <c r="J60" s="464" t="e">
        <f t="shared" si="3"/>
        <v>#DIV/0!</v>
      </c>
      <c r="L60" s="443"/>
      <c r="N60" s="376"/>
      <c r="O60" s="443"/>
    </row>
    <row r="61" spans="1:17" ht="24.95" customHeight="1" x14ac:dyDescent="0.25">
      <c r="A61" s="448"/>
      <c r="B61" s="209"/>
      <c r="C61" s="455"/>
      <c r="D61" s="293"/>
      <c r="E61" s="293"/>
      <c r="F61" s="216"/>
      <c r="G61" s="126"/>
      <c r="H61" s="374"/>
      <c r="I61" s="375"/>
      <c r="J61" s="464" t="e">
        <f t="shared" si="3"/>
        <v>#DIV/0!</v>
      </c>
      <c r="L61" s="443"/>
      <c r="N61" s="376"/>
      <c r="O61" s="443"/>
    </row>
    <row r="62" spans="1:17" ht="24.95" customHeight="1" x14ac:dyDescent="0.25">
      <c r="A62" s="448"/>
      <c r="B62" s="209"/>
      <c r="C62" s="455"/>
      <c r="D62" s="293"/>
      <c r="E62" s="293"/>
      <c r="F62" s="216"/>
      <c r="G62" s="126"/>
      <c r="H62" s="374"/>
      <c r="I62" s="375"/>
      <c r="J62" s="464" t="e">
        <f t="shared" si="3"/>
        <v>#DIV/0!</v>
      </c>
      <c r="L62" s="443"/>
      <c r="N62" s="376"/>
      <c r="O62" s="443"/>
    </row>
    <row r="63" spans="1:17" ht="24.95" customHeight="1" x14ac:dyDescent="0.25">
      <c r="A63" s="448"/>
      <c r="B63" s="209"/>
      <c r="C63" s="455"/>
      <c r="D63" s="293"/>
      <c r="E63" s="293"/>
      <c r="F63" s="216"/>
      <c r="G63" s="126"/>
      <c r="H63" s="374"/>
      <c r="I63" s="375"/>
      <c r="J63" s="464" t="e">
        <f t="shared" si="3"/>
        <v>#DIV/0!</v>
      </c>
      <c r="L63" s="443"/>
      <c r="N63" s="376"/>
      <c r="O63" s="443"/>
    </row>
    <row r="64" spans="1:17" ht="24.95" customHeight="1" x14ac:dyDescent="0.25">
      <c r="A64" s="448"/>
      <c r="B64" s="209"/>
      <c r="C64" s="455"/>
      <c r="D64" s="293"/>
      <c r="E64" s="293"/>
      <c r="F64" s="216"/>
      <c r="G64" s="126"/>
      <c r="H64" s="374"/>
      <c r="I64" s="375"/>
      <c r="J64" s="464" t="e">
        <f t="shared" si="3"/>
        <v>#DIV/0!</v>
      </c>
      <c r="L64" s="443"/>
      <c r="N64" s="376"/>
      <c r="O64" s="443"/>
    </row>
    <row r="65" spans="1:15" ht="24.95" customHeight="1" x14ac:dyDescent="0.25">
      <c r="A65" s="448"/>
      <c r="B65" s="209"/>
      <c r="C65" s="455"/>
      <c r="D65" s="293"/>
      <c r="E65" s="293"/>
      <c r="F65" s="216"/>
      <c r="G65" s="126"/>
      <c r="H65" s="374"/>
      <c r="I65" s="375"/>
      <c r="J65" s="464" t="e">
        <f t="shared" si="3"/>
        <v>#DIV/0!</v>
      </c>
      <c r="L65" s="443"/>
      <c r="N65" s="376"/>
      <c r="O65" s="443"/>
    </row>
    <row r="66" spans="1:15" ht="24.95" customHeight="1" x14ac:dyDescent="0.25">
      <c r="A66" s="448"/>
      <c r="B66" s="209"/>
      <c r="C66" s="455"/>
      <c r="D66" s="293"/>
      <c r="E66" s="293"/>
      <c r="F66" s="216"/>
      <c r="G66" s="126"/>
      <c r="H66" s="374"/>
      <c r="I66" s="375"/>
      <c r="J66" s="464" t="e">
        <f t="shared" si="3"/>
        <v>#DIV/0!</v>
      </c>
      <c r="L66" s="443"/>
      <c r="N66" s="376"/>
      <c r="O66" s="443"/>
    </row>
    <row r="67" spans="1:15" ht="24.95" customHeight="1" x14ac:dyDescent="0.25">
      <c r="A67" s="448"/>
      <c r="B67" s="209"/>
      <c r="C67" s="455"/>
      <c r="D67" s="293"/>
      <c r="E67" s="293"/>
      <c r="F67" s="216"/>
      <c r="G67" s="126"/>
      <c r="H67" s="374"/>
      <c r="I67" s="375"/>
      <c r="J67" s="464" t="e">
        <f t="shared" si="3"/>
        <v>#DIV/0!</v>
      </c>
      <c r="L67" s="443"/>
      <c r="N67" s="376"/>
      <c r="O67" s="443"/>
    </row>
    <row r="68" spans="1:15" ht="24.95" customHeight="1" x14ac:dyDescent="0.25">
      <c r="A68" s="448"/>
      <c r="B68" s="209"/>
      <c r="C68" s="455"/>
      <c r="D68" s="293"/>
      <c r="E68" s="293"/>
      <c r="F68" s="216"/>
      <c r="G68" s="126"/>
      <c r="H68" s="374"/>
      <c r="I68" s="375"/>
      <c r="J68" s="464" t="e">
        <f t="shared" si="3"/>
        <v>#DIV/0!</v>
      </c>
      <c r="L68" s="443"/>
      <c r="N68" s="376"/>
      <c r="O68" s="443"/>
    </row>
    <row r="69" spans="1:15" ht="24.95" customHeight="1" x14ac:dyDescent="0.25">
      <c r="A69" s="448"/>
      <c r="B69" s="209"/>
      <c r="C69" s="455"/>
      <c r="D69" s="293"/>
      <c r="E69" s="293"/>
      <c r="F69" s="216"/>
      <c r="G69" s="126"/>
      <c r="H69" s="374"/>
      <c r="I69" s="375"/>
      <c r="J69" s="464" t="e">
        <f t="shared" ref="J69:J93" si="4">(I69*K69/100)/(H69*G69)*1000</f>
        <v>#DIV/0!</v>
      </c>
      <c r="L69" s="443"/>
      <c r="N69" s="376"/>
      <c r="O69" s="443"/>
    </row>
    <row r="70" spans="1:15" ht="24.95" customHeight="1" x14ac:dyDescent="0.25">
      <c r="A70" s="448"/>
      <c r="B70" s="209"/>
      <c r="C70" s="455"/>
      <c r="D70" s="293"/>
      <c r="E70" s="293"/>
      <c r="F70" s="216"/>
      <c r="G70" s="126"/>
      <c r="H70" s="374"/>
      <c r="I70" s="375"/>
      <c r="J70" s="464" t="e">
        <f t="shared" si="4"/>
        <v>#DIV/0!</v>
      </c>
      <c r="L70" s="443"/>
      <c r="N70" s="376"/>
      <c r="O70" s="443"/>
    </row>
    <row r="71" spans="1:15" ht="24.95" customHeight="1" x14ac:dyDescent="0.25">
      <c r="A71" s="448"/>
      <c r="B71" s="209"/>
      <c r="C71" s="455"/>
      <c r="D71" s="293"/>
      <c r="E71" s="293"/>
      <c r="F71" s="216"/>
      <c r="G71" s="126"/>
      <c r="H71" s="374"/>
      <c r="I71" s="375"/>
      <c r="J71" s="464" t="e">
        <f t="shared" si="4"/>
        <v>#DIV/0!</v>
      </c>
      <c r="L71" s="443"/>
      <c r="N71" s="376"/>
      <c r="O71" s="443"/>
    </row>
    <row r="72" spans="1:15" ht="24.95" customHeight="1" x14ac:dyDescent="0.25">
      <c r="A72" s="448"/>
      <c r="B72" s="209"/>
      <c r="C72" s="455"/>
      <c r="D72" s="293"/>
      <c r="E72" s="293"/>
      <c r="F72" s="216"/>
      <c r="G72" s="126"/>
      <c r="H72" s="374"/>
      <c r="I72" s="375"/>
      <c r="J72" s="464" t="e">
        <f t="shared" si="4"/>
        <v>#DIV/0!</v>
      </c>
      <c r="L72" s="443"/>
      <c r="N72" s="376"/>
      <c r="O72" s="443"/>
    </row>
    <row r="73" spans="1:15" ht="24.95" customHeight="1" x14ac:dyDescent="0.25">
      <c r="A73" s="448"/>
      <c r="B73" s="209"/>
      <c r="C73" s="455"/>
      <c r="D73" s="293"/>
      <c r="E73" s="293"/>
      <c r="F73" s="216"/>
      <c r="G73" s="126"/>
      <c r="H73" s="374"/>
      <c r="I73" s="375"/>
      <c r="J73" s="464" t="e">
        <f t="shared" si="4"/>
        <v>#DIV/0!</v>
      </c>
      <c r="L73" s="443"/>
      <c r="N73" s="376"/>
      <c r="O73" s="443"/>
    </row>
    <row r="74" spans="1:15" ht="24.95" customHeight="1" x14ac:dyDescent="0.25">
      <c r="A74" s="448"/>
      <c r="B74" s="209"/>
      <c r="C74" s="455"/>
      <c r="D74" s="293"/>
      <c r="E74" s="293"/>
      <c r="F74" s="216"/>
      <c r="G74" s="126"/>
      <c r="H74" s="374"/>
      <c r="I74" s="375"/>
      <c r="J74" s="464" t="e">
        <f t="shared" si="4"/>
        <v>#DIV/0!</v>
      </c>
      <c r="L74" s="443"/>
      <c r="N74" s="376"/>
      <c r="O74" s="443"/>
    </row>
    <row r="75" spans="1:15" ht="24.95" customHeight="1" x14ac:dyDescent="0.25">
      <c r="A75" s="448"/>
      <c r="B75" s="209"/>
      <c r="C75" s="455"/>
      <c r="D75" s="293"/>
      <c r="E75" s="293"/>
      <c r="F75" s="216"/>
      <c r="G75" s="126"/>
      <c r="H75" s="374"/>
      <c r="I75" s="375"/>
      <c r="J75" s="464" t="e">
        <f t="shared" si="4"/>
        <v>#DIV/0!</v>
      </c>
      <c r="L75" s="443"/>
      <c r="N75" s="376"/>
      <c r="O75" s="443"/>
    </row>
    <row r="76" spans="1:15" ht="24.95" customHeight="1" x14ac:dyDescent="0.25">
      <c r="A76" s="448"/>
      <c r="B76" s="209"/>
      <c r="C76" s="455"/>
      <c r="D76" s="293"/>
      <c r="E76" s="293"/>
      <c r="F76" s="216"/>
      <c r="G76" s="126"/>
      <c r="H76" s="374"/>
      <c r="I76" s="375"/>
      <c r="J76" s="464" t="e">
        <f t="shared" si="4"/>
        <v>#DIV/0!</v>
      </c>
      <c r="L76" s="443"/>
      <c r="N76" s="376"/>
      <c r="O76" s="443"/>
    </row>
    <row r="77" spans="1:15" ht="24.95" customHeight="1" x14ac:dyDescent="0.25">
      <c r="A77" s="448"/>
      <c r="B77" s="209"/>
      <c r="C77" s="455"/>
      <c r="D77" s="293"/>
      <c r="E77" s="293"/>
      <c r="F77" s="216"/>
      <c r="G77" s="126"/>
      <c r="H77" s="374"/>
      <c r="I77" s="375"/>
      <c r="J77" s="464" t="e">
        <f t="shared" si="4"/>
        <v>#DIV/0!</v>
      </c>
      <c r="L77" s="443"/>
      <c r="N77" s="376"/>
      <c r="O77" s="443"/>
    </row>
    <row r="78" spans="1:15" ht="24.95" customHeight="1" x14ac:dyDescent="0.25">
      <c r="A78" s="448"/>
      <c r="B78" s="209"/>
      <c r="C78" s="455"/>
      <c r="D78" s="293"/>
      <c r="E78" s="293"/>
      <c r="F78" s="216"/>
      <c r="G78" s="126"/>
      <c r="H78" s="374"/>
      <c r="I78" s="375"/>
      <c r="J78" s="464" t="e">
        <f t="shared" si="4"/>
        <v>#DIV/0!</v>
      </c>
      <c r="L78" s="443"/>
      <c r="N78" s="376"/>
      <c r="O78" s="443"/>
    </row>
    <row r="79" spans="1:15" ht="24.95" customHeight="1" x14ac:dyDescent="0.25">
      <c r="A79" s="448"/>
      <c r="B79" s="209"/>
      <c r="C79" s="455"/>
      <c r="D79" s="293"/>
      <c r="E79" s="293"/>
      <c r="F79" s="216"/>
      <c r="G79" s="126"/>
      <c r="H79" s="374"/>
      <c r="I79" s="375"/>
      <c r="J79" s="464" t="e">
        <f t="shared" si="4"/>
        <v>#DIV/0!</v>
      </c>
      <c r="L79" s="443"/>
      <c r="N79" s="376"/>
      <c r="O79" s="443"/>
    </row>
    <row r="80" spans="1:15" ht="24.95" customHeight="1" x14ac:dyDescent="0.25">
      <c r="A80" s="448"/>
      <c r="B80" s="209"/>
      <c r="C80" s="455"/>
      <c r="D80" s="293"/>
      <c r="E80" s="293"/>
      <c r="F80" s="216"/>
      <c r="G80" s="126"/>
      <c r="H80" s="374"/>
      <c r="I80" s="375"/>
      <c r="J80" s="464" t="e">
        <f t="shared" si="4"/>
        <v>#DIV/0!</v>
      </c>
      <c r="L80" s="443"/>
      <c r="N80" s="376"/>
      <c r="O80" s="443"/>
    </row>
    <row r="81" spans="1:15" ht="24.95" customHeight="1" x14ac:dyDescent="0.25">
      <c r="A81" s="448"/>
      <c r="B81" s="209"/>
      <c r="C81" s="455"/>
      <c r="D81" s="293"/>
      <c r="E81" s="293"/>
      <c r="F81" s="216"/>
      <c r="G81" s="126"/>
      <c r="H81" s="374"/>
      <c r="I81" s="375"/>
      <c r="J81" s="464" t="e">
        <f t="shared" si="4"/>
        <v>#DIV/0!</v>
      </c>
      <c r="L81" s="443"/>
      <c r="N81" s="376"/>
      <c r="O81" s="443"/>
    </row>
    <row r="82" spans="1:15" ht="24.95" customHeight="1" x14ac:dyDescent="0.25">
      <c r="A82" s="448"/>
      <c r="B82" s="209"/>
      <c r="C82" s="455"/>
      <c r="D82" s="293"/>
      <c r="E82" s="293"/>
      <c r="F82" s="216"/>
      <c r="G82" s="126"/>
      <c r="H82" s="374"/>
      <c r="I82" s="375"/>
      <c r="J82" s="464" t="e">
        <f t="shared" si="4"/>
        <v>#DIV/0!</v>
      </c>
      <c r="L82" s="443"/>
      <c r="N82" s="376"/>
      <c r="O82" s="443"/>
    </row>
    <row r="83" spans="1:15" ht="24.95" customHeight="1" x14ac:dyDescent="0.25">
      <c r="A83" s="448"/>
      <c r="B83" s="209"/>
      <c r="C83" s="455"/>
      <c r="D83" s="293"/>
      <c r="E83" s="293"/>
      <c r="F83" s="216"/>
      <c r="G83" s="126"/>
      <c r="H83" s="374"/>
      <c r="I83" s="375"/>
      <c r="J83" s="464" t="e">
        <f t="shared" si="4"/>
        <v>#DIV/0!</v>
      </c>
      <c r="L83" s="443"/>
      <c r="N83" s="376"/>
      <c r="O83" s="443"/>
    </row>
    <row r="84" spans="1:15" ht="24.95" customHeight="1" x14ac:dyDescent="0.25">
      <c r="A84" s="448"/>
      <c r="B84" s="209"/>
      <c r="C84" s="455"/>
      <c r="D84" s="293"/>
      <c r="E84" s="293"/>
      <c r="F84" s="216"/>
      <c r="G84" s="126"/>
      <c r="H84" s="374"/>
      <c r="I84" s="375"/>
      <c r="J84" s="464" t="e">
        <f t="shared" si="4"/>
        <v>#DIV/0!</v>
      </c>
      <c r="L84" s="443"/>
      <c r="N84" s="376"/>
      <c r="O84" s="443"/>
    </row>
    <row r="85" spans="1:15" ht="24.95" customHeight="1" x14ac:dyDescent="0.25">
      <c r="A85" s="448"/>
      <c r="B85" s="209"/>
      <c r="C85" s="455"/>
      <c r="D85" s="293"/>
      <c r="E85" s="293"/>
      <c r="F85" s="216"/>
      <c r="G85" s="126"/>
      <c r="H85" s="374"/>
      <c r="I85" s="375"/>
      <c r="J85" s="464" t="e">
        <f t="shared" si="4"/>
        <v>#DIV/0!</v>
      </c>
      <c r="L85" s="443"/>
      <c r="N85" s="376"/>
      <c r="O85" s="443"/>
    </row>
    <row r="86" spans="1:15" ht="24.95" customHeight="1" x14ac:dyDescent="0.25">
      <c r="A86" s="448"/>
      <c r="B86" s="209"/>
      <c r="C86" s="455"/>
      <c r="D86" s="293"/>
      <c r="E86" s="293"/>
      <c r="F86" s="216"/>
      <c r="G86" s="126"/>
      <c r="H86" s="374"/>
      <c r="I86" s="375"/>
      <c r="J86" s="464" t="e">
        <f t="shared" si="4"/>
        <v>#DIV/0!</v>
      </c>
      <c r="L86" s="443"/>
      <c r="N86" s="376"/>
      <c r="O86" s="443"/>
    </row>
    <row r="87" spans="1:15" ht="24.95" customHeight="1" x14ac:dyDescent="0.25">
      <c r="A87" s="448"/>
      <c r="B87" s="209"/>
      <c r="C87" s="455"/>
      <c r="D87" s="293"/>
      <c r="E87" s="293"/>
      <c r="F87" s="216"/>
      <c r="G87" s="126"/>
      <c r="H87" s="374"/>
      <c r="I87" s="375"/>
      <c r="J87" s="464" t="e">
        <f t="shared" si="4"/>
        <v>#DIV/0!</v>
      </c>
      <c r="L87" s="443"/>
      <c r="N87" s="376"/>
      <c r="O87" s="443"/>
    </row>
    <row r="88" spans="1:15" ht="24.95" customHeight="1" x14ac:dyDescent="0.25">
      <c r="A88" s="448"/>
      <c r="B88" s="209"/>
      <c r="C88" s="455"/>
      <c r="D88" s="293"/>
      <c r="E88" s="293"/>
      <c r="F88" s="216"/>
      <c r="G88" s="126"/>
      <c r="H88" s="374"/>
      <c r="I88" s="375"/>
      <c r="J88" s="464" t="e">
        <f t="shared" si="4"/>
        <v>#DIV/0!</v>
      </c>
      <c r="L88" s="443"/>
      <c r="N88" s="376"/>
      <c r="O88" s="443"/>
    </row>
    <row r="89" spans="1:15" ht="24.95" customHeight="1" x14ac:dyDescent="0.25">
      <c r="A89" s="448"/>
      <c r="B89" s="209"/>
      <c r="C89" s="455"/>
      <c r="D89" s="293"/>
      <c r="E89" s="293"/>
      <c r="F89" s="216"/>
      <c r="G89" s="126"/>
      <c r="H89" s="374"/>
      <c r="I89" s="375"/>
      <c r="J89" s="464" t="e">
        <f t="shared" si="4"/>
        <v>#DIV/0!</v>
      </c>
      <c r="L89" s="443"/>
      <c r="N89" s="376"/>
      <c r="O89" s="443"/>
    </row>
    <row r="90" spans="1:15" ht="24.95" customHeight="1" x14ac:dyDescent="0.25">
      <c r="A90" s="448"/>
      <c r="B90" s="209"/>
      <c r="C90" s="455"/>
      <c r="D90" s="293"/>
      <c r="E90" s="293"/>
      <c r="F90" s="216"/>
      <c r="G90" s="126"/>
      <c r="H90" s="374"/>
      <c r="I90" s="375"/>
      <c r="J90" s="464" t="e">
        <f t="shared" si="4"/>
        <v>#DIV/0!</v>
      </c>
      <c r="L90" s="443"/>
      <c r="N90" s="376"/>
      <c r="O90" s="443"/>
    </row>
    <row r="91" spans="1:15" ht="24.95" customHeight="1" x14ac:dyDescent="0.25">
      <c r="A91" s="448"/>
      <c r="B91" s="209"/>
      <c r="C91" s="455"/>
      <c r="D91" s="293"/>
      <c r="E91" s="293"/>
      <c r="F91" s="216"/>
      <c r="G91" s="126"/>
      <c r="H91" s="374"/>
      <c r="I91" s="375"/>
      <c r="J91" s="464" t="e">
        <f t="shared" si="4"/>
        <v>#DIV/0!</v>
      </c>
      <c r="L91" s="443"/>
      <c r="N91" s="376"/>
      <c r="O91" s="443"/>
    </row>
    <row r="92" spans="1:15" ht="24.95" customHeight="1" x14ac:dyDescent="0.25">
      <c r="A92" s="448"/>
      <c r="B92" s="209"/>
      <c r="C92" s="455"/>
      <c r="D92" s="293"/>
      <c r="E92" s="293"/>
      <c r="F92" s="216"/>
      <c r="G92" s="126"/>
      <c r="H92" s="374"/>
      <c r="I92" s="375"/>
      <c r="J92" s="464" t="e">
        <f t="shared" si="4"/>
        <v>#DIV/0!</v>
      </c>
      <c r="L92" s="443"/>
      <c r="N92" s="376"/>
      <c r="O92" s="443"/>
    </row>
    <row r="93" spans="1:15" ht="24.95" customHeight="1" x14ac:dyDescent="0.25">
      <c r="A93" s="448"/>
      <c r="B93" s="209"/>
      <c r="C93" s="455"/>
      <c r="D93" s="293"/>
      <c r="E93" s="293"/>
      <c r="F93" s="216"/>
      <c r="G93" s="126"/>
      <c r="H93" s="374"/>
      <c r="I93" s="375"/>
      <c r="J93" s="464" t="e">
        <f t="shared" si="4"/>
        <v>#DIV/0!</v>
      </c>
      <c r="L93" s="443"/>
      <c r="N93" s="376"/>
      <c r="O93" s="443"/>
    </row>
  </sheetData>
  <mergeCells count="3">
    <mergeCell ref="A1:O1"/>
    <mergeCell ref="A2:O2"/>
    <mergeCell ref="F33:M33"/>
  </mergeCells>
  <conditionalFormatting sqref="L3:Q3">
    <cfRule type="cellIs" dxfId="442" priority="9" operator="equal">
      <formula>"sous surveillance"</formula>
    </cfRule>
  </conditionalFormatting>
  <conditionalFormatting sqref="K52:K53">
    <cfRule type="cellIs" dxfId="441" priority="7" operator="equal">
      <formula>"Conforme"</formula>
    </cfRule>
    <cfRule type="cellIs" dxfId="440" priority="8" operator="equal">
      <formula>"Non conforme"</formula>
    </cfRule>
  </conditionalFormatting>
  <conditionalFormatting sqref="K30">
    <cfRule type="cellIs" dxfId="439" priority="5" operator="equal">
      <formula>"Conforme"</formula>
    </cfRule>
    <cfRule type="cellIs" dxfId="438" priority="6" operator="equal">
      <formula>"Non conforme"</formula>
    </cfRule>
  </conditionalFormatting>
  <conditionalFormatting sqref="K37">
    <cfRule type="cellIs" dxfId="437" priority="3" operator="equal">
      <formula>"Conforme"</formula>
    </cfRule>
    <cfRule type="cellIs" dxfId="436" priority="4" operator="equal">
      <formula>"Non conforme"</formula>
    </cfRule>
  </conditionalFormatting>
  <dataValidations count="6">
    <dataValidation type="list" allowBlank="1" showInputMessage="1" sqref="M43">
      <formula1>INDIRECT(C43)</formula1>
    </dataValidation>
    <dataValidation type="list" allowBlank="1" showInputMessage="1" showErrorMessage="1" sqref="L12:L18 L24">
      <formula1>"H2O mQ, DMSO, eq NaOH, EtOH, eq HCl,Citrate buffer, directly in ACSF, O2 sucrose"</formula1>
    </dataValidation>
    <dataValidation type="list" allowBlank="1" showInputMessage="1" showErrorMessage="1" sqref="L25 L4:L11 L36:L93 L19:L23 L30">
      <formula1>"H2O mQ, DMSO, eq NaOH, EtOH, eq HCl,Citrate buffer, directly in ACSF"</formula1>
    </dataValidation>
    <dataValidation type="list" allowBlank="1" showInputMessage="1" showErrorMessage="1" sqref="L26:L29 L31:L32 L34:L35">
      <formula1>"Medium NBA, H2O mQ, DMSO, eq NaOH, EtOH, eq HCl,Citrate buffer, directly in ACSF"</formula1>
    </dataValidation>
    <dataValidation errorStyle="warning" allowBlank="1" showInputMessage="1" showErrorMessage="1" sqref="K52:K53 L3:P3 K37 K30"/>
    <dataValidation type="list" allowBlank="1" showInputMessage="1" showErrorMessage="1" sqref="O4:O93">
      <formula1>"Yes, No"</formula1>
    </dataValidation>
  </dataValidations>
  <pageMargins left="0.7" right="0.7" top="0.75" bottom="0.75" header="0.3" footer="0.3"/>
  <pageSetup paperSize="9" scale="35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94"/>
  <sheetViews>
    <sheetView topLeftCell="A34" zoomScale="70" zoomScaleNormal="70" workbookViewId="0">
      <selection activeCell="P37" sqref="P37"/>
    </sheetView>
  </sheetViews>
  <sheetFormatPr baseColWidth="10" defaultColWidth="11.42578125" defaultRowHeight="15" x14ac:dyDescent="0.25"/>
  <cols>
    <col min="1" max="1" width="19" style="578" customWidth="1"/>
    <col min="2" max="2" width="30.85546875" style="579" customWidth="1"/>
    <col min="3" max="3" width="13.5703125" style="579" customWidth="1"/>
    <col min="4" max="4" width="21" style="579" customWidth="1"/>
    <col min="5" max="5" width="36" style="579" bestFit="1" customWidth="1"/>
    <col min="6" max="6" width="14.42578125" style="580" bestFit="1" customWidth="1"/>
    <col min="7" max="7" width="11.85546875" style="579" customWidth="1"/>
    <col min="8" max="8" width="16.7109375" style="579" customWidth="1"/>
    <col min="9" max="9" width="20.85546875" style="579" customWidth="1"/>
    <col min="10" max="10" width="14.7109375" style="575" customWidth="1"/>
    <col min="11" max="11" width="10.5703125" style="581" customWidth="1"/>
    <col min="12" max="12" width="16.140625" style="579" customWidth="1"/>
    <col min="13" max="13" width="11.42578125" style="579"/>
    <col min="14" max="14" width="28.140625" style="579" customWidth="1"/>
    <col min="16" max="16" width="76.42578125" style="446" bestFit="1" customWidth="1"/>
    <col min="17" max="17" width="16.7109375" style="446" customWidth="1"/>
    <col min="18" max="16384" width="11.42578125" style="446"/>
  </cols>
  <sheetData>
    <row r="1" spans="1:17" ht="50.25" customHeight="1" x14ac:dyDescent="0.25">
      <c r="A1" s="772" t="s">
        <v>1340</v>
      </c>
      <c r="B1" s="772"/>
      <c r="C1" s="772"/>
      <c r="D1" s="773"/>
      <c r="E1" s="773"/>
      <c r="F1" s="773"/>
      <c r="G1" s="773"/>
      <c r="H1" s="773"/>
      <c r="I1" s="773"/>
      <c r="J1" s="773"/>
      <c r="K1" s="773"/>
      <c r="L1" s="773"/>
      <c r="M1" s="773"/>
      <c r="N1" s="773"/>
      <c r="O1" s="773"/>
      <c r="P1" s="453"/>
      <c r="Q1" s="453"/>
    </row>
    <row r="2" spans="1:17" ht="24" customHeight="1" x14ac:dyDescent="0.25">
      <c r="A2" s="774">
        <v>43221</v>
      </c>
      <c r="B2" s="775"/>
      <c r="C2" s="775"/>
      <c r="D2" s="776"/>
      <c r="E2" s="776"/>
      <c r="F2" s="776"/>
      <c r="G2" s="776"/>
      <c r="H2" s="776"/>
      <c r="I2" s="776"/>
      <c r="J2" s="776"/>
      <c r="K2" s="776"/>
      <c r="L2" s="776"/>
      <c r="M2" s="776"/>
      <c r="N2" s="776"/>
      <c r="O2" s="776"/>
      <c r="P2" s="453"/>
      <c r="Q2" s="453"/>
    </row>
    <row r="3" spans="1:17" s="498" customFormat="1" ht="30" customHeight="1" x14ac:dyDescent="0.25">
      <c r="A3" s="209" t="s">
        <v>34</v>
      </c>
      <c r="B3" s="209" t="s">
        <v>2790</v>
      </c>
      <c r="C3" s="445" t="s">
        <v>1232</v>
      </c>
      <c r="D3" s="196" t="s">
        <v>2791</v>
      </c>
      <c r="E3" s="197" t="s">
        <v>2792</v>
      </c>
      <c r="F3" s="211" t="s">
        <v>2793</v>
      </c>
      <c r="G3" s="198" t="s">
        <v>23</v>
      </c>
      <c r="H3" s="198" t="s">
        <v>2817</v>
      </c>
      <c r="I3" s="199" t="s">
        <v>2818</v>
      </c>
      <c r="J3" s="199" t="s">
        <v>2819</v>
      </c>
      <c r="K3" s="465" t="s">
        <v>1344</v>
      </c>
      <c r="L3" s="198" t="s">
        <v>37</v>
      </c>
      <c r="M3" s="198" t="s">
        <v>1237</v>
      </c>
      <c r="N3" s="198" t="s">
        <v>2794</v>
      </c>
      <c r="O3" s="198" t="s">
        <v>1239</v>
      </c>
      <c r="P3" s="198" t="s">
        <v>1240</v>
      </c>
      <c r="Q3" s="447" t="s">
        <v>1241</v>
      </c>
    </row>
    <row r="4" spans="1:17" s="483" customFormat="1" ht="24.95" customHeight="1" x14ac:dyDescent="0.25">
      <c r="A4" s="499">
        <v>43132</v>
      </c>
      <c r="B4" s="500" t="s">
        <v>2832</v>
      </c>
      <c r="C4" s="501" t="s">
        <v>40</v>
      </c>
      <c r="D4" s="502" t="s">
        <v>701</v>
      </c>
      <c r="E4" s="502" t="s">
        <v>2833</v>
      </c>
      <c r="F4" s="503">
        <v>43132</v>
      </c>
      <c r="G4" s="504">
        <v>389.81</v>
      </c>
      <c r="H4" s="505">
        <v>30</v>
      </c>
      <c r="I4" s="506">
        <v>15.2</v>
      </c>
      <c r="J4" s="507">
        <f>(I4*K4/100)/(H4*G4)*1000</f>
        <v>1.2867807393345478</v>
      </c>
      <c r="K4" s="508">
        <v>99</v>
      </c>
      <c r="L4" s="509" t="s">
        <v>212</v>
      </c>
      <c r="M4" s="510" t="s">
        <v>1237</v>
      </c>
      <c r="N4" s="511" t="s">
        <v>2835</v>
      </c>
      <c r="O4" s="509" t="s">
        <v>2648</v>
      </c>
      <c r="P4" s="509" t="s">
        <v>2834</v>
      </c>
      <c r="Q4" s="512" t="s">
        <v>2983</v>
      </c>
    </row>
    <row r="5" spans="1:17" ht="24.95" customHeight="1" x14ac:dyDescent="0.25">
      <c r="A5" s="448">
        <v>43222</v>
      </c>
      <c r="B5" s="209" t="s">
        <v>3124</v>
      </c>
      <c r="C5" s="455" t="s">
        <v>1610</v>
      </c>
      <c r="D5" s="103" t="s">
        <v>230</v>
      </c>
      <c r="E5" s="103" t="s">
        <v>3117</v>
      </c>
      <c r="F5" s="216">
        <v>43214</v>
      </c>
      <c r="G5" s="104">
        <v>418.7</v>
      </c>
      <c r="H5" s="104">
        <v>2</v>
      </c>
      <c r="I5" s="106">
        <v>4.1500000000000004</v>
      </c>
      <c r="J5" s="464">
        <f>(I5*K5/100)/(H5*G5)*1000</f>
        <v>4.9558156197754961</v>
      </c>
      <c r="K5" s="467">
        <v>100</v>
      </c>
      <c r="L5" s="443" t="s">
        <v>212</v>
      </c>
      <c r="M5" s="443" t="s">
        <v>2262</v>
      </c>
      <c r="N5" s="444" t="s">
        <v>3111</v>
      </c>
      <c r="O5" s="288" t="s">
        <v>2648</v>
      </c>
      <c r="P5" s="288" t="s">
        <v>3139</v>
      </c>
      <c r="Q5" s="484" t="s">
        <v>3240</v>
      </c>
    </row>
    <row r="6" spans="1:17" ht="24.95" customHeight="1" x14ac:dyDescent="0.25">
      <c r="A6" s="448">
        <v>43223</v>
      </c>
      <c r="B6" s="209" t="s">
        <v>2678</v>
      </c>
      <c r="C6" s="455" t="s">
        <v>1610</v>
      </c>
      <c r="D6" s="293" t="s">
        <v>701</v>
      </c>
      <c r="E6" s="124" t="s">
        <v>2679</v>
      </c>
      <c r="F6" s="383">
        <v>43070</v>
      </c>
      <c r="G6" s="126" t="s">
        <v>3112</v>
      </c>
      <c r="H6" s="104" t="s">
        <v>3114</v>
      </c>
      <c r="I6" s="106">
        <v>970</v>
      </c>
      <c r="J6" s="464" t="s">
        <v>3140</v>
      </c>
      <c r="K6" s="467">
        <v>100</v>
      </c>
      <c r="L6" s="443" t="s">
        <v>49</v>
      </c>
      <c r="M6" s="443" t="s">
        <v>1431</v>
      </c>
      <c r="N6" s="444" t="s">
        <v>2933</v>
      </c>
      <c r="O6" s="443" t="s">
        <v>2648</v>
      </c>
      <c r="P6" s="443"/>
      <c r="Q6" s="484" t="s">
        <v>3240</v>
      </c>
    </row>
    <row r="7" spans="1:17" ht="24.95" customHeight="1" x14ac:dyDescent="0.25">
      <c r="A7" s="448">
        <v>43224</v>
      </c>
      <c r="B7" s="209" t="s">
        <v>3144</v>
      </c>
      <c r="C7" s="472" t="s">
        <v>1610</v>
      </c>
      <c r="D7" s="293" t="s">
        <v>3145</v>
      </c>
      <c r="E7" s="124" t="s">
        <v>2964</v>
      </c>
      <c r="F7" s="216">
        <v>43194</v>
      </c>
      <c r="G7" s="126">
        <v>236.27</v>
      </c>
      <c r="H7" s="104">
        <v>50</v>
      </c>
      <c r="I7" s="106">
        <v>15.45</v>
      </c>
      <c r="J7" s="464">
        <f t="shared" ref="J7:J58" si="0">(I7*K7/100)/(H7*G7)*1000</f>
        <v>1.3078257925255004</v>
      </c>
      <c r="K7" s="467">
        <v>100</v>
      </c>
      <c r="L7" s="443" t="s">
        <v>212</v>
      </c>
      <c r="M7" s="421" t="s">
        <v>1756</v>
      </c>
      <c r="N7" s="444" t="s">
        <v>2933</v>
      </c>
      <c r="O7" s="443" t="s">
        <v>2846</v>
      </c>
      <c r="P7" s="443"/>
      <c r="Q7" s="484" t="s">
        <v>3240</v>
      </c>
    </row>
    <row r="8" spans="1:17" ht="24.95" customHeight="1" x14ac:dyDescent="0.25">
      <c r="A8" s="448">
        <v>43227</v>
      </c>
      <c r="B8" s="209" t="s">
        <v>3146</v>
      </c>
      <c r="C8" s="455" t="s">
        <v>1610</v>
      </c>
      <c r="D8" s="124" t="s">
        <v>3147</v>
      </c>
      <c r="E8" s="124" t="s">
        <v>1545</v>
      </c>
      <c r="F8" s="216">
        <v>42556</v>
      </c>
      <c r="G8" s="126">
        <v>75.069999999999993</v>
      </c>
      <c r="H8" s="104">
        <v>1000</v>
      </c>
      <c r="I8" s="106">
        <v>203</v>
      </c>
      <c r="J8" s="464">
        <f>(I8*K8/100)/(H8*G8)*1000</f>
        <v>2.7014386572532301</v>
      </c>
      <c r="K8" s="467">
        <v>99.9</v>
      </c>
      <c r="L8" s="443" t="s">
        <v>49</v>
      </c>
      <c r="M8" s="443" t="s">
        <v>1613</v>
      </c>
      <c r="N8" s="444" t="s">
        <v>3030</v>
      </c>
      <c r="O8" s="443" t="s">
        <v>2648</v>
      </c>
      <c r="P8" s="443"/>
      <c r="Q8" s="484" t="s">
        <v>3240</v>
      </c>
    </row>
    <row r="9" spans="1:17" ht="24.95" customHeight="1" x14ac:dyDescent="0.25">
      <c r="A9" s="448">
        <v>43231</v>
      </c>
      <c r="B9" s="209" t="s">
        <v>3148</v>
      </c>
      <c r="C9" s="472" t="s">
        <v>1610</v>
      </c>
      <c r="D9" s="293" t="s">
        <v>289</v>
      </c>
      <c r="E9" s="124" t="s">
        <v>3083</v>
      </c>
      <c r="F9" s="216">
        <v>43231</v>
      </c>
      <c r="G9" s="126">
        <v>393.50200000000001</v>
      </c>
      <c r="H9" s="104">
        <v>1</v>
      </c>
      <c r="I9" s="106">
        <v>1.01</v>
      </c>
      <c r="J9" s="464">
        <f t="shared" si="0"/>
        <v>2.5666959761322685</v>
      </c>
      <c r="K9" s="467">
        <v>100</v>
      </c>
      <c r="L9" s="443" t="s">
        <v>212</v>
      </c>
      <c r="M9" s="421" t="s">
        <v>1613</v>
      </c>
      <c r="N9" s="444" t="s">
        <v>3030</v>
      </c>
      <c r="O9" s="443" t="s">
        <v>2648</v>
      </c>
      <c r="P9" s="443"/>
      <c r="Q9" s="484" t="s">
        <v>3240</v>
      </c>
    </row>
    <row r="10" spans="1:17" ht="24.95" customHeight="1" x14ac:dyDescent="0.25">
      <c r="A10" s="448">
        <v>43231</v>
      </c>
      <c r="B10" s="209" t="s">
        <v>2678</v>
      </c>
      <c r="C10" s="455" t="s">
        <v>1610</v>
      </c>
      <c r="D10" s="103" t="s">
        <v>701</v>
      </c>
      <c r="E10" s="124" t="s">
        <v>2558</v>
      </c>
      <c r="F10" s="216">
        <v>43070</v>
      </c>
      <c r="G10" s="126">
        <v>89.09</v>
      </c>
      <c r="H10" s="374" t="s">
        <v>3114</v>
      </c>
      <c r="I10" s="106">
        <v>8000</v>
      </c>
      <c r="J10" s="464"/>
      <c r="K10" s="467">
        <v>99</v>
      </c>
      <c r="L10" s="443" t="s">
        <v>49</v>
      </c>
      <c r="M10" s="443" t="s">
        <v>2121</v>
      </c>
      <c r="N10" s="444" t="s">
        <v>3149</v>
      </c>
      <c r="O10" s="443" t="s">
        <v>2648</v>
      </c>
      <c r="P10" s="443" t="s">
        <v>3150</v>
      </c>
      <c r="Q10" s="484" t="s">
        <v>3240</v>
      </c>
    </row>
    <row r="11" spans="1:17" ht="24.95" customHeight="1" x14ac:dyDescent="0.25">
      <c r="A11" s="448">
        <v>43234</v>
      </c>
      <c r="B11" s="451" t="s">
        <v>3151</v>
      </c>
      <c r="C11" s="458" t="s">
        <v>40</v>
      </c>
      <c r="D11" s="103" t="s">
        <v>701</v>
      </c>
      <c r="E11" s="293" t="s">
        <v>779</v>
      </c>
      <c r="F11" s="216">
        <v>43234</v>
      </c>
      <c r="G11" s="126">
        <v>197.13</v>
      </c>
      <c r="H11" s="374">
        <v>20</v>
      </c>
      <c r="I11" s="375">
        <v>49.12</v>
      </c>
      <c r="J11" s="464">
        <f>(I11*K11/100)/(H11*G11)*1000</f>
        <v>12.334195708415766</v>
      </c>
      <c r="K11" s="467">
        <v>99</v>
      </c>
      <c r="L11" s="443" t="s">
        <v>49</v>
      </c>
      <c r="M11" s="218" t="s">
        <v>2121</v>
      </c>
      <c r="N11" s="376" t="s">
        <v>3030</v>
      </c>
      <c r="O11" s="443" t="s">
        <v>2846</v>
      </c>
      <c r="P11" s="443"/>
      <c r="Q11" s="484" t="s">
        <v>3240</v>
      </c>
    </row>
    <row r="12" spans="1:17" ht="24.95" customHeight="1" x14ac:dyDescent="0.25">
      <c r="A12" s="448">
        <v>43235</v>
      </c>
      <c r="B12" s="209" t="s">
        <v>3152</v>
      </c>
      <c r="C12" s="455" t="s">
        <v>40</v>
      </c>
      <c r="D12" s="103" t="s">
        <v>3037</v>
      </c>
      <c r="E12" s="124" t="s">
        <v>3038</v>
      </c>
      <c r="F12" s="260">
        <v>43235</v>
      </c>
      <c r="G12" s="126">
        <v>3561.12</v>
      </c>
      <c r="H12" s="104">
        <v>0.2</v>
      </c>
      <c r="I12" s="106">
        <v>0.5</v>
      </c>
      <c r="J12" s="464">
        <f t="shared" si="0"/>
        <v>0.67745540728759479</v>
      </c>
      <c r="K12" s="467">
        <v>96.5</v>
      </c>
      <c r="L12" s="443" t="s">
        <v>49</v>
      </c>
      <c r="M12" s="262" t="s">
        <v>1600</v>
      </c>
      <c r="N12" s="376" t="s">
        <v>3054</v>
      </c>
      <c r="O12" s="443" t="s">
        <v>2846</v>
      </c>
      <c r="P12" s="443"/>
      <c r="Q12" s="484" t="s">
        <v>3240</v>
      </c>
    </row>
    <row r="13" spans="1:17" ht="24.95" customHeight="1" x14ac:dyDescent="0.25">
      <c r="A13" s="448">
        <v>43235</v>
      </c>
      <c r="B13" s="209" t="s">
        <v>3153</v>
      </c>
      <c r="C13" s="455" t="s">
        <v>40</v>
      </c>
      <c r="D13" s="103" t="s">
        <v>3037</v>
      </c>
      <c r="E13" s="124" t="s">
        <v>3038</v>
      </c>
      <c r="F13" s="260">
        <v>43235</v>
      </c>
      <c r="G13" s="104">
        <v>3561.12</v>
      </c>
      <c r="H13" s="104">
        <v>0.2</v>
      </c>
      <c r="I13" s="106">
        <v>0.5</v>
      </c>
      <c r="J13" s="464">
        <f>(I13*K13/100)/(H13*G13)*1000</f>
        <v>0.67745540728759479</v>
      </c>
      <c r="K13" s="467">
        <v>96.5</v>
      </c>
      <c r="L13" s="443" t="s">
        <v>49</v>
      </c>
      <c r="M13" s="262" t="s">
        <v>1600</v>
      </c>
      <c r="N13" s="376" t="s">
        <v>3054</v>
      </c>
      <c r="O13" s="443" t="s">
        <v>2846</v>
      </c>
      <c r="P13" s="443"/>
      <c r="Q13" s="484" t="s">
        <v>3240</v>
      </c>
    </row>
    <row r="14" spans="1:17" ht="24.95" customHeight="1" x14ac:dyDescent="0.25">
      <c r="A14" s="448">
        <v>43235</v>
      </c>
      <c r="B14" s="209" t="s">
        <v>3154</v>
      </c>
      <c r="C14" s="455" t="s">
        <v>40</v>
      </c>
      <c r="D14" s="103" t="s">
        <v>3037</v>
      </c>
      <c r="E14" s="124" t="s">
        <v>3038</v>
      </c>
      <c r="F14" s="260">
        <v>43235</v>
      </c>
      <c r="G14" s="126">
        <v>3561.12</v>
      </c>
      <c r="H14" s="104">
        <v>0.2</v>
      </c>
      <c r="I14" s="106">
        <v>0.5</v>
      </c>
      <c r="J14" s="464">
        <f>(I14*K14/100)/(H14*G14)*1000</f>
        <v>0.67745540728759479</v>
      </c>
      <c r="K14" s="467">
        <v>96.5</v>
      </c>
      <c r="L14" s="443" t="s">
        <v>49</v>
      </c>
      <c r="M14" s="262" t="s">
        <v>1600</v>
      </c>
      <c r="N14" s="376" t="s">
        <v>3054</v>
      </c>
      <c r="O14" s="443" t="s">
        <v>2846</v>
      </c>
      <c r="P14" s="443"/>
      <c r="Q14" s="484" t="s">
        <v>3240</v>
      </c>
    </row>
    <row r="15" spans="1:17" ht="24.95" customHeight="1" x14ac:dyDescent="0.25">
      <c r="A15" s="448">
        <v>43235</v>
      </c>
      <c r="B15" s="209" t="s">
        <v>3155</v>
      </c>
      <c r="C15" s="455" t="s">
        <v>40</v>
      </c>
      <c r="D15" s="103" t="s">
        <v>3037</v>
      </c>
      <c r="E15" s="124" t="s">
        <v>3038</v>
      </c>
      <c r="F15" s="260">
        <v>43235</v>
      </c>
      <c r="G15" s="104">
        <v>3561.12</v>
      </c>
      <c r="H15" s="104">
        <v>0.2</v>
      </c>
      <c r="I15" s="106">
        <v>0.5</v>
      </c>
      <c r="J15" s="464">
        <f t="shared" si="0"/>
        <v>0.67745540728759479</v>
      </c>
      <c r="K15" s="467">
        <v>96.5</v>
      </c>
      <c r="L15" s="443" t="s">
        <v>49</v>
      </c>
      <c r="M15" s="262" t="s">
        <v>1600</v>
      </c>
      <c r="N15" s="376" t="s">
        <v>3054</v>
      </c>
      <c r="O15" s="443" t="s">
        <v>2846</v>
      </c>
      <c r="P15" s="443"/>
      <c r="Q15" s="484" t="s">
        <v>3240</v>
      </c>
    </row>
    <row r="16" spans="1:17" ht="24.95" customHeight="1" x14ac:dyDescent="0.25">
      <c r="A16" s="448">
        <v>43235</v>
      </c>
      <c r="B16" s="209" t="s">
        <v>3035</v>
      </c>
      <c r="C16" s="455" t="s">
        <v>1610</v>
      </c>
      <c r="D16" s="103" t="s">
        <v>701</v>
      </c>
      <c r="E16" s="124" t="s">
        <v>3011</v>
      </c>
      <c r="F16" s="260">
        <v>43187</v>
      </c>
      <c r="G16" s="126">
        <v>165.7</v>
      </c>
      <c r="H16" s="104">
        <v>107</v>
      </c>
      <c r="I16" s="106">
        <v>86880</v>
      </c>
      <c r="J16" s="464">
        <f>(I16*K16/100)/(H16*G16)*1000</f>
        <v>4802.1929057693496</v>
      </c>
      <c r="K16" s="467">
        <v>98</v>
      </c>
      <c r="L16" s="443" t="s">
        <v>49</v>
      </c>
      <c r="M16" s="443" t="s">
        <v>2042</v>
      </c>
      <c r="N16" s="444" t="s">
        <v>2933</v>
      </c>
      <c r="O16" s="443" t="s">
        <v>2846</v>
      </c>
      <c r="P16" s="443" t="s">
        <v>3156</v>
      </c>
      <c r="Q16" s="484" t="s">
        <v>3240</v>
      </c>
    </row>
    <row r="17" spans="1:18" ht="24.95" customHeight="1" x14ac:dyDescent="0.25">
      <c r="A17" s="448">
        <v>43235</v>
      </c>
      <c r="B17" s="209" t="s">
        <v>3158</v>
      </c>
      <c r="C17" s="455" t="s">
        <v>1610</v>
      </c>
      <c r="D17" s="103" t="s">
        <v>701</v>
      </c>
      <c r="E17" s="124" t="s">
        <v>3011</v>
      </c>
      <c r="F17" s="260">
        <v>43235</v>
      </c>
      <c r="G17" s="126">
        <v>165.7</v>
      </c>
      <c r="H17" s="104">
        <v>107</v>
      </c>
      <c r="I17" s="106">
        <v>86880</v>
      </c>
      <c r="J17" s="464">
        <f>(I17*K17/100)/(H17*G17)*1000</f>
        <v>4802.1929057693496</v>
      </c>
      <c r="K17" s="467">
        <v>98</v>
      </c>
      <c r="L17" s="443" t="s">
        <v>49</v>
      </c>
      <c r="M17" s="443" t="s">
        <v>2042</v>
      </c>
      <c r="N17" s="444" t="s">
        <v>2933</v>
      </c>
      <c r="O17" s="443" t="s">
        <v>2648</v>
      </c>
      <c r="P17" s="443" t="s">
        <v>3157</v>
      </c>
      <c r="Q17" s="484" t="s">
        <v>3240</v>
      </c>
    </row>
    <row r="18" spans="1:18" ht="24.95" customHeight="1" x14ac:dyDescent="0.25">
      <c r="A18" s="448">
        <v>43235</v>
      </c>
      <c r="B18" s="209" t="s">
        <v>3000</v>
      </c>
      <c r="C18" s="455" t="s">
        <v>1610</v>
      </c>
      <c r="D18" s="103" t="s">
        <v>701</v>
      </c>
      <c r="E18" s="124" t="s">
        <v>1840</v>
      </c>
      <c r="F18" s="260">
        <v>43173</v>
      </c>
      <c r="G18" s="126">
        <v>238.3</v>
      </c>
      <c r="H18" s="104">
        <v>10</v>
      </c>
      <c r="I18" s="106">
        <v>11860</v>
      </c>
      <c r="J18" s="464">
        <f t="shared" si="0"/>
        <v>4952.0352496852711</v>
      </c>
      <c r="K18" s="467">
        <v>99.5</v>
      </c>
      <c r="L18" s="443" t="s">
        <v>49</v>
      </c>
      <c r="M18" s="443" t="s">
        <v>2042</v>
      </c>
      <c r="N18" s="444" t="s">
        <v>2933</v>
      </c>
      <c r="O18" s="443" t="s">
        <v>2846</v>
      </c>
      <c r="P18" s="443" t="s">
        <v>3156</v>
      </c>
      <c r="Q18" s="484" t="s">
        <v>3240</v>
      </c>
    </row>
    <row r="19" spans="1:18" ht="24.95" customHeight="1" x14ac:dyDescent="0.25">
      <c r="A19" s="448">
        <v>43235</v>
      </c>
      <c r="B19" s="209" t="s">
        <v>3159</v>
      </c>
      <c r="C19" s="455" t="s">
        <v>1610</v>
      </c>
      <c r="D19" s="103" t="s">
        <v>701</v>
      </c>
      <c r="E19" s="124" t="s">
        <v>1840</v>
      </c>
      <c r="F19" s="216">
        <v>43235</v>
      </c>
      <c r="G19" s="126">
        <v>238.3</v>
      </c>
      <c r="H19" s="104">
        <v>10</v>
      </c>
      <c r="I19" s="106">
        <v>11860</v>
      </c>
      <c r="J19" s="464">
        <f t="shared" si="0"/>
        <v>4952.0352496852711</v>
      </c>
      <c r="K19" s="467">
        <v>99.5</v>
      </c>
      <c r="L19" s="443" t="s">
        <v>49</v>
      </c>
      <c r="M19" s="443" t="s">
        <v>2042</v>
      </c>
      <c r="N19" s="444" t="s">
        <v>2933</v>
      </c>
      <c r="O19" s="443" t="s">
        <v>2648</v>
      </c>
      <c r="P19" s="443" t="s">
        <v>3157</v>
      </c>
      <c r="Q19" s="484" t="s">
        <v>3240</v>
      </c>
    </row>
    <row r="20" spans="1:18" ht="24.95" customHeight="1" x14ac:dyDescent="0.25">
      <c r="A20" s="448">
        <v>43236</v>
      </c>
      <c r="B20" s="209" t="s">
        <v>3160</v>
      </c>
      <c r="C20" s="455" t="s">
        <v>40</v>
      </c>
      <c r="D20" s="103" t="s">
        <v>701</v>
      </c>
      <c r="E20" s="103" t="s">
        <v>429</v>
      </c>
      <c r="F20" s="216" t="s">
        <v>3161</v>
      </c>
      <c r="G20" s="126">
        <v>213.66</v>
      </c>
      <c r="H20" s="104">
        <v>10</v>
      </c>
      <c r="I20" s="106">
        <v>3.44</v>
      </c>
      <c r="J20" s="464">
        <f t="shared" si="0"/>
        <v>1.6100346344659742</v>
      </c>
      <c r="K20" s="467">
        <v>100</v>
      </c>
      <c r="L20" s="443" t="s">
        <v>49</v>
      </c>
      <c r="M20" s="443" t="s">
        <v>1431</v>
      </c>
      <c r="N20" s="444" t="s">
        <v>3054</v>
      </c>
      <c r="O20" s="443" t="s">
        <v>2648</v>
      </c>
      <c r="P20" s="421"/>
      <c r="Q20" s="484" t="s">
        <v>3240</v>
      </c>
    </row>
    <row r="21" spans="1:18" ht="24.95" customHeight="1" x14ac:dyDescent="0.25">
      <c r="A21" s="448">
        <v>43236</v>
      </c>
      <c r="B21" s="209" t="s">
        <v>3167</v>
      </c>
      <c r="C21" s="455" t="s">
        <v>40</v>
      </c>
      <c r="D21" s="124" t="s">
        <v>3037</v>
      </c>
      <c r="E21" s="124" t="s">
        <v>3038</v>
      </c>
      <c r="F21" s="216">
        <v>43236</v>
      </c>
      <c r="G21" s="126">
        <v>3561.12</v>
      </c>
      <c r="H21" s="104">
        <v>0.2</v>
      </c>
      <c r="I21" s="431">
        <v>0.5</v>
      </c>
      <c r="J21" s="464">
        <f t="shared" si="0"/>
        <v>0.67745540728759479</v>
      </c>
      <c r="K21" s="467">
        <v>96.5</v>
      </c>
      <c r="L21" s="443" t="s">
        <v>49</v>
      </c>
      <c r="M21" s="443" t="s">
        <v>1463</v>
      </c>
      <c r="N21" s="444" t="s">
        <v>3054</v>
      </c>
      <c r="O21" s="443" t="s">
        <v>2846</v>
      </c>
      <c r="P21" s="421"/>
      <c r="Q21" s="484" t="s">
        <v>3240</v>
      </c>
    </row>
    <row r="22" spans="1:18" ht="24.95" customHeight="1" x14ac:dyDescent="0.25">
      <c r="A22" s="448">
        <v>43237</v>
      </c>
      <c r="B22" s="451" t="s">
        <v>3032</v>
      </c>
      <c r="C22" s="455" t="s">
        <v>40</v>
      </c>
      <c r="D22" s="124" t="s">
        <v>701</v>
      </c>
      <c r="E22" s="124" t="s">
        <v>689</v>
      </c>
      <c r="F22" s="216">
        <v>43075</v>
      </c>
      <c r="G22" s="126">
        <v>182.7</v>
      </c>
      <c r="H22" s="374">
        <v>10</v>
      </c>
      <c r="I22" s="106">
        <v>5.35</v>
      </c>
      <c r="J22" s="464">
        <f t="shared" si="0"/>
        <v>2.8990147783251232</v>
      </c>
      <c r="K22" s="467">
        <v>99</v>
      </c>
      <c r="L22" s="443" t="s">
        <v>49</v>
      </c>
      <c r="M22" s="443" t="s">
        <v>1463</v>
      </c>
      <c r="N22" s="444" t="s">
        <v>3131</v>
      </c>
      <c r="O22" s="443" t="s">
        <v>2648</v>
      </c>
      <c r="P22" s="421"/>
      <c r="Q22" s="484" t="s">
        <v>3240</v>
      </c>
    </row>
    <row r="23" spans="1:18" ht="24.95" customHeight="1" x14ac:dyDescent="0.25">
      <c r="A23" s="448">
        <v>43237</v>
      </c>
      <c r="B23" s="451" t="s">
        <v>3168</v>
      </c>
      <c r="C23" s="458" t="s">
        <v>40</v>
      </c>
      <c r="D23" s="293" t="s">
        <v>701</v>
      </c>
      <c r="E23" s="103" t="s">
        <v>243</v>
      </c>
      <c r="F23" s="260">
        <v>42055</v>
      </c>
      <c r="G23" s="126">
        <v>213.23</v>
      </c>
      <c r="H23" s="374">
        <v>1</v>
      </c>
      <c r="I23" s="106">
        <v>4.88</v>
      </c>
      <c r="J23" s="464">
        <f t="shared" si="0"/>
        <v>22.886085447638703</v>
      </c>
      <c r="K23" s="467">
        <v>100</v>
      </c>
      <c r="L23" s="443" t="s">
        <v>49</v>
      </c>
      <c r="M23" s="443" t="s">
        <v>1430</v>
      </c>
      <c r="N23" s="444" t="s">
        <v>3131</v>
      </c>
      <c r="O23" s="443" t="s">
        <v>2648</v>
      </c>
      <c r="P23" s="443"/>
      <c r="Q23" s="484" t="s">
        <v>3240</v>
      </c>
    </row>
    <row r="24" spans="1:18" ht="24.95" customHeight="1" x14ac:dyDescent="0.25">
      <c r="A24" s="448" t="s">
        <v>3174</v>
      </c>
      <c r="B24" s="209" t="s">
        <v>3175</v>
      </c>
      <c r="C24" s="455" t="s">
        <v>1610</v>
      </c>
      <c r="D24" s="293" t="s">
        <v>289</v>
      </c>
      <c r="E24" s="103" t="s">
        <v>3086</v>
      </c>
      <c r="F24" s="216" t="s">
        <v>3174</v>
      </c>
      <c r="G24" s="126">
        <v>383.42599999999999</v>
      </c>
      <c r="H24" s="104">
        <v>4</v>
      </c>
      <c r="I24" s="106">
        <v>2.2799999999999998</v>
      </c>
      <c r="J24" s="464">
        <f t="shared" si="0"/>
        <v>1.4865971530360484</v>
      </c>
      <c r="K24" s="467">
        <v>100</v>
      </c>
      <c r="L24" s="443" t="s">
        <v>212</v>
      </c>
      <c r="M24" s="443" t="s">
        <v>1756</v>
      </c>
      <c r="N24" s="444" t="s">
        <v>3030</v>
      </c>
      <c r="O24" s="443" t="s">
        <v>2846</v>
      </c>
      <c r="P24" s="443"/>
      <c r="Q24" s="484" t="s">
        <v>3240</v>
      </c>
    </row>
    <row r="25" spans="1:18" ht="24.95" customHeight="1" x14ac:dyDescent="0.25">
      <c r="A25" s="448">
        <v>43238</v>
      </c>
      <c r="B25" s="209" t="s">
        <v>3176</v>
      </c>
      <c r="C25" s="529" t="s">
        <v>40</v>
      </c>
      <c r="D25" s="103" t="s">
        <v>3037</v>
      </c>
      <c r="E25" s="103" t="s">
        <v>3038</v>
      </c>
      <c r="F25" s="216">
        <v>43238</v>
      </c>
      <c r="G25" s="126">
        <v>3561.12</v>
      </c>
      <c r="H25" s="104">
        <v>0.2</v>
      </c>
      <c r="I25" s="106">
        <v>0.5</v>
      </c>
      <c r="J25" s="464">
        <f>(I25*K25/100)/(H25*G25)*1000</f>
        <v>0.52841521768432398</v>
      </c>
      <c r="K25" s="467">
        <v>75.27</v>
      </c>
      <c r="L25" s="443" t="s">
        <v>49</v>
      </c>
      <c r="M25" s="443" t="s">
        <v>1431</v>
      </c>
      <c r="N25" s="444" t="s">
        <v>3054</v>
      </c>
      <c r="O25" s="443" t="s">
        <v>2846</v>
      </c>
      <c r="P25" s="288"/>
      <c r="Q25" s="484" t="s">
        <v>3240</v>
      </c>
      <c r="R25" s="456"/>
    </row>
    <row r="26" spans="1:18" ht="24.95" customHeight="1" x14ac:dyDescent="0.25">
      <c r="A26" s="448">
        <v>43238</v>
      </c>
      <c r="B26" s="209" t="s">
        <v>3178</v>
      </c>
      <c r="C26" s="455" t="s">
        <v>40</v>
      </c>
      <c r="D26" s="103" t="s">
        <v>3037</v>
      </c>
      <c r="E26" s="103" t="s">
        <v>3038</v>
      </c>
      <c r="F26" s="216">
        <v>43238</v>
      </c>
      <c r="G26" s="126">
        <v>3561.12</v>
      </c>
      <c r="H26" s="104">
        <v>0.2</v>
      </c>
      <c r="I26" s="106">
        <v>0.5</v>
      </c>
      <c r="J26" s="464">
        <f t="shared" si="0"/>
        <v>0.52841521768432398</v>
      </c>
      <c r="K26" s="467">
        <v>75.27</v>
      </c>
      <c r="L26" s="443" t="s">
        <v>49</v>
      </c>
      <c r="M26" s="443" t="s">
        <v>1431</v>
      </c>
      <c r="N26" s="444" t="s">
        <v>3054</v>
      </c>
      <c r="O26" s="443" t="s">
        <v>2846</v>
      </c>
      <c r="P26" s="443"/>
      <c r="Q26" s="484" t="s">
        <v>3240</v>
      </c>
    </row>
    <row r="27" spans="1:18" ht="24.95" customHeight="1" x14ac:dyDescent="0.25">
      <c r="A27" s="448">
        <v>43238</v>
      </c>
      <c r="B27" s="209" t="s">
        <v>3179</v>
      </c>
      <c r="C27" s="455" t="s">
        <v>40</v>
      </c>
      <c r="D27" s="103" t="s">
        <v>3037</v>
      </c>
      <c r="E27" s="103" t="s">
        <v>3038</v>
      </c>
      <c r="F27" s="216">
        <v>43238</v>
      </c>
      <c r="G27" s="104">
        <v>3561.12</v>
      </c>
      <c r="H27" s="104">
        <v>0.2</v>
      </c>
      <c r="I27" s="106">
        <v>0.5</v>
      </c>
      <c r="J27" s="464">
        <f>(I27*K27/100)/(H27*G27)*1000</f>
        <v>0.52841521768432398</v>
      </c>
      <c r="K27" s="467">
        <v>75.27</v>
      </c>
      <c r="L27" s="443" t="s">
        <v>49</v>
      </c>
      <c r="M27" s="443" t="s">
        <v>1431</v>
      </c>
      <c r="N27" s="444" t="s">
        <v>3054</v>
      </c>
      <c r="O27" s="288" t="s">
        <v>2846</v>
      </c>
      <c r="P27" s="288"/>
      <c r="Q27" s="484" t="s">
        <v>3240</v>
      </c>
    </row>
    <row r="28" spans="1:18" ht="24.95" customHeight="1" x14ac:dyDescent="0.25">
      <c r="A28" s="448" t="s">
        <v>3177</v>
      </c>
      <c r="B28" s="209" t="s">
        <v>3180</v>
      </c>
      <c r="C28" s="455" t="s">
        <v>40</v>
      </c>
      <c r="D28" s="103" t="s">
        <v>3037</v>
      </c>
      <c r="E28" s="103" t="s">
        <v>3038</v>
      </c>
      <c r="F28" s="216">
        <v>43238</v>
      </c>
      <c r="G28" s="104">
        <v>3561.12</v>
      </c>
      <c r="H28" s="104">
        <v>0.2</v>
      </c>
      <c r="I28" s="106">
        <v>0.5</v>
      </c>
      <c r="J28" s="464">
        <f t="shared" si="0"/>
        <v>0.52841521768432398</v>
      </c>
      <c r="K28" s="467">
        <v>75.27</v>
      </c>
      <c r="L28" s="443" t="s">
        <v>49</v>
      </c>
      <c r="M28" s="443" t="s">
        <v>1431</v>
      </c>
      <c r="N28" s="444" t="s">
        <v>3054</v>
      </c>
      <c r="O28" s="443" t="s">
        <v>2846</v>
      </c>
      <c r="P28" s="443"/>
      <c r="Q28" s="484" t="s">
        <v>3240</v>
      </c>
    </row>
    <row r="29" spans="1:18" ht="24.95" customHeight="1" x14ac:dyDescent="0.25">
      <c r="A29" s="448">
        <v>43238</v>
      </c>
      <c r="B29" s="209" t="s">
        <v>3181</v>
      </c>
      <c r="C29" s="455" t="s">
        <v>40</v>
      </c>
      <c r="D29" s="103" t="s">
        <v>3037</v>
      </c>
      <c r="E29" s="103" t="s">
        <v>3038</v>
      </c>
      <c r="F29" s="216">
        <v>43238</v>
      </c>
      <c r="G29" s="104">
        <v>3561.12</v>
      </c>
      <c r="H29" s="104">
        <v>0.2</v>
      </c>
      <c r="I29" s="106">
        <v>0.5</v>
      </c>
      <c r="J29" s="464">
        <f t="shared" si="0"/>
        <v>0.52841521768432398</v>
      </c>
      <c r="K29" s="467">
        <v>75.27</v>
      </c>
      <c r="L29" s="443" t="s">
        <v>49</v>
      </c>
      <c r="M29" s="443" t="s">
        <v>2873</v>
      </c>
      <c r="N29" s="444" t="s">
        <v>3054</v>
      </c>
      <c r="O29" s="443" t="s">
        <v>2846</v>
      </c>
      <c r="P29" s="443"/>
      <c r="Q29" s="484" t="s">
        <v>3240</v>
      </c>
    </row>
    <row r="30" spans="1:18" ht="24.95" customHeight="1" x14ac:dyDescent="0.25">
      <c r="A30" s="448">
        <v>43241</v>
      </c>
      <c r="B30" s="209" t="s">
        <v>3031</v>
      </c>
      <c r="C30" s="455" t="s">
        <v>1610</v>
      </c>
      <c r="D30" s="103" t="s">
        <v>3147</v>
      </c>
      <c r="E30" s="124" t="s">
        <v>1545</v>
      </c>
      <c r="F30" s="216">
        <v>42497</v>
      </c>
      <c r="G30" s="104">
        <v>75.069999999999993</v>
      </c>
      <c r="H30" s="104">
        <v>1000</v>
      </c>
      <c r="I30" s="106">
        <v>129.9</v>
      </c>
      <c r="J30" s="464">
        <f t="shared" si="0"/>
        <v>1.7130811242840016</v>
      </c>
      <c r="K30" s="467">
        <v>99</v>
      </c>
      <c r="L30" s="443" t="s">
        <v>49</v>
      </c>
      <c r="M30" s="443" t="s">
        <v>1756</v>
      </c>
      <c r="N30" s="444" t="s">
        <v>3030</v>
      </c>
      <c r="O30" s="443" t="s">
        <v>2648</v>
      </c>
      <c r="P30" s="443"/>
      <c r="Q30" s="484" t="s">
        <v>3245</v>
      </c>
    </row>
    <row r="31" spans="1:18" ht="24.95" customHeight="1" x14ac:dyDescent="0.25">
      <c r="A31" s="448">
        <v>43238</v>
      </c>
      <c r="B31" s="209" t="s">
        <v>3031</v>
      </c>
      <c r="C31" s="455" t="s">
        <v>1610</v>
      </c>
      <c r="D31" s="103" t="s">
        <v>3147</v>
      </c>
      <c r="E31" s="124" t="s">
        <v>1545</v>
      </c>
      <c r="F31" s="216">
        <v>42497</v>
      </c>
      <c r="G31" s="104">
        <v>75.069999999999993</v>
      </c>
      <c r="H31" s="104">
        <v>1000</v>
      </c>
      <c r="I31" s="106">
        <v>890</v>
      </c>
      <c r="J31" s="464">
        <f t="shared" si="0"/>
        <v>11.737045424270681</v>
      </c>
      <c r="K31" s="468">
        <v>99</v>
      </c>
      <c r="L31" s="443" t="s">
        <v>49</v>
      </c>
      <c r="M31" s="443" t="s">
        <v>1613</v>
      </c>
      <c r="N31" s="444" t="s">
        <v>3030</v>
      </c>
      <c r="O31" s="443" t="s">
        <v>2648</v>
      </c>
      <c r="P31" s="443"/>
      <c r="Q31" s="484" t="s">
        <v>3245</v>
      </c>
    </row>
    <row r="32" spans="1:18" ht="24.95" customHeight="1" x14ac:dyDescent="0.25">
      <c r="A32" s="448">
        <v>43242</v>
      </c>
      <c r="B32" s="209" t="s">
        <v>3031</v>
      </c>
      <c r="C32" s="455" t="s">
        <v>1610</v>
      </c>
      <c r="D32" s="103" t="s">
        <v>3147</v>
      </c>
      <c r="E32" s="124" t="s">
        <v>1545</v>
      </c>
      <c r="F32" s="216">
        <v>42497</v>
      </c>
      <c r="G32" s="104">
        <v>75.069999999999993</v>
      </c>
      <c r="H32" s="104">
        <v>1000</v>
      </c>
      <c r="I32" s="106">
        <v>75.540000000000006</v>
      </c>
      <c r="J32" s="464">
        <f t="shared" si="0"/>
        <v>0.99619821499933414</v>
      </c>
      <c r="K32" s="468">
        <v>99</v>
      </c>
      <c r="L32" s="443" t="s">
        <v>49</v>
      </c>
      <c r="M32" s="443" t="s">
        <v>2121</v>
      </c>
      <c r="N32" s="444" t="s">
        <v>3030</v>
      </c>
      <c r="O32" s="443" t="s">
        <v>2648</v>
      </c>
      <c r="P32" s="443"/>
      <c r="Q32" s="484" t="s">
        <v>3245</v>
      </c>
    </row>
    <row r="33" spans="1:17" ht="24.95" customHeight="1" x14ac:dyDescent="0.25">
      <c r="A33" s="448">
        <v>43242</v>
      </c>
      <c r="B33" s="209" t="s">
        <v>3182</v>
      </c>
      <c r="C33" s="455" t="s">
        <v>1610</v>
      </c>
      <c r="D33" s="124" t="s">
        <v>701</v>
      </c>
      <c r="E33" s="124" t="s">
        <v>806</v>
      </c>
      <c r="F33" s="216">
        <v>43242</v>
      </c>
      <c r="G33" s="126">
        <v>509.29</v>
      </c>
      <c r="H33" s="104">
        <v>10</v>
      </c>
      <c r="I33" s="106">
        <v>47.84</v>
      </c>
      <c r="J33" s="464">
        <f t="shared" si="0"/>
        <v>8.9237958726855027</v>
      </c>
      <c r="K33" s="266">
        <v>95</v>
      </c>
      <c r="L33" s="443" t="s">
        <v>49</v>
      </c>
      <c r="M33" s="443" t="s">
        <v>2121</v>
      </c>
      <c r="N33" s="444" t="s">
        <v>3030</v>
      </c>
      <c r="O33" s="443" t="s">
        <v>2846</v>
      </c>
      <c r="P33" s="443"/>
      <c r="Q33" s="484" t="s">
        <v>3245</v>
      </c>
    </row>
    <row r="34" spans="1:17" ht="24.95" customHeight="1" x14ac:dyDescent="0.25">
      <c r="A34" s="448">
        <v>43242</v>
      </c>
      <c r="B34" s="209" t="s">
        <v>3186</v>
      </c>
      <c r="C34" s="455" t="s">
        <v>40</v>
      </c>
      <c r="D34" s="103" t="s">
        <v>701</v>
      </c>
      <c r="E34" s="124" t="s">
        <v>243</v>
      </c>
      <c r="F34" s="257">
        <v>40668</v>
      </c>
      <c r="G34" s="126">
        <v>213.23</v>
      </c>
      <c r="H34" s="104" t="s">
        <v>61</v>
      </c>
      <c r="I34" s="106" t="s">
        <v>61</v>
      </c>
      <c r="J34" s="464" t="e">
        <f>(I34*K34/100)/(H34*G34)*1000</f>
        <v>#VALUE!</v>
      </c>
      <c r="K34" s="467" t="s">
        <v>61</v>
      </c>
      <c r="L34" s="443"/>
      <c r="M34" s="443" t="s">
        <v>1463</v>
      </c>
      <c r="N34" s="444"/>
      <c r="O34" s="443" t="s">
        <v>2846</v>
      </c>
      <c r="P34" s="443" t="s">
        <v>3194</v>
      </c>
      <c r="Q34" s="484" t="s">
        <v>3187</v>
      </c>
    </row>
    <row r="35" spans="1:17" ht="24.95" customHeight="1" x14ac:dyDescent="0.25">
      <c r="A35" s="448"/>
      <c r="B35" s="209"/>
      <c r="C35" s="455"/>
      <c r="D35" s="103"/>
      <c r="E35" s="103"/>
      <c r="F35" s="260"/>
      <c r="G35" s="126"/>
      <c r="H35" s="104"/>
      <c r="I35" s="106"/>
      <c r="J35" s="464"/>
      <c r="K35" s="584"/>
      <c r="L35" s="218"/>
      <c r="M35" s="218"/>
      <c r="N35" s="376"/>
      <c r="O35" s="218"/>
      <c r="P35" s="218"/>
      <c r="Q35" s="484" t="s">
        <v>3245</v>
      </c>
    </row>
    <row r="36" spans="1:17" ht="24.95" customHeight="1" x14ac:dyDescent="0.25">
      <c r="A36" s="448">
        <v>43242</v>
      </c>
      <c r="B36" s="209" t="s">
        <v>1531</v>
      </c>
      <c r="C36" s="455" t="s">
        <v>40</v>
      </c>
      <c r="D36" s="103" t="s">
        <v>701</v>
      </c>
      <c r="E36" s="124" t="s">
        <v>243</v>
      </c>
      <c r="F36" s="260">
        <v>42234</v>
      </c>
      <c r="G36" s="126">
        <v>213.23</v>
      </c>
      <c r="H36" s="104" t="s">
        <v>61</v>
      </c>
      <c r="I36" s="106" t="s">
        <v>61</v>
      </c>
      <c r="J36" s="464" t="e">
        <f>(I36*K36/100)/(H36*G36)*1000</f>
        <v>#VALUE!</v>
      </c>
      <c r="K36" s="585" t="s">
        <v>61</v>
      </c>
      <c r="L36" s="586"/>
      <c r="M36" s="586" t="s">
        <v>1463</v>
      </c>
      <c r="N36" s="587"/>
      <c r="O36" s="586" t="s">
        <v>2846</v>
      </c>
      <c r="P36" s="586" t="s">
        <v>3194</v>
      </c>
      <c r="Q36" s="588" t="s">
        <v>3187</v>
      </c>
    </row>
    <row r="37" spans="1:17" ht="24.95" customHeight="1" x14ac:dyDescent="0.25">
      <c r="A37" s="448">
        <v>43242</v>
      </c>
      <c r="B37" s="209" t="s">
        <v>3193</v>
      </c>
      <c r="C37" s="455" t="s">
        <v>40</v>
      </c>
      <c r="D37" s="103" t="s">
        <v>701</v>
      </c>
      <c r="E37" s="103" t="s">
        <v>243</v>
      </c>
      <c r="F37" s="260">
        <v>43242</v>
      </c>
      <c r="G37" s="104">
        <v>213.23</v>
      </c>
      <c r="H37" s="104">
        <v>1</v>
      </c>
      <c r="I37" s="106">
        <v>1.3</v>
      </c>
      <c r="J37" s="464">
        <f t="shared" si="0"/>
        <v>6.0967030905594903</v>
      </c>
      <c r="K37" s="585">
        <v>100</v>
      </c>
      <c r="L37" s="586" t="s">
        <v>49</v>
      </c>
      <c r="M37" s="586" t="s">
        <v>3192</v>
      </c>
      <c r="N37" s="587" t="s">
        <v>3131</v>
      </c>
      <c r="O37" s="586" t="s">
        <v>2648</v>
      </c>
      <c r="P37" s="586"/>
      <c r="Q37" s="588" t="s">
        <v>3245</v>
      </c>
    </row>
    <row r="38" spans="1:17" ht="24.95" customHeight="1" x14ac:dyDescent="0.25">
      <c r="A38" s="448">
        <v>43242</v>
      </c>
      <c r="B38" s="448" t="s">
        <v>3168</v>
      </c>
      <c r="C38" s="455" t="s">
        <v>40</v>
      </c>
      <c r="D38" s="124" t="s">
        <v>701</v>
      </c>
      <c r="E38" s="124" t="s">
        <v>243</v>
      </c>
      <c r="F38" s="216">
        <v>42055</v>
      </c>
      <c r="G38" s="126">
        <v>213.23</v>
      </c>
      <c r="H38" s="374">
        <v>1</v>
      </c>
      <c r="I38" s="375">
        <v>1.91</v>
      </c>
      <c r="J38" s="464">
        <f t="shared" si="0"/>
        <v>8.9574637715143268</v>
      </c>
      <c r="K38" s="589">
        <v>100</v>
      </c>
      <c r="L38" s="586" t="s">
        <v>49</v>
      </c>
      <c r="M38" s="586" t="s">
        <v>3192</v>
      </c>
      <c r="N38" s="587" t="s">
        <v>3131</v>
      </c>
      <c r="O38" s="586" t="s">
        <v>2846</v>
      </c>
      <c r="P38" s="586" t="s">
        <v>3194</v>
      </c>
      <c r="Q38" s="588" t="s">
        <v>3187</v>
      </c>
    </row>
    <row r="39" spans="1:17" ht="24.95" customHeight="1" x14ac:dyDescent="0.25">
      <c r="A39" s="448">
        <v>43242</v>
      </c>
      <c r="B39" s="209" t="s">
        <v>3204</v>
      </c>
      <c r="C39" s="455" t="s">
        <v>40</v>
      </c>
      <c r="D39" s="124" t="s">
        <v>3037</v>
      </c>
      <c r="E39" s="124" t="s">
        <v>3205</v>
      </c>
      <c r="F39" s="216">
        <v>43242</v>
      </c>
      <c r="G39" s="126">
        <v>424</v>
      </c>
      <c r="H39" s="104">
        <v>6.6</v>
      </c>
      <c r="I39" s="106">
        <v>25.8</v>
      </c>
      <c r="J39" s="464">
        <f t="shared" si="0"/>
        <v>9.2195540308747859</v>
      </c>
      <c r="K39" s="585">
        <v>100</v>
      </c>
      <c r="L39" s="586" t="s">
        <v>212</v>
      </c>
      <c r="M39" s="586" t="s">
        <v>1463</v>
      </c>
      <c r="N39" s="587" t="s">
        <v>3054</v>
      </c>
      <c r="O39" s="586" t="s">
        <v>2846</v>
      </c>
      <c r="P39" s="586"/>
      <c r="Q39" s="588" t="s">
        <v>3245</v>
      </c>
    </row>
    <row r="40" spans="1:17" ht="24.95" customHeight="1" x14ac:dyDescent="0.25">
      <c r="A40" s="448">
        <v>43242</v>
      </c>
      <c r="B40" s="209" t="s">
        <v>3160</v>
      </c>
      <c r="C40" s="455" t="s">
        <v>40</v>
      </c>
      <c r="D40" s="124" t="s">
        <v>701</v>
      </c>
      <c r="E40" s="124" t="s">
        <v>429</v>
      </c>
      <c r="F40" s="216">
        <v>41480</v>
      </c>
      <c r="G40" s="104">
        <v>213.66</v>
      </c>
      <c r="H40" s="104">
        <v>10</v>
      </c>
      <c r="I40" s="375">
        <v>13.7</v>
      </c>
      <c r="J40" s="464">
        <f t="shared" si="0"/>
        <v>6.4120565384255359</v>
      </c>
      <c r="K40" s="585">
        <v>100</v>
      </c>
      <c r="L40" s="586" t="s">
        <v>49</v>
      </c>
      <c r="M40" s="586" t="s">
        <v>1431</v>
      </c>
      <c r="N40" s="587" t="s">
        <v>3054</v>
      </c>
      <c r="O40" s="586" t="s">
        <v>2648</v>
      </c>
      <c r="P40" s="586"/>
      <c r="Q40" s="588" t="s">
        <v>3245</v>
      </c>
    </row>
    <row r="41" spans="1:17" ht="24.95" customHeight="1" x14ac:dyDescent="0.25">
      <c r="A41" s="448">
        <v>43243</v>
      </c>
      <c r="B41" s="209" t="s">
        <v>3031</v>
      </c>
      <c r="C41" s="455" t="s">
        <v>1610</v>
      </c>
      <c r="D41" s="103" t="s">
        <v>3147</v>
      </c>
      <c r="E41" s="124" t="s">
        <v>1545</v>
      </c>
      <c r="F41" s="216">
        <v>42497</v>
      </c>
      <c r="G41" s="104">
        <v>75.069999999999993</v>
      </c>
      <c r="H41" s="104">
        <v>1000</v>
      </c>
      <c r="I41" s="106">
        <v>123.88</v>
      </c>
      <c r="J41" s="464">
        <f t="shared" si="0"/>
        <v>1.6336912215265749</v>
      </c>
      <c r="K41" s="585">
        <v>99</v>
      </c>
      <c r="L41" s="586" t="s">
        <v>49</v>
      </c>
      <c r="M41" s="586" t="s">
        <v>1756</v>
      </c>
      <c r="N41" s="587" t="s">
        <v>3030</v>
      </c>
      <c r="O41" s="586" t="s">
        <v>2648</v>
      </c>
      <c r="P41" s="586"/>
      <c r="Q41" s="588" t="s">
        <v>3245</v>
      </c>
    </row>
    <row r="42" spans="1:17" ht="24.95" customHeight="1" x14ac:dyDescent="0.25">
      <c r="A42" s="448">
        <v>43243</v>
      </c>
      <c r="B42" s="209" t="s">
        <v>3207</v>
      </c>
      <c r="C42" s="455" t="s">
        <v>40</v>
      </c>
      <c r="D42" s="103" t="s">
        <v>3037</v>
      </c>
      <c r="E42" s="33" t="s">
        <v>3206</v>
      </c>
      <c r="F42" s="216">
        <v>43243</v>
      </c>
      <c r="G42" s="126">
        <v>450.92</v>
      </c>
      <c r="H42" s="104">
        <v>10</v>
      </c>
      <c r="I42" s="106">
        <v>20.05</v>
      </c>
      <c r="J42" s="464">
        <f t="shared" si="0"/>
        <v>4.4464650048789141</v>
      </c>
      <c r="K42" s="585">
        <v>100</v>
      </c>
      <c r="L42" s="586" t="s">
        <v>212</v>
      </c>
      <c r="M42" s="586" t="s">
        <v>1463</v>
      </c>
      <c r="N42" s="587" t="s">
        <v>3054</v>
      </c>
      <c r="O42" s="586" t="s">
        <v>2846</v>
      </c>
      <c r="P42" s="586"/>
      <c r="Q42" s="588" t="s">
        <v>3245</v>
      </c>
    </row>
    <row r="43" spans="1:17" ht="24.95" customHeight="1" x14ac:dyDescent="0.25">
      <c r="A43" s="448">
        <v>43243</v>
      </c>
      <c r="B43" s="209" t="s">
        <v>3212</v>
      </c>
      <c r="C43" s="455" t="s">
        <v>170</v>
      </c>
      <c r="D43" s="103" t="s">
        <v>289</v>
      </c>
      <c r="E43" s="33" t="s">
        <v>3183</v>
      </c>
      <c r="F43" s="216">
        <v>43243</v>
      </c>
      <c r="G43" s="104">
        <v>406.786</v>
      </c>
      <c r="H43" s="104">
        <v>1.04</v>
      </c>
      <c r="I43" s="106">
        <v>2.0499999999999998</v>
      </c>
      <c r="J43" s="464">
        <f>(I43*K43/100)/(H43*G43)*1000</f>
        <v>4.8456776933174837</v>
      </c>
      <c r="K43" s="585">
        <v>100</v>
      </c>
      <c r="L43" s="586" t="s">
        <v>212</v>
      </c>
      <c r="M43" s="586" t="s">
        <v>1600</v>
      </c>
      <c r="N43" s="587" t="s">
        <v>3030</v>
      </c>
      <c r="O43" s="586" t="s">
        <v>2648</v>
      </c>
      <c r="P43" s="586"/>
      <c r="Q43" s="588" t="s">
        <v>3245</v>
      </c>
    </row>
    <row r="44" spans="1:17" ht="24.95" customHeight="1" x14ac:dyDescent="0.25">
      <c r="A44" s="448">
        <v>43243</v>
      </c>
      <c r="B44" s="209" t="s">
        <v>2678</v>
      </c>
      <c r="C44" s="455" t="s">
        <v>1610</v>
      </c>
      <c r="D44" s="103" t="s">
        <v>701</v>
      </c>
      <c r="E44" s="124" t="s">
        <v>2558</v>
      </c>
      <c r="F44" s="216">
        <v>43070</v>
      </c>
      <c r="G44" s="126">
        <v>89.09</v>
      </c>
      <c r="H44" s="374" t="s">
        <v>3114</v>
      </c>
      <c r="I44" s="106">
        <v>9000</v>
      </c>
      <c r="J44" s="464"/>
      <c r="K44" s="585">
        <v>99</v>
      </c>
      <c r="L44" s="586" t="s">
        <v>49</v>
      </c>
      <c r="M44" s="586" t="s">
        <v>2121</v>
      </c>
      <c r="N44" s="587" t="s">
        <v>3149</v>
      </c>
      <c r="O44" s="586" t="s">
        <v>2648</v>
      </c>
      <c r="P44" s="590"/>
      <c r="Q44" s="588" t="s">
        <v>3245</v>
      </c>
    </row>
    <row r="45" spans="1:17" ht="24.95" customHeight="1" x14ac:dyDescent="0.25">
      <c r="A45" s="448">
        <v>43244</v>
      </c>
      <c r="B45" s="209" t="s">
        <v>3031</v>
      </c>
      <c r="C45" s="455" t="s">
        <v>170</v>
      </c>
      <c r="D45" s="103" t="s">
        <v>3147</v>
      </c>
      <c r="E45" s="124" t="s">
        <v>1545</v>
      </c>
      <c r="F45" s="216">
        <v>42497</v>
      </c>
      <c r="G45" s="104">
        <v>75.069999999999993</v>
      </c>
      <c r="H45" s="104">
        <v>1000</v>
      </c>
      <c r="I45" s="106">
        <v>113.3</v>
      </c>
      <c r="J45" s="464">
        <f t="shared" ref="J45" si="1">(I45*K45/100)/(H45*G45)*1000</f>
        <v>1.4941654455841213</v>
      </c>
      <c r="K45" s="589">
        <v>99</v>
      </c>
      <c r="L45" s="586" t="s">
        <v>49</v>
      </c>
      <c r="M45" s="586" t="s">
        <v>2042</v>
      </c>
      <c r="N45" s="587" t="s">
        <v>3030</v>
      </c>
      <c r="O45" s="586" t="s">
        <v>2648</v>
      </c>
      <c r="P45" s="590"/>
      <c r="Q45" s="588" t="s">
        <v>3245</v>
      </c>
    </row>
    <row r="46" spans="1:17" ht="24.95" customHeight="1" x14ac:dyDescent="0.25">
      <c r="A46" s="448">
        <v>43245</v>
      </c>
      <c r="B46" s="209" t="s">
        <v>3218</v>
      </c>
      <c r="C46" s="455" t="s">
        <v>170</v>
      </c>
      <c r="D46" s="103" t="s">
        <v>701</v>
      </c>
      <c r="E46" s="124" t="s">
        <v>3216</v>
      </c>
      <c r="F46" s="216">
        <v>43245</v>
      </c>
      <c r="G46" s="126">
        <v>276.12</v>
      </c>
      <c r="H46" s="374">
        <v>20</v>
      </c>
      <c r="I46" s="375">
        <v>50.13</v>
      </c>
      <c r="J46" s="464">
        <f t="shared" si="0"/>
        <v>9.0775749674054769</v>
      </c>
      <c r="K46" s="591">
        <v>100</v>
      </c>
      <c r="L46" s="586" t="s">
        <v>212</v>
      </c>
      <c r="M46" s="586" t="s">
        <v>2042</v>
      </c>
      <c r="N46" s="587" t="s">
        <v>3217</v>
      </c>
      <c r="O46" s="586" t="s">
        <v>2846</v>
      </c>
      <c r="P46" s="590"/>
      <c r="Q46" s="588" t="s">
        <v>3245</v>
      </c>
    </row>
    <row r="47" spans="1:17" ht="24.95" customHeight="1" x14ac:dyDescent="0.25">
      <c r="A47" s="448">
        <v>43245</v>
      </c>
      <c r="B47" s="209" t="s">
        <v>3031</v>
      </c>
      <c r="C47" s="455" t="s">
        <v>170</v>
      </c>
      <c r="D47" s="103" t="s">
        <v>3147</v>
      </c>
      <c r="E47" s="124" t="s">
        <v>1545</v>
      </c>
      <c r="F47" s="216">
        <v>42497</v>
      </c>
      <c r="G47" s="126">
        <v>75.069999999999993</v>
      </c>
      <c r="H47" s="374">
        <v>1000</v>
      </c>
      <c r="I47" s="375">
        <v>121.41</v>
      </c>
      <c r="J47" s="464">
        <f t="shared" si="0"/>
        <v>1.601117623551352</v>
      </c>
      <c r="K47" s="591">
        <v>99</v>
      </c>
      <c r="L47" s="586" t="s">
        <v>49</v>
      </c>
      <c r="M47" s="586" t="s">
        <v>1756</v>
      </c>
      <c r="N47" s="587" t="s">
        <v>3030</v>
      </c>
      <c r="O47" s="586" t="s">
        <v>2648</v>
      </c>
      <c r="P47" s="590"/>
      <c r="Q47" s="588" t="s">
        <v>3245</v>
      </c>
    </row>
    <row r="48" spans="1:17" ht="24.95" customHeight="1" x14ac:dyDescent="0.25">
      <c r="A48" s="448">
        <v>43248</v>
      </c>
      <c r="B48" s="209" t="s">
        <v>3031</v>
      </c>
      <c r="C48" s="455" t="s">
        <v>170</v>
      </c>
      <c r="D48" s="103" t="s">
        <v>3147</v>
      </c>
      <c r="E48" s="124" t="s">
        <v>1545</v>
      </c>
      <c r="F48" s="216">
        <v>42497</v>
      </c>
      <c r="G48" s="104">
        <v>75.069999999999993</v>
      </c>
      <c r="H48" s="104">
        <v>1000</v>
      </c>
      <c r="I48" s="106">
        <v>94.37</v>
      </c>
      <c r="J48" s="464">
        <f t="shared" si="0"/>
        <v>1.2445224457173307</v>
      </c>
      <c r="K48" s="589">
        <v>99</v>
      </c>
      <c r="L48" s="586" t="s">
        <v>49</v>
      </c>
      <c r="M48" s="586" t="s">
        <v>2042</v>
      </c>
      <c r="N48" s="587" t="s">
        <v>3030</v>
      </c>
      <c r="O48" s="586" t="s">
        <v>2648</v>
      </c>
      <c r="P48" s="590"/>
      <c r="Q48" s="588" t="s">
        <v>3245</v>
      </c>
    </row>
    <row r="49" spans="1:17" ht="24.95" customHeight="1" x14ac:dyDescent="0.25">
      <c r="A49" s="448">
        <v>43249</v>
      </c>
      <c r="B49" s="209" t="s">
        <v>3031</v>
      </c>
      <c r="C49" s="455" t="s">
        <v>170</v>
      </c>
      <c r="D49" s="103" t="s">
        <v>3147</v>
      </c>
      <c r="E49" s="124" t="s">
        <v>1545</v>
      </c>
      <c r="F49" s="216">
        <v>42497</v>
      </c>
      <c r="G49" s="104">
        <v>75.069999999999993</v>
      </c>
      <c r="H49" s="104">
        <v>1000</v>
      </c>
      <c r="I49" s="106">
        <v>102.09</v>
      </c>
      <c r="J49" s="464">
        <f t="shared" ref="J49" si="2">(I49*K49/100)/(H49*G49)*1000</f>
        <v>1.3463314240042625</v>
      </c>
      <c r="K49" s="589">
        <v>99</v>
      </c>
      <c r="L49" s="586" t="s">
        <v>49</v>
      </c>
      <c r="M49" s="586" t="s">
        <v>2042</v>
      </c>
      <c r="N49" s="587" t="s">
        <v>3030</v>
      </c>
      <c r="O49" s="586" t="s">
        <v>2648</v>
      </c>
      <c r="P49" s="590"/>
      <c r="Q49" s="588" t="s">
        <v>3245</v>
      </c>
    </row>
    <row r="50" spans="1:17" ht="24.95" customHeight="1" x14ac:dyDescent="0.25">
      <c r="A50" s="448">
        <v>43249</v>
      </c>
      <c r="B50" s="451" t="s">
        <v>3219</v>
      </c>
      <c r="C50" s="458" t="s">
        <v>170</v>
      </c>
      <c r="D50" s="293" t="s">
        <v>701</v>
      </c>
      <c r="E50" s="293" t="s">
        <v>3220</v>
      </c>
      <c r="F50" s="216">
        <v>43405</v>
      </c>
      <c r="G50" s="126">
        <v>116.12</v>
      </c>
      <c r="H50" s="374" t="s">
        <v>61</v>
      </c>
      <c r="I50" s="375" t="s">
        <v>61</v>
      </c>
      <c r="J50" s="464" t="e">
        <f t="shared" si="0"/>
        <v>#VALUE!</v>
      </c>
      <c r="K50" s="591" t="s">
        <v>61</v>
      </c>
      <c r="L50" s="586" t="s">
        <v>1434</v>
      </c>
      <c r="M50" s="586" t="s">
        <v>1613</v>
      </c>
      <c r="N50" s="587" t="s">
        <v>3030</v>
      </c>
      <c r="O50" s="586" t="s">
        <v>2846</v>
      </c>
      <c r="P50" s="590"/>
      <c r="Q50" s="588" t="s">
        <v>3245</v>
      </c>
    </row>
    <row r="51" spans="1:17" ht="24.95" customHeight="1" x14ac:dyDescent="0.25">
      <c r="A51" s="448">
        <v>43249</v>
      </c>
      <c r="B51" s="451" t="s">
        <v>3221</v>
      </c>
      <c r="C51" s="458" t="s">
        <v>170</v>
      </c>
      <c r="D51" s="293" t="s">
        <v>701</v>
      </c>
      <c r="E51" s="293" t="s">
        <v>3220</v>
      </c>
      <c r="F51" s="216">
        <v>43405</v>
      </c>
      <c r="G51" s="126">
        <v>116.12</v>
      </c>
      <c r="H51" s="374" t="s">
        <v>61</v>
      </c>
      <c r="I51" s="375" t="s">
        <v>61</v>
      </c>
      <c r="J51" s="464" t="e">
        <f t="shared" ref="J51" si="3">(I51*K51/100)/(H51*G51)*1000</f>
        <v>#VALUE!</v>
      </c>
      <c r="K51" s="591" t="s">
        <v>61</v>
      </c>
      <c r="L51" s="586" t="s">
        <v>1434</v>
      </c>
      <c r="M51" s="586" t="s">
        <v>1613</v>
      </c>
      <c r="N51" s="587" t="s">
        <v>3030</v>
      </c>
      <c r="O51" s="586" t="s">
        <v>2648</v>
      </c>
      <c r="P51" s="590"/>
      <c r="Q51" s="588" t="s">
        <v>3245</v>
      </c>
    </row>
    <row r="52" spans="1:17" ht="24.95" customHeight="1" x14ac:dyDescent="0.25">
      <c r="A52" s="448">
        <v>43249</v>
      </c>
      <c r="B52" s="209" t="s">
        <v>3222</v>
      </c>
      <c r="C52" s="455" t="s">
        <v>824</v>
      </c>
      <c r="D52" s="293" t="s">
        <v>3145</v>
      </c>
      <c r="E52" s="293" t="s">
        <v>2963</v>
      </c>
      <c r="F52" s="216">
        <v>43249</v>
      </c>
      <c r="G52" s="126">
        <v>350.82</v>
      </c>
      <c r="H52" s="374">
        <v>10</v>
      </c>
      <c r="I52" s="375">
        <v>8.91</v>
      </c>
      <c r="J52" s="464">
        <f t="shared" si="0"/>
        <v>2.5397639815289894</v>
      </c>
      <c r="K52" s="585">
        <v>100</v>
      </c>
      <c r="L52" s="586" t="s">
        <v>212</v>
      </c>
      <c r="M52" s="586" t="s">
        <v>2042</v>
      </c>
      <c r="N52" s="587" t="s">
        <v>2933</v>
      </c>
      <c r="O52" s="586" t="s">
        <v>2648</v>
      </c>
      <c r="P52" s="590"/>
      <c r="Q52" s="588" t="s">
        <v>3245</v>
      </c>
    </row>
    <row r="53" spans="1:17" ht="24.95" customHeight="1" x14ac:dyDescent="0.25">
      <c r="A53" s="448">
        <v>43249</v>
      </c>
      <c r="B53" s="209" t="s">
        <v>3223</v>
      </c>
      <c r="C53" s="455" t="s">
        <v>824</v>
      </c>
      <c r="D53" s="124" t="s">
        <v>3145</v>
      </c>
      <c r="E53" s="124" t="s">
        <v>2962</v>
      </c>
      <c r="F53" s="216">
        <v>43249</v>
      </c>
      <c r="G53" s="126">
        <v>488.48</v>
      </c>
      <c r="H53" s="374">
        <v>10</v>
      </c>
      <c r="I53" s="375">
        <v>12.55</v>
      </c>
      <c r="J53" s="464">
        <f t="shared" si="0"/>
        <v>2.5691942351785126</v>
      </c>
      <c r="K53" s="585">
        <v>100</v>
      </c>
      <c r="L53" s="586" t="s">
        <v>212</v>
      </c>
      <c r="M53" s="586" t="s">
        <v>2042</v>
      </c>
      <c r="N53" s="587" t="s">
        <v>2933</v>
      </c>
      <c r="O53" s="586" t="s">
        <v>2648</v>
      </c>
      <c r="P53" s="590"/>
      <c r="Q53" s="588" t="s">
        <v>3245</v>
      </c>
    </row>
    <row r="54" spans="1:17" ht="24.95" customHeight="1" x14ac:dyDescent="0.25">
      <c r="A54" s="448">
        <v>43250</v>
      </c>
      <c r="B54" s="209" t="s">
        <v>3031</v>
      </c>
      <c r="C54" s="455" t="s">
        <v>170</v>
      </c>
      <c r="D54" s="103" t="s">
        <v>3147</v>
      </c>
      <c r="E54" s="124" t="s">
        <v>1545</v>
      </c>
      <c r="F54" s="216">
        <v>42497</v>
      </c>
      <c r="G54" s="104">
        <v>75.069999999999993</v>
      </c>
      <c r="H54" s="104">
        <v>1000</v>
      </c>
      <c r="I54" s="106">
        <v>104.42</v>
      </c>
      <c r="J54" s="464">
        <f t="shared" si="0"/>
        <v>1.3770587451711735</v>
      </c>
      <c r="K54" s="589">
        <v>99</v>
      </c>
      <c r="L54" s="586" t="s">
        <v>49</v>
      </c>
      <c r="M54" s="586" t="s">
        <v>2042</v>
      </c>
      <c r="N54" s="587" t="s">
        <v>3030</v>
      </c>
      <c r="O54" s="586" t="s">
        <v>2648</v>
      </c>
      <c r="P54" s="590"/>
      <c r="Q54" s="588" t="s">
        <v>3245</v>
      </c>
    </row>
    <row r="55" spans="1:17" ht="24.95" customHeight="1" x14ac:dyDescent="0.25">
      <c r="A55" s="448">
        <v>43249</v>
      </c>
      <c r="B55" s="449" t="s">
        <v>3160</v>
      </c>
      <c r="C55" s="454" t="s">
        <v>40</v>
      </c>
      <c r="D55" s="293" t="s">
        <v>701</v>
      </c>
      <c r="E55" s="293" t="s">
        <v>429</v>
      </c>
      <c r="F55" s="216">
        <v>41480</v>
      </c>
      <c r="G55" s="126">
        <v>213.23</v>
      </c>
      <c r="H55" s="374">
        <v>10</v>
      </c>
      <c r="I55" s="375">
        <v>6.78</v>
      </c>
      <c r="J55" s="464">
        <f t="shared" si="0"/>
        <v>3.1796651503071809</v>
      </c>
      <c r="K55" s="591">
        <v>100</v>
      </c>
      <c r="L55" s="586" t="s">
        <v>212</v>
      </c>
      <c r="M55" s="586" t="s">
        <v>3192</v>
      </c>
      <c r="N55" s="587" t="s">
        <v>3054</v>
      </c>
      <c r="O55" s="586" t="s">
        <v>2648</v>
      </c>
      <c r="P55" s="590"/>
      <c r="Q55" s="588" t="s">
        <v>3245</v>
      </c>
    </row>
    <row r="56" spans="1:17" ht="24.95" customHeight="1" x14ac:dyDescent="0.25">
      <c r="A56" s="448">
        <v>43251</v>
      </c>
      <c r="B56" s="449" t="s">
        <v>3226</v>
      </c>
      <c r="C56" s="454" t="s">
        <v>40</v>
      </c>
      <c r="D56" s="293" t="s">
        <v>701</v>
      </c>
      <c r="E56" s="293" t="s">
        <v>878</v>
      </c>
      <c r="F56" s="216">
        <v>43234</v>
      </c>
      <c r="G56" s="126">
        <v>189.17</v>
      </c>
      <c r="H56" s="374" t="s">
        <v>61</v>
      </c>
      <c r="I56" s="375" t="s">
        <v>61</v>
      </c>
      <c r="J56" s="464" t="e">
        <f t="shared" si="0"/>
        <v>#VALUE!</v>
      </c>
      <c r="K56" s="591" t="s">
        <v>61</v>
      </c>
      <c r="L56" s="586" t="s">
        <v>1434</v>
      </c>
      <c r="M56" s="586" t="s">
        <v>2873</v>
      </c>
      <c r="N56" s="587" t="s">
        <v>3228</v>
      </c>
      <c r="O56" s="586" t="s">
        <v>2846</v>
      </c>
      <c r="P56" s="590"/>
      <c r="Q56" s="588" t="s">
        <v>3245</v>
      </c>
    </row>
    <row r="57" spans="1:17" ht="24.95" customHeight="1" x14ac:dyDescent="0.25">
      <c r="A57" s="448">
        <v>43251</v>
      </c>
      <c r="B57" s="209" t="s">
        <v>3227</v>
      </c>
      <c r="C57" s="455" t="s">
        <v>40</v>
      </c>
      <c r="D57" s="293" t="s">
        <v>701</v>
      </c>
      <c r="E57" s="293" t="s">
        <v>878</v>
      </c>
      <c r="F57" s="216">
        <v>43251</v>
      </c>
      <c r="G57" s="126">
        <v>189.17</v>
      </c>
      <c r="H57" s="374" t="s">
        <v>61</v>
      </c>
      <c r="I57" s="375" t="s">
        <v>61</v>
      </c>
      <c r="J57" s="464" t="e">
        <f t="shared" si="0"/>
        <v>#VALUE!</v>
      </c>
      <c r="K57" s="591" t="s">
        <v>3229</v>
      </c>
      <c r="L57" s="586" t="s">
        <v>1434</v>
      </c>
      <c r="M57" s="590" t="s">
        <v>2873</v>
      </c>
      <c r="N57" s="587" t="s">
        <v>3228</v>
      </c>
      <c r="O57" s="586" t="s">
        <v>2648</v>
      </c>
      <c r="P57" s="590"/>
      <c r="Q57" s="588" t="s">
        <v>3245</v>
      </c>
    </row>
    <row r="58" spans="1:17" ht="24.95" customHeight="1" x14ac:dyDescent="0.25">
      <c r="A58" s="448">
        <v>43251</v>
      </c>
      <c r="B58" s="209" t="s">
        <v>3230</v>
      </c>
      <c r="C58" s="455" t="s">
        <v>40</v>
      </c>
      <c r="D58" s="293" t="s">
        <v>3141</v>
      </c>
      <c r="E58" s="293" t="s">
        <v>2279</v>
      </c>
      <c r="F58" s="216">
        <v>43251</v>
      </c>
      <c r="G58" s="126">
        <v>491.68299999999999</v>
      </c>
      <c r="H58" s="374">
        <v>10</v>
      </c>
      <c r="I58" s="375">
        <v>60</v>
      </c>
      <c r="J58" s="464">
        <f t="shared" si="0"/>
        <v>12.032142661023464</v>
      </c>
      <c r="K58" s="592">
        <v>98.6</v>
      </c>
      <c r="L58" s="586" t="s">
        <v>212</v>
      </c>
      <c r="M58" s="590" t="s">
        <v>1463</v>
      </c>
      <c r="N58" s="587" t="s">
        <v>3228</v>
      </c>
      <c r="O58" s="586" t="s">
        <v>2648</v>
      </c>
      <c r="P58" s="590"/>
      <c r="Q58" s="588" t="s">
        <v>3245</v>
      </c>
    </row>
    <row r="59" spans="1:17" ht="24.95" customHeight="1" x14ac:dyDescent="0.25">
      <c r="A59" s="448">
        <v>43251</v>
      </c>
      <c r="B59" s="209" t="s">
        <v>3031</v>
      </c>
      <c r="C59" s="455" t="s">
        <v>170</v>
      </c>
      <c r="D59" s="103" t="s">
        <v>3147</v>
      </c>
      <c r="E59" s="124" t="s">
        <v>1545</v>
      </c>
      <c r="F59" s="216">
        <v>42497</v>
      </c>
      <c r="G59" s="104">
        <v>75.069999999999993</v>
      </c>
      <c r="H59" s="104">
        <v>1000</v>
      </c>
      <c r="I59" s="106">
        <v>73.849999999999994</v>
      </c>
      <c r="J59" s="464">
        <f t="shared" ref="J59" si="4">(I59*K59/100)/(H59*G59)*1000</f>
        <v>0.97391101638470756</v>
      </c>
      <c r="K59" s="589">
        <v>99</v>
      </c>
      <c r="L59" s="586" t="s">
        <v>49</v>
      </c>
      <c r="M59" s="586" t="s">
        <v>2042</v>
      </c>
      <c r="N59" s="587" t="s">
        <v>3030</v>
      </c>
      <c r="O59" s="586" t="s">
        <v>2648</v>
      </c>
      <c r="P59" s="590"/>
      <c r="Q59" s="588" t="s">
        <v>3245</v>
      </c>
    </row>
    <row r="60" spans="1:17" ht="24.95" customHeight="1" x14ac:dyDescent="0.25">
      <c r="A60" s="513"/>
      <c r="B60" s="514"/>
      <c r="C60" s="514"/>
      <c r="D60" s="515"/>
      <c r="E60" s="515"/>
      <c r="F60" s="576"/>
      <c r="G60" s="577"/>
      <c r="H60" s="518"/>
      <c r="I60" s="519"/>
      <c r="J60" s="520"/>
      <c r="K60" s="521"/>
      <c r="L60" s="522"/>
      <c r="M60" s="523"/>
      <c r="N60" s="522"/>
    </row>
    <row r="61" spans="1:17" ht="24.95" customHeight="1" x14ac:dyDescent="0.25">
      <c r="A61" s="513"/>
      <c r="B61" s="514"/>
      <c r="C61" s="514"/>
      <c r="D61" s="784" t="s">
        <v>3246</v>
      </c>
      <c r="E61" s="784"/>
      <c r="F61" s="784"/>
      <c r="G61" s="784"/>
      <c r="H61" s="784"/>
      <c r="I61" s="784"/>
      <c r="J61" s="784"/>
      <c r="K61" s="784"/>
      <c r="L61" s="784"/>
      <c r="M61" s="784"/>
      <c r="N61" s="522"/>
    </row>
    <row r="62" spans="1:17" ht="24.95" customHeight="1" x14ac:dyDescent="0.25">
      <c r="A62" s="513"/>
      <c r="B62" s="514"/>
      <c r="C62" s="514"/>
      <c r="D62" s="515"/>
      <c r="E62" s="515"/>
      <c r="F62" s="516"/>
      <c r="G62" s="517"/>
      <c r="H62" s="518"/>
      <c r="I62" s="519"/>
      <c r="J62" s="520"/>
      <c r="K62" s="521"/>
      <c r="L62" s="522"/>
      <c r="M62" s="523"/>
      <c r="N62" s="522"/>
    </row>
    <row r="63" spans="1:17" ht="24.95" customHeight="1" x14ac:dyDescent="0.25">
      <c r="A63" s="513"/>
      <c r="B63" s="514"/>
      <c r="C63" s="514"/>
      <c r="D63" s="515"/>
      <c r="E63" s="515"/>
      <c r="F63" s="516"/>
      <c r="G63" s="517"/>
      <c r="H63" s="518"/>
      <c r="I63" s="519"/>
      <c r="J63" s="520"/>
      <c r="K63" s="521"/>
      <c r="L63" s="522"/>
      <c r="M63" s="523"/>
      <c r="N63" s="522"/>
    </row>
    <row r="64" spans="1:17" ht="24.95" customHeight="1" x14ac:dyDescent="0.25">
      <c r="A64" s="513"/>
      <c r="B64" s="514"/>
      <c r="C64" s="514"/>
      <c r="D64" s="515"/>
      <c r="E64" s="515"/>
      <c r="F64" s="516"/>
      <c r="G64" s="517"/>
      <c r="H64" s="518"/>
      <c r="I64" s="519"/>
      <c r="J64" s="520"/>
      <c r="K64" s="521"/>
      <c r="L64" s="522"/>
      <c r="M64" s="523"/>
      <c r="N64" s="522"/>
    </row>
    <row r="65" spans="1:14" ht="24.95" customHeight="1" x14ac:dyDescent="0.25">
      <c r="A65" s="513"/>
      <c r="B65" s="514"/>
      <c r="C65" s="514"/>
      <c r="D65" s="515"/>
      <c r="E65" s="515"/>
      <c r="F65" s="516"/>
      <c r="G65" s="517"/>
      <c r="H65" s="518"/>
      <c r="I65" s="519"/>
      <c r="J65" s="520"/>
      <c r="K65" s="521"/>
      <c r="L65" s="522"/>
      <c r="M65" s="523"/>
      <c r="N65" s="522"/>
    </row>
    <row r="66" spans="1:14" ht="24.95" customHeight="1" x14ac:dyDescent="0.25">
      <c r="A66" s="513"/>
      <c r="B66" s="514"/>
      <c r="C66" s="514"/>
      <c r="D66" s="515"/>
      <c r="E66" s="515"/>
      <c r="F66" s="516"/>
      <c r="G66" s="517"/>
      <c r="H66" s="518"/>
      <c r="I66" s="519"/>
      <c r="J66" s="520"/>
      <c r="K66" s="521"/>
      <c r="L66" s="522"/>
      <c r="M66" s="523"/>
      <c r="N66" s="522"/>
    </row>
    <row r="67" spans="1:14" ht="24.95" customHeight="1" x14ac:dyDescent="0.25">
      <c r="A67" s="513"/>
      <c r="B67" s="514"/>
      <c r="C67" s="514"/>
      <c r="D67" s="515"/>
      <c r="E67" s="515"/>
      <c r="F67" s="516"/>
      <c r="G67" s="517"/>
      <c r="H67" s="518"/>
      <c r="I67" s="519"/>
      <c r="J67" s="520"/>
      <c r="K67" s="521"/>
      <c r="L67" s="522"/>
      <c r="M67" s="523"/>
      <c r="N67" s="522"/>
    </row>
    <row r="68" spans="1:14" ht="24.95" customHeight="1" x14ac:dyDescent="0.25">
      <c r="A68" s="513"/>
      <c r="B68" s="514"/>
      <c r="C68" s="514"/>
      <c r="D68" s="515"/>
      <c r="E68" s="515"/>
      <c r="F68" s="516"/>
      <c r="G68" s="517"/>
      <c r="H68" s="518"/>
      <c r="I68" s="519"/>
      <c r="J68" s="520"/>
      <c r="K68" s="521"/>
      <c r="L68" s="522"/>
      <c r="M68" s="523"/>
      <c r="N68" s="522"/>
    </row>
    <row r="69" spans="1:14" ht="24.95" customHeight="1" x14ac:dyDescent="0.25">
      <c r="A69" s="513"/>
      <c r="B69" s="514"/>
      <c r="C69" s="514"/>
      <c r="D69" s="515"/>
      <c r="E69" s="515"/>
      <c r="F69" s="516"/>
      <c r="G69" s="517"/>
      <c r="H69" s="518"/>
      <c r="I69" s="519"/>
      <c r="J69" s="520"/>
      <c r="K69" s="521"/>
      <c r="L69" s="522"/>
      <c r="M69" s="523"/>
      <c r="N69" s="522"/>
    </row>
    <row r="70" spans="1:14" ht="24.95" customHeight="1" x14ac:dyDescent="0.25">
      <c r="A70" s="513"/>
      <c r="B70" s="514"/>
      <c r="C70" s="514"/>
      <c r="D70" s="515"/>
      <c r="E70" s="515"/>
      <c r="F70" s="516"/>
      <c r="G70" s="517"/>
      <c r="H70" s="518"/>
      <c r="I70" s="519"/>
      <c r="J70" s="520"/>
      <c r="K70" s="521"/>
      <c r="L70" s="522"/>
      <c r="M70" s="523"/>
      <c r="N70" s="522"/>
    </row>
    <row r="71" spans="1:14" ht="24.95" customHeight="1" x14ac:dyDescent="0.25">
      <c r="A71" s="513"/>
      <c r="B71" s="514"/>
      <c r="C71" s="514"/>
      <c r="D71" s="515"/>
      <c r="E71" s="515"/>
      <c r="F71" s="516"/>
      <c r="G71" s="517"/>
      <c r="H71" s="518"/>
      <c r="I71" s="519"/>
      <c r="J71" s="520"/>
      <c r="K71" s="521"/>
      <c r="L71" s="522"/>
      <c r="M71" s="523"/>
      <c r="N71" s="522"/>
    </row>
    <row r="72" spans="1:14" ht="24.95" customHeight="1" x14ac:dyDescent="0.25">
      <c r="A72" s="513"/>
      <c r="B72" s="514"/>
      <c r="C72" s="514"/>
      <c r="D72" s="515"/>
      <c r="E72" s="515"/>
      <c r="F72" s="516"/>
      <c r="G72" s="517"/>
      <c r="H72" s="518"/>
      <c r="I72" s="519"/>
      <c r="J72" s="520"/>
      <c r="K72" s="521"/>
      <c r="L72" s="522"/>
      <c r="M72" s="523"/>
      <c r="N72" s="522"/>
    </row>
    <row r="73" spans="1:14" ht="24.95" customHeight="1" x14ac:dyDescent="0.25">
      <c r="A73" s="513"/>
      <c r="B73" s="514"/>
      <c r="C73" s="514"/>
      <c r="D73" s="515"/>
      <c r="E73" s="515"/>
      <c r="F73" s="516"/>
      <c r="G73" s="517"/>
      <c r="H73" s="518"/>
      <c r="I73" s="519"/>
      <c r="J73" s="520"/>
      <c r="K73" s="521"/>
      <c r="L73" s="522"/>
      <c r="M73" s="523"/>
      <c r="N73" s="522"/>
    </row>
    <row r="74" spans="1:14" ht="24.95" customHeight="1" x14ac:dyDescent="0.25">
      <c r="A74" s="513"/>
      <c r="B74" s="514"/>
      <c r="C74" s="514"/>
      <c r="D74" s="515"/>
      <c r="E74" s="515"/>
      <c r="F74" s="516"/>
      <c r="G74" s="517"/>
      <c r="H74" s="518"/>
      <c r="I74" s="519"/>
      <c r="J74" s="520"/>
      <c r="K74" s="521"/>
      <c r="L74" s="522"/>
      <c r="M74" s="523"/>
      <c r="N74" s="522"/>
    </row>
    <row r="75" spans="1:14" ht="24.95" customHeight="1" x14ac:dyDescent="0.25">
      <c r="A75" s="513"/>
      <c r="B75" s="514"/>
      <c r="C75" s="514"/>
      <c r="D75" s="515"/>
      <c r="E75" s="515"/>
      <c r="F75" s="516"/>
      <c r="G75" s="517"/>
      <c r="H75" s="518"/>
      <c r="I75" s="519"/>
      <c r="J75" s="520"/>
      <c r="K75" s="521"/>
      <c r="L75" s="522"/>
      <c r="M75" s="523"/>
      <c r="N75" s="522"/>
    </row>
    <row r="76" spans="1:14" ht="24.95" customHeight="1" x14ac:dyDescent="0.25">
      <c r="A76" s="513"/>
      <c r="B76" s="514"/>
      <c r="C76" s="514"/>
      <c r="D76" s="515"/>
      <c r="E76" s="515"/>
      <c r="F76" s="516"/>
      <c r="G76" s="517"/>
      <c r="H76" s="518"/>
      <c r="I76" s="519"/>
      <c r="J76" s="520"/>
      <c r="K76" s="521"/>
      <c r="L76" s="522"/>
      <c r="M76" s="523"/>
      <c r="N76" s="522"/>
    </row>
    <row r="77" spans="1:14" ht="24.95" customHeight="1" x14ac:dyDescent="0.25">
      <c r="A77" s="513"/>
      <c r="B77" s="514"/>
      <c r="C77" s="514"/>
      <c r="D77" s="515"/>
      <c r="E77" s="515"/>
      <c r="F77" s="516"/>
      <c r="G77" s="517"/>
      <c r="H77" s="518"/>
      <c r="I77" s="519"/>
      <c r="J77" s="520"/>
      <c r="K77" s="521"/>
      <c r="L77" s="522"/>
      <c r="M77" s="523"/>
      <c r="N77" s="522"/>
    </row>
    <row r="78" spans="1:14" ht="24.95" customHeight="1" x14ac:dyDescent="0.25">
      <c r="A78" s="513"/>
      <c r="B78" s="514"/>
      <c r="C78" s="514"/>
      <c r="D78" s="515"/>
      <c r="E78" s="515"/>
      <c r="F78" s="516"/>
      <c r="G78" s="517"/>
      <c r="H78" s="518"/>
      <c r="I78" s="519"/>
      <c r="J78" s="520"/>
      <c r="K78" s="521"/>
      <c r="L78" s="522"/>
      <c r="M78" s="523"/>
      <c r="N78" s="522"/>
    </row>
    <row r="79" spans="1:14" ht="24.95" customHeight="1" x14ac:dyDescent="0.25">
      <c r="A79" s="513"/>
      <c r="B79" s="514"/>
      <c r="C79" s="514"/>
      <c r="D79" s="515"/>
      <c r="E79" s="515"/>
      <c r="F79" s="516"/>
      <c r="G79" s="517"/>
      <c r="H79" s="518"/>
      <c r="I79" s="519"/>
      <c r="J79" s="520"/>
      <c r="K79" s="521"/>
      <c r="L79" s="522"/>
      <c r="M79" s="523"/>
      <c r="N79" s="522"/>
    </row>
    <row r="80" spans="1:14" ht="24.95" customHeight="1" x14ac:dyDescent="0.25">
      <c r="A80" s="513"/>
      <c r="B80" s="514"/>
      <c r="C80" s="514"/>
      <c r="D80" s="515"/>
      <c r="E80" s="515"/>
      <c r="F80" s="516"/>
      <c r="G80" s="517"/>
      <c r="H80" s="518"/>
      <c r="I80" s="519"/>
      <c r="J80" s="520"/>
      <c r="K80" s="521"/>
      <c r="L80" s="522"/>
      <c r="M80" s="523"/>
      <c r="N80" s="522"/>
    </row>
    <row r="81" spans="1:14" ht="24.95" customHeight="1" x14ac:dyDescent="0.25">
      <c r="A81" s="513"/>
      <c r="B81" s="514"/>
      <c r="C81" s="514"/>
      <c r="D81" s="515"/>
      <c r="E81" s="515"/>
      <c r="F81" s="516"/>
      <c r="G81" s="517"/>
      <c r="H81" s="518"/>
      <c r="I81" s="519"/>
      <c r="J81" s="520"/>
      <c r="K81" s="521"/>
      <c r="L81" s="522"/>
      <c r="M81" s="523"/>
      <c r="N81" s="522"/>
    </row>
    <row r="82" spans="1:14" ht="24.95" customHeight="1" x14ac:dyDescent="0.25">
      <c r="A82" s="513"/>
      <c r="B82" s="514"/>
      <c r="C82" s="514"/>
      <c r="D82" s="515"/>
      <c r="E82" s="515"/>
      <c r="F82" s="516"/>
      <c r="G82" s="517"/>
      <c r="H82" s="518"/>
      <c r="I82" s="519"/>
      <c r="J82" s="520"/>
      <c r="K82" s="521"/>
      <c r="L82" s="522"/>
      <c r="M82" s="523"/>
      <c r="N82" s="522"/>
    </row>
    <row r="83" spans="1:14" ht="24.95" customHeight="1" x14ac:dyDescent="0.25">
      <c r="A83" s="513"/>
      <c r="B83" s="514"/>
      <c r="C83" s="514"/>
      <c r="D83" s="515"/>
      <c r="E83" s="515"/>
      <c r="F83" s="516"/>
      <c r="G83" s="517"/>
      <c r="H83" s="518"/>
      <c r="I83" s="519"/>
      <c r="J83" s="520"/>
      <c r="K83" s="521"/>
      <c r="L83" s="522"/>
      <c r="M83" s="523"/>
      <c r="N83" s="522"/>
    </row>
    <row r="84" spans="1:14" ht="24.95" customHeight="1" x14ac:dyDescent="0.25">
      <c r="A84" s="513"/>
      <c r="B84" s="514"/>
      <c r="C84" s="514"/>
      <c r="D84" s="515"/>
      <c r="E84" s="515"/>
      <c r="F84" s="516"/>
      <c r="G84" s="517"/>
      <c r="H84" s="518"/>
      <c r="I84" s="519"/>
      <c r="J84" s="520"/>
      <c r="K84" s="521"/>
      <c r="L84" s="522"/>
      <c r="M84" s="523"/>
      <c r="N84" s="522"/>
    </row>
    <row r="85" spans="1:14" ht="24.95" customHeight="1" x14ac:dyDescent="0.25">
      <c r="A85" s="513"/>
      <c r="B85" s="514"/>
      <c r="C85" s="514"/>
      <c r="D85" s="515"/>
      <c r="E85" s="515"/>
      <c r="F85" s="516"/>
      <c r="G85" s="517"/>
      <c r="H85" s="518"/>
      <c r="I85" s="519"/>
      <c r="J85" s="520"/>
      <c r="K85" s="521"/>
      <c r="L85" s="522"/>
      <c r="M85" s="523"/>
      <c r="N85" s="522"/>
    </row>
    <row r="86" spans="1:14" ht="24.95" customHeight="1" x14ac:dyDescent="0.25">
      <c r="A86" s="513"/>
      <c r="B86" s="514"/>
      <c r="C86" s="514"/>
      <c r="D86" s="515"/>
      <c r="E86" s="515"/>
      <c r="F86" s="516"/>
      <c r="G86" s="517"/>
      <c r="H86" s="518"/>
      <c r="I86" s="519"/>
      <c r="J86" s="520"/>
      <c r="K86" s="521"/>
      <c r="L86" s="522"/>
      <c r="M86" s="523"/>
      <c r="N86" s="522"/>
    </row>
    <row r="87" spans="1:14" ht="24.95" customHeight="1" x14ac:dyDescent="0.25">
      <c r="A87" s="513"/>
      <c r="B87" s="514"/>
      <c r="C87" s="514"/>
      <c r="D87" s="515"/>
      <c r="E87" s="515"/>
      <c r="F87" s="516"/>
      <c r="G87" s="517"/>
      <c r="H87" s="518"/>
      <c r="I87" s="519"/>
      <c r="J87" s="520"/>
      <c r="K87" s="521"/>
      <c r="L87" s="522"/>
      <c r="M87" s="523"/>
      <c r="N87" s="522"/>
    </row>
    <row r="88" spans="1:14" ht="24.95" customHeight="1" x14ac:dyDescent="0.25">
      <c r="A88" s="513"/>
      <c r="B88" s="514"/>
      <c r="C88" s="514"/>
      <c r="D88" s="515"/>
      <c r="E88" s="515"/>
      <c r="F88" s="516"/>
      <c r="G88" s="517"/>
      <c r="H88" s="518"/>
      <c r="I88" s="519"/>
      <c r="J88" s="520"/>
      <c r="K88" s="521"/>
      <c r="L88" s="522"/>
      <c r="M88" s="523"/>
      <c r="N88" s="522"/>
    </row>
    <row r="89" spans="1:14" ht="24.95" customHeight="1" x14ac:dyDescent="0.25">
      <c r="A89" s="513"/>
      <c r="B89" s="514"/>
      <c r="C89" s="514"/>
      <c r="D89" s="515"/>
      <c r="E89" s="515"/>
      <c r="F89" s="516"/>
      <c r="G89" s="517"/>
      <c r="H89" s="518"/>
      <c r="I89" s="519"/>
      <c r="J89" s="520"/>
      <c r="K89" s="521"/>
      <c r="L89" s="522"/>
      <c r="M89" s="523"/>
      <c r="N89" s="522"/>
    </row>
    <row r="90" spans="1:14" ht="24.95" customHeight="1" x14ac:dyDescent="0.25">
      <c r="A90" s="513"/>
      <c r="B90" s="514"/>
      <c r="C90" s="514"/>
      <c r="D90" s="515"/>
      <c r="E90" s="515"/>
      <c r="F90" s="516"/>
      <c r="G90" s="517"/>
      <c r="H90" s="518"/>
      <c r="I90" s="519"/>
      <c r="J90" s="520"/>
      <c r="K90" s="521"/>
      <c r="L90" s="522"/>
      <c r="M90" s="523"/>
      <c r="N90" s="522"/>
    </row>
    <row r="91" spans="1:14" ht="24.95" customHeight="1" x14ac:dyDescent="0.25">
      <c r="A91" s="513"/>
      <c r="B91" s="514"/>
      <c r="C91" s="514"/>
      <c r="D91" s="515"/>
      <c r="E91" s="515"/>
      <c r="F91" s="516"/>
      <c r="G91" s="517"/>
      <c r="H91" s="518"/>
      <c r="I91" s="519"/>
      <c r="J91" s="520"/>
      <c r="K91" s="521"/>
      <c r="L91" s="522"/>
      <c r="M91" s="523"/>
      <c r="N91" s="522"/>
    </row>
    <row r="92" spans="1:14" ht="24.95" customHeight="1" x14ac:dyDescent="0.25">
      <c r="A92" s="513"/>
      <c r="B92" s="514"/>
      <c r="C92" s="514"/>
      <c r="D92" s="515"/>
      <c r="E92" s="515"/>
      <c r="F92" s="516"/>
      <c r="G92" s="517"/>
      <c r="H92" s="518"/>
      <c r="I92" s="519"/>
      <c r="J92" s="520"/>
      <c r="K92" s="521"/>
      <c r="L92" s="522"/>
      <c r="M92" s="523"/>
      <c r="N92" s="522"/>
    </row>
    <row r="93" spans="1:14" ht="24.95" customHeight="1" x14ac:dyDescent="0.25">
      <c r="A93" s="513"/>
      <c r="B93" s="514"/>
      <c r="C93" s="514"/>
      <c r="D93" s="515"/>
      <c r="E93" s="515"/>
      <c r="F93" s="516"/>
      <c r="G93" s="517"/>
      <c r="H93" s="518"/>
      <c r="I93" s="519"/>
      <c r="J93" s="520"/>
      <c r="K93" s="521"/>
      <c r="L93" s="522"/>
      <c r="M93" s="523"/>
      <c r="N93" s="522"/>
    </row>
    <row r="94" spans="1:14" ht="24.95" customHeight="1" x14ac:dyDescent="0.25">
      <c r="A94" s="513"/>
      <c r="B94" s="514"/>
      <c r="C94" s="514"/>
      <c r="D94" s="515"/>
      <c r="E94" s="515"/>
      <c r="F94" s="516"/>
      <c r="G94" s="517"/>
      <c r="H94" s="518"/>
      <c r="I94" s="519"/>
      <c r="J94" s="520"/>
      <c r="K94" s="521"/>
      <c r="L94" s="522"/>
      <c r="M94" s="523"/>
      <c r="N94" s="522"/>
    </row>
  </sheetData>
  <mergeCells count="3">
    <mergeCell ref="A1:O1"/>
    <mergeCell ref="A2:O2"/>
    <mergeCell ref="D61:M61"/>
  </mergeCells>
  <conditionalFormatting sqref="L3:Q3">
    <cfRule type="cellIs" dxfId="435" priority="29" operator="equal">
      <formula>"sous surveillance"</formula>
    </cfRule>
  </conditionalFormatting>
  <conditionalFormatting sqref="K54">
    <cfRule type="cellIs" dxfId="434" priority="27" operator="equal">
      <formula>"Conforme"</formula>
    </cfRule>
    <cfRule type="cellIs" dxfId="433" priority="28" operator="equal">
      <formula>"Non conforme"</formula>
    </cfRule>
  </conditionalFormatting>
  <conditionalFormatting sqref="K31">
    <cfRule type="cellIs" dxfId="432" priority="25" operator="equal">
      <formula>"Conforme"</formula>
    </cfRule>
    <cfRule type="cellIs" dxfId="431" priority="26" operator="equal">
      <formula>"Non conforme"</formula>
    </cfRule>
  </conditionalFormatting>
  <conditionalFormatting sqref="K38">
    <cfRule type="cellIs" dxfId="430" priority="23" operator="equal">
      <formula>"Conforme"</formula>
    </cfRule>
    <cfRule type="cellIs" dxfId="429" priority="24" operator="equal">
      <formula>"Non conforme"</formula>
    </cfRule>
  </conditionalFormatting>
  <conditionalFormatting sqref="K32">
    <cfRule type="cellIs" dxfId="428" priority="19" operator="equal">
      <formula>"Conforme"</formula>
    </cfRule>
    <cfRule type="cellIs" dxfId="427" priority="20" operator="equal">
      <formula>"Non conforme"</formula>
    </cfRule>
  </conditionalFormatting>
  <conditionalFormatting sqref="K33">
    <cfRule type="cellIs" dxfId="426" priority="17" operator="equal">
      <formula>"Conforme"</formula>
    </cfRule>
    <cfRule type="cellIs" dxfId="425" priority="18" operator="equal">
      <formula>"Non conforme"</formula>
    </cfRule>
  </conditionalFormatting>
  <conditionalFormatting sqref="K45">
    <cfRule type="cellIs" dxfId="424" priority="13" operator="equal">
      <formula>"Conforme"</formula>
    </cfRule>
    <cfRule type="cellIs" dxfId="423" priority="14" operator="equal">
      <formula>"Non conforme"</formula>
    </cfRule>
  </conditionalFormatting>
  <conditionalFormatting sqref="K48">
    <cfRule type="cellIs" dxfId="422" priority="11" operator="equal">
      <formula>"Conforme"</formula>
    </cfRule>
    <cfRule type="cellIs" dxfId="421" priority="12" operator="equal">
      <formula>"Non conforme"</formula>
    </cfRule>
  </conditionalFormatting>
  <conditionalFormatting sqref="K49">
    <cfRule type="cellIs" dxfId="420" priority="9" operator="equal">
      <formula>"Conforme"</formula>
    </cfRule>
    <cfRule type="cellIs" dxfId="419" priority="10" operator="equal">
      <formula>"Non conforme"</formula>
    </cfRule>
  </conditionalFormatting>
  <conditionalFormatting sqref="K54">
    <cfRule type="cellIs" dxfId="418" priority="7" operator="equal">
      <formula>"Conforme"</formula>
    </cfRule>
    <cfRule type="cellIs" dxfId="417" priority="8" operator="equal">
      <formula>"Non conforme"</formula>
    </cfRule>
  </conditionalFormatting>
  <conditionalFormatting sqref="K58">
    <cfRule type="cellIs" dxfId="416" priority="5" operator="equal">
      <formula>"Conforme"</formula>
    </cfRule>
    <cfRule type="cellIs" dxfId="415" priority="6" operator="equal">
      <formula>"Non conforme"</formula>
    </cfRule>
  </conditionalFormatting>
  <conditionalFormatting sqref="K59">
    <cfRule type="cellIs" dxfId="414" priority="3" operator="equal">
      <formula>"Conforme"</formula>
    </cfRule>
    <cfRule type="cellIs" dxfId="413" priority="4" operator="equal">
      <formula>"Non conforme"</formula>
    </cfRule>
  </conditionalFormatting>
  <conditionalFormatting sqref="K59">
    <cfRule type="cellIs" dxfId="412" priority="1" operator="equal">
      <formula>"Conforme"</formula>
    </cfRule>
    <cfRule type="cellIs" dxfId="411" priority="2" operator="equal">
      <formula>"Non conforme"</formula>
    </cfRule>
  </conditionalFormatting>
  <dataValidations count="5">
    <dataValidation type="list" allowBlank="1" showInputMessage="1" showErrorMessage="1" sqref="O4:O59">
      <formula1>"Yes, No"</formula1>
    </dataValidation>
    <dataValidation errorStyle="warning" allowBlank="1" showInputMessage="1" showErrorMessage="1" sqref="K48:K49 L3:P3 K38 K31:K33 K45 K54 K58:K59"/>
    <dataValidation type="list" allowBlank="1" showInputMessage="1" showErrorMessage="1" sqref="L8 L27:L30 L5 L10:L15 L34:L36 L44">
      <formula1>"Medium NBA, H2O mQ, DMSO, eq NaOH, EtOH, eq HCl,Citrate buffer, directly in ACSF"</formula1>
    </dataValidation>
    <dataValidation type="list" allowBlank="1" showInputMessage="1" showErrorMessage="1" sqref="L20:L26 L31:L33 L6:L7 L4 L9 L37:L43 L45:L60 L62:L94">
      <formula1>"H2O mQ, DMSO, eq NaOH, EtOH, eq HCl,Citrate buffer, directly in ACSF"</formula1>
    </dataValidation>
    <dataValidation type="list" allowBlank="1" showInputMessage="1" showErrorMessage="1" sqref="L16:L19">
      <formula1>"H2O mQ, DMSO, eq NaOH, EtOH, eq HCl,Citrate buffer, directly in ACSF, O2 sucrose"</formula1>
    </dataValidation>
  </dataValidations>
  <pageMargins left="0.7" right="0.7" top="0.75" bottom="0.75" header="0.3" footer="0.3"/>
  <pageSetup paperSize="9" scale="32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3">
    <tabColor theme="9" tint="-0.249977111117893"/>
    <pageSetUpPr fitToPage="1"/>
  </sheetPr>
  <dimension ref="A2:AL1423"/>
  <sheetViews>
    <sheetView showGridLines="0" zoomScale="70" zoomScaleNormal="70" zoomScaleSheetLayoutView="55" workbookViewId="0">
      <pane ySplit="6" topLeftCell="A1106" activePane="bottomLeft" state="frozen"/>
      <selection activeCell="B26" sqref="B26"/>
      <selection pane="bottomLeft" activeCell="G1117" sqref="G1117"/>
    </sheetView>
  </sheetViews>
  <sheetFormatPr baseColWidth="10" defaultColWidth="11.42578125" defaultRowHeight="15" x14ac:dyDescent="0.25"/>
  <cols>
    <col min="1" max="1" width="20.140625" style="388" customWidth="1"/>
    <col min="2" max="2" width="11.42578125" hidden="1" customWidth="1"/>
    <col min="3" max="3" width="18.28515625" customWidth="1"/>
    <col min="4" max="4" width="21" customWidth="1"/>
    <col min="5" max="5" width="31.140625" bestFit="1" customWidth="1"/>
    <col min="6" max="6" width="44.28515625" bestFit="1" customWidth="1"/>
    <col min="7" max="7" width="50.85546875" style="253" customWidth="1"/>
    <col min="8" max="8" width="18.42578125" bestFit="1" customWidth="1"/>
    <col min="9" max="9" width="27.7109375" bestFit="1" customWidth="1"/>
    <col min="11" max="11" width="16.42578125" bestFit="1" customWidth="1"/>
    <col min="12" max="12" width="14.85546875" bestFit="1" customWidth="1"/>
    <col min="13" max="13" width="15.5703125" customWidth="1"/>
    <col min="14" max="14" width="18.85546875" style="263" customWidth="1"/>
    <col min="15" max="15" width="14.28515625" style="263" customWidth="1"/>
    <col min="16" max="16" width="13.5703125" customWidth="1"/>
    <col min="17" max="17" width="73.5703125" bestFit="1" customWidth="1"/>
    <col min="18" max="18" width="13.7109375" style="236" customWidth="1"/>
    <col min="19" max="19" width="14" bestFit="1" customWidth="1"/>
    <col min="20" max="20" width="12.28515625" bestFit="1" customWidth="1"/>
    <col min="21" max="21" width="17.28515625" customWidth="1"/>
    <col min="22" max="22" width="50.140625" bestFit="1" customWidth="1"/>
    <col min="23" max="23" width="12.7109375" bestFit="1" customWidth="1"/>
    <col min="28" max="28" width="12.42578125" bestFit="1" customWidth="1"/>
  </cols>
  <sheetData>
    <row r="2" spans="1:38" s="1" customFormat="1" ht="30" customHeight="1" x14ac:dyDescent="0.5">
      <c r="A2" s="393" t="s">
        <v>1347</v>
      </c>
      <c r="B2" s="393"/>
      <c r="C2" s="393"/>
      <c r="D2" s="393"/>
      <c r="E2" s="393"/>
      <c r="F2" s="393"/>
      <c r="G2" s="393"/>
      <c r="H2" s="393"/>
      <c r="I2" s="393"/>
      <c r="J2" s="393"/>
      <c r="K2" s="393"/>
      <c r="L2" s="393"/>
      <c r="M2" s="393"/>
      <c r="N2" s="393"/>
      <c r="O2" s="393"/>
      <c r="P2" s="393"/>
      <c r="Q2" s="393"/>
      <c r="R2" s="236"/>
      <c r="S2" s="2"/>
      <c r="T2" s="2"/>
    </row>
    <row r="3" spans="1:38" s="1" customFormat="1" ht="30" customHeight="1" x14ac:dyDescent="0.5">
      <c r="A3" s="393"/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393"/>
      <c r="R3" s="236"/>
      <c r="S3" s="14"/>
    </row>
    <row r="4" spans="1:38" s="1" customFormat="1" ht="62.45" customHeight="1" x14ac:dyDescent="0.2">
      <c r="A4" s="23"/>
      <c r="B4" s="23"/>
      <c r="C4" s="23"/>
      <c r="D4" s="23"/>
      <c r="E4" s="791" t="s">
        <v>11</v>
      </c>
      <c r="F4" s="792"/>
      <c r="G4" s="792"/>
      <c r="H4" s="792"/>
      <c r="I4" s="792"/>
      <c r="J4" s="792"/>
      <c r="K4" s="792"/>
      <c r="L4" s="792"/>
      <c r="M4" s="792"/>
      <c r="N4" s="792"/>
      <c r="O4" s="793"/>
      <c r="P4" s="793"/>
      <c r="Q4" s="793"/>
      <c r="R4" s="793"/>
      <c r="S4" s="793"/>
      <c r="T4" s="793"/>
      <c r="U4" s="793"/>
      <c r="V4" s="794"/>
      <c r="W4" s="785" t="s">
        <v>12</v>
      </c>
      <c r="X4" s="786"/>
      <c r="Y4" s="786"/>
      <c r="Z4" s="786"/>
      <c r="AA4" s="786"/>
      <c r="AB4" s="786"/>
      <c r="AC4" s="786"/>
      <c r="AD4" s="786"/>
      <c r="AE4" s="786"/>
      <c r="AF4" s="786"/>
      <c r="AG4" s="786"/>
      <c r="AH4" s="786"/>
      <c r="AI4" s="786"/>
      <c r="AJ4" s="786"/>
      <c r="AK4" s="786"/>
      <c r="AL4" s="786"/>
    </row>
    <row r="5" spans="1:38" ht="26.25" x14ac:dyDescent="0.25">
      <c r="A5" s="23"/>
      <c r="B5" s="23"/>
      <c r="C5" s="23"/>
      <c r="D5" s="23"/>
      <c r="E5" s="795"/>
      <c r="F5" s="793"/>
      <c r="G5" s="793"/>
      <c r="H5" s="793"/>
      <c r="I5" s="793"/>
      <c r="J5" s="793"/>
      <c r="K5" s="793"/>
      <c r="L5" s="793"/>
      <c r="M5" s="793"/>
      <c r="N5" s="793"/>
      <c r="O5" s="793"/>
      <c r="P5" s="793"/>
      <c r="Q5" s="793"/>
      <c r="R5" s="793"/>
      <c r="S5" s="793"/>
      <c r="T5" s="793"/>
      <c r="U5" s="793"/>
      <c r="V5" s="794"/>
      <c r="W5" s="787" t="s">
        <v>13</v>
      </c>
      <c r="X5" s="788"/>
      <c r="Y5" s="788"/>
      <c r="Z5" s="788"/>
      <c r="AA5" s="788"/>
      <c r="AB5" s="788" t="s">
        <v>14</v>
      </c>
      <c r="AC5" s="789"/>
      <c r="AD5" s="789"/>
      <c r="AE5" s="789"/>
      <c r="AF5" s="790"/>
      <c r="AG5" s="788" t="s">
        <v>15</v>
      </c>
      <c r="AH5" s="789"/>
      <c r="AI5" s="789"/>
      <c r="AJ5" s="789"/>
      <c r="AK5" s="790"/>
      <c r="AL5" s="24"/>
    </row>
    <row r="6" spans="1:38" ht="69.75" x14ac:dyDescent="0.25">
      <c r="A6" s="23" t="s">
        <v>10</v>
      </c>
      <c r="B6" s="206" t="s">
        <v>935</v>
      </c>
      <c r="C6" s="23" t="s">
        <v>16</v>
      </c>
      <c r="D6" s="23"/>
      <c r="E6" s="196" t="s">
        <v>17</v>
      </c>
      <c r="F6" s="197" t="s">
        <v>18</v>
      </c>
      <c r="G6" s="247" t="s">
        <v>19</v>
      </c>
      <c r="H6" s="198" t="s">
        <v>20</v>
      </c>
      <c r="I6" s="198" t="s">
        <v>21</v>
      </c>
      <c r="J6" s="198" t="s">
        <v>22</v>
      </c>
      <c r="K6" s="198" t="s">
        <v>23</v>
      </c>
      <c r="L6" s="198" t="s">
        <v>24</v>
      </c>
      <c r="M6" s="198" t="s">
        <v>25</v>
      </c>
      <c r="N6" s="256" t="s">
        <v>26</v>
      </c>
      <c r="O6" s="256" t="s">
        <v>27</v>
      </c>
      <c r="P6" s="199" t="s">
        <v>28</v>
      </c>
      <c r="Q6" s="198" t="s">
        <v>29</v>
      </c>
      <c r="R6" s="201" t="s">
        <v>1344</v>
      </c>
      <c r="S6" s="200" t="s">
        <v>30</v>
      </c>
      <c r="T6" s="198" t="s">
        <v>31</v>
      </c>
      <c r="U6" s="201" t="s">
        <v>32</v>
      </c>
      <c r="V6" s="201" t="s">
        <v>33</v>
      </c>
      <c r="W6" s="202" t="s">
        <v>34</v>
      </c>
      <c r="X6" s="203" t="s">
        <v>35</v>
      </c>
      <c r="Y6" s="203" t="s">
        <v>36</v>
      </c>
      <c r="Z6" s="203" t="s">
        <v>37</v>
      </c>
      <c r="AA6" s="204" t="s">
        <v>31</v>
      </c>
      <c r="AB6" s="205" t="s">
        <v>34</v>
      </c>
      <c r="AC6" s="203" t="s">
        <v>35</v>
      </c>
      <c r="AD6" s="203" t="s">
        <v>36</v>
      </c>
      <c r="AE6" s="203" t="s">
        <v>37</v>
      </c>
      <c r="AF6" s="204" t="s">
        <v>31</v>
      </c>
      <c r="AG6" s="205" t="s">
        <v>34</v>
      </c>
      <c r="AH6" s="203" t="s">
        <v>35</v>
      </c>
      <c r="AI6" s="203" t="s">
        <v>36</v>
      </c>
      <c r="AJ6" s="203" t="s">
        <v>37</v>
      </c>
      <c r="AK6" s="204" t="s">
        <v>31</v>
      </c>
      <c r="AL6" s="204" t="s">
        <v>38</v>
      </c>
    </row>
    <row r="7" spans="1:38" ht="24.95" customHeight="1" x14ac:dyDescent="0.25">
      <c r="A7" s="31" t="str">
        <f>IF(C7="","",CONCATENATE("06",MID(C7,1,3),IF(B7&lt;10,"00",0),B7))</f>
        <v>06REF001</v>
      </c>
      <c r="B7" s="151">
        <v>1</v>
      </c>
      <c r="C7" s="31" t="s">
        <v>39</v>
      </c>
      <c r="D7" s="32" t="s">
        <v>40</v>
      </c>
      <c r="E7" s="33" t="s">
        <v>41</v>
      </c>
      <c r="F7" s="33" t="s">
        <v>694</v>
      </c>
      <c r="G7" s="248"/>
      <c r="H7" s="34" t="s">
        <v>43</v>
      </c>
      <c r="I7" s="34" t="s">
        <v>936</v>
      </c>
      <c r="J7" s="34" t="s">
        <v>180</v>
      </c>
      <c r="K7" s="34">
        <v>212.68</v>
      </c>
      <c r="L7" s="34" t="s">
        <v>696</v>
      </c>
      <c r="M7" s="34" t="s">
        <v>697</v>
      </c>
      <c r="N7" s="264">
        <v>38992</v>
      </c>
      <c r="O7" s="257">
        <v>38992</v>
      </c>
      <c r="P7" s="34" t="s">
        <v>124</v>
      </c>
      <c r="Q7" s="34" t="s">
        <v>49</v>
      </c>
      <c r="R7" s="34"/>
      <c r="S7" s="34">
        <v>0</v>
      </c>
      <c r="T7" s="36" t="str">
        <f t="shared" ref="T7:T146" ca="1" si="0">IF(S7="","",IF(S7=0,"Empty",IF(O7="","",IF(O7,DAYS360(O7,TODAY())))))</f>
        <v>Empty</v>
      </c>
      <c r="U7" s="37"/>
      <c r="V7" s="37"/>
      <c r="W7" s="38"/>
      <c r="X7" s="39"/>
      <c r="Y7" s="39"/>
      <c r="Z7" s="40"/>
      <c r="AA7" s="41" t="str">
        <f ca="1">IF(W7="","",IF(W7,DAYS360(W7,TODAY())))</f>
        <v/>
      </c>
      <c r="AB7" s="40"/>
      <c r="AC7" s="40"/>
      <c r="AD7" s="40"/>
      <c r="AE7" s="40"/>
      <c r="AF7" s="136" t="str">
        <f t="shared" ref="AF7:AF70" ca="1" si="1">IF(AB7="","",IF(AB7,DAYS360(AB7,TODAY())))</f>
        <v/>
      </c>
      <c r="AG7" s="29"/>
      <c r="AH7" s="29"/>
      <c r="AI7" s="29"/>
      <c r="AJ7" s="29"/>
      <c r="AK7" s="30"/>
      <c r="AL7" s="30"/>
    </row>
    <row r="8" spans="1:38" ht="23.25" x14ac:dyDescent="0.25">
      <c r="A8" s="31" t="str">
        <f>IF(C8="","",CONCATENATE("06",MID(C8,1,3),IF(B8&lt;10,"00",0),B8))</f>
        <v>06REF002</v>
      </c>
      <c r="B8" s="151">
        <v>2</v>
      </c>
      <c r="C8" s="31" t="s">
        <v>39</v>
      </c>
      <c r="D8" s="32" t="s">
        <v>40</v>
      </c>
      <c r="E8" s="33" t="s">
        <v>41</v>
      </c>
      <c r="F8" s="33" t="s">
        <v>42</v>
      </c>
      <c r="G8" s="248"/>
      <c r="H8" s="34" t="s">
        <v>43</v>
      </c>
      <c r="I8" s="34" t="s">
        <v>44</v>
      </c>
      <c r="J8" s="34" t="s">
        <v>45</v>
      </c>
      <c r="K8" s="34">
        <v>462.4</v>
      </c>
      <c r="L8" s="34" t="s">
        <v>46</v>
      </c>
      <c r="M8" s="34" t="s">
        <v>47</v>
      </c>
      <c r="N8" s="264">
        <v>39002</v>
      </c>
      <c r="O8" s="257">
        <v>39002</v>
      </c>
      <c r="P8" s="34" t="s">
        <v>48</v>
      </c>
      <c r="Q8" s="34" t="s">
        <v>49</v>
      </c>
      <c r="R8" s="34"/>
      <c r="S8" s="34">
        <f>24863.38-46-0.00000549-2.59-10.9</f>
        <v>24803.889994509998</v>
      </c>
      <c r="T8" s="36">
        <f t="shared" ca="1" si="0"/>
        <v>4312</v>
      </c>
      <c r="U8" s="37"/>
      <c r="V8" s="37"/>
      <c r="W8" s="38">
        <v>42144</v>
      </c>
      <c r="X8" s="39" t="s">
        <v>50</v>
      </c>
      <c r="Y8" s="39" t="s">
        <v>51</v>
      </c>
      <c r="Z8" s="40" t="s">
        <v>49</v>
      </c>
      <c r="AA8" s="41">
        <f ca="1">IF(W8="","",IF(W8,DAYS360(W8,TODAY())))</f>
        <v>1214</v>
      </c>
      <c r="AB8" s="40"/>
      <c r="AC8" s="40"/>
      <c r="AD8" s="40"/>
      <c r="AE8" s="40"/>
      <c r="AF8" s="136" t="str">
        <f t="shared" ca="1" si="1"/>
        <v/>
      </c>
      <c r="AG8" s="29"/>
      <c r="AH8" s="29"/>
      <c r="AI8" s="29"/>
      <c r="AJ8" s="29"/>
      <c r="AK8" s="30"/>
      <c r="AL8" s="30"/>
    </row>
    <row r="9" spans="1:38" s="270" customFormat="1" ht="23.25" x14ac:dyDescent="0.25">
      <c r="A9" s="31" t="str">
        <f>IF(C9="","",CONCATENATE("06",MID(C9,1,3),IF(B9&lt;10,"00",0),B9))</f>
        <v>06REF003</v>
      </c>
      <c r="B9" s="151">
        <v>3</v>
      </c>
      <c r="C9" s="31" t="s">
        <v>39</v>
      </c>
      <c r="D9" s="32" t="s">
        <v>40</v>
      </c>
      <c r="E9" s="33" t="s">
        <v>41</v>
      </c>
      <c r="F9" s="33" t="s">
        <v>1419</v>
      </c>
      <c r="G9" s="248"/>
      <c r="H9" s="34" t="s">
        <v>43</v>
      </c>
      <c r="I9" s="34" t="s">
        <v>1420</v>
      </c>
      <c r="J9" s="34" t="s">
        <v>180</v>
      </c>
      <c r="K9" s="34">
        <v>324.39999999999998</v>
      </c>
      <c r="L9" s="34" t="s">
        <v>1421</v>
      </c>
      <c r="M9" s="34" t="s">
        <v>1422</v>
      </c>
      <c r="N9" s="264">
        <v>39035</v>
      </c>
      <c r="O9" s="257">
        <v>39035</v>
      </c>
      <c r="P9" s="34" t="s">
        <v>133</v>
      </c>
      <c r="Q9" s="34" t="s">
        <v>49</v>
      </c>
      <c r="R9" s="34"/>
      <c r="S9" s="34">
        <f>282.89-14</f>
        <v>268.89</v>
      </c>
      <c r="T9" s="36">
        <f t="shared" ca="1" si="0"/>
        <v>4280</v>
      </c>
      <c r="U9" s="37"/>
      <c r="V9" s="37"/>
      <c r="W9" s="38"/>
      <c r="X9" s="39"/>
      <c r="Y9" s="39"/>
      <c r="Z9" s="40"/>
      <c r="AA9" s="41"/>
      <c r="AB9" s="40"/>
      <c r="AC9" s="40"/>
      <c r="AD9" s="40"/>
      <c r="AE9" s="40"/>
      <c r="AF9" s="136" t="str">
        <f t="shared" ca="1" si="1"/>
        <v/>
      </c>
      <c r="AG9" s="29"/>
      <c r="AH9" s="29"/>
      <c r="AI9" s="29"/>
      <c r="AJ9" s="29"/>
      <c r="AK9" s="30"/>
      <c r="AL9" s="30"/>
    </row>
    <row r="10" spans="1:38" ht="24.95" customHeight="1" x14ac:dyDescent="0.25">
      <c r="A10" s="42" t="str">
        <f>IF(C10="","",CONCATENATE("07",MID(C10,1,3),IF(B10&lt;10,"00",0),B10))</f>
        <v>07REF001</v>
      </c>
      <c r="B10" s="152">
        <v>1</v>
      </c>
      <c r="C10" s="42" t="s">
        <v>39</v>
      </c>
      <c r="D10" s="43" t="s">
        <v>40</v>
      </c>
      <c r="E10" s="33" t="s">
        <v>41</v>
      </c>
      <c r="F10" s="33" t="s">
        <v>52</v>
      </c>
      <c r="G10" s="248"/>
      <c r="H10" s="34" t="s">
        <v>43</v>
      </c>
      <c r="I10" s="34" t="s">
        <v>53</v>
      </c>
      <c r="J10" s="34" t="s">
        <v>45</v>
      </c>
      <c r="K10" s="34">
        <v>189.64</v>
      </c>
      <c r="L10" s="34" t="s">
        <v>54</v>
      </c>
      <c r="M10" s="34" t="s">
        <v>55</v>
      </c>
      <c r="N10" s="264">
        <v>39231</v>
      </c>
      <c r="O10" s="257">
        <v>39232</v>
      </c>
      <c r="P10" s="34" t="s">
        <v>56</v>
      </c>
      <c r="Q10" s="34" t="s">
        <v>49</v>
      </c>
      <c r="R10" s="34"/>
      <c r="S10" s="34">
        <f>4945.49-11.4-56.89</f>
        <v>4877.2</v>
      </c>
      <c r="T10" s="36">
        <f t="shared" ca="1" si="0"/>
        <v>4084</v>
      </c>
      <c r="U10" s="37" t="s">
        <v>1412</v>
      </c>
      <c r="V10" s="37"/>
      <c r="W10" s="38"/>
      <c r="X10" s="39"/>
      <c r="Y10" s="39"/>
      <c r="Z10" s="40"/>
      <c r="AA10" s="41" t="str">
        <f ca="1">IF(W10="","",IF(W10,DAYS360(W10,TODAY())))</f>
        <v/>
      </c>
      <c r="AB10" s="40"/>
      <c r="AC10" s="40"/>
      <c r="AD10" s="40"/>
      <c r="AE10" s="40"/>
      <c r="AF10" s="136" t="str">
        <f t="shared" ca="1" si="1"/>
        <v/>
      </c>
      <c r="AG10" s="29"/>
      <c r="AH10" s="29"/>
      <c r="AI10" s="29"/>
      <c r="AJ10" s="29"/>
      <c r="AK10" s="30"/>
      <c r="AL10" s="30"/>
    </row>
    <row r="11" spans="1:38" ht="24.95" customHeight="1" x14ac:dyDescent="0.25">
      <c r="A11" s="42" t="str">
        <f>IF(C11="","",CONCATENATE("07",MID(C11,1,3),IF(B11&lt;10,"00",0),B11))</f>
        <v/>
      </c>
      <c r="B11" s="152"/>
      <c r="C11" s="42"/>
      <c r="D11" s="43"/>
      <c r="E11" s="33"/>
      <c r="F11" s="33"/>
      <c r="G11" s="248"/>
      <c r="H11" s="34"/>
      <c r="I11" s="34"/>
      <c r="J11" s="34"/>
      <c r="K11" s="34"/>
      <c r="L11" s="34"/>
      <c r="M11" s="34"/>
      <c r="N11" s="264"/>
      <c r="O11" s="257"/>
      <c r="P11" s="34"/>
      <c r="Q11" s="34"/>
      <c r="R11" s="34"/>
      <c r="S11" s="34"/>
      <c r="T11" s="36" t="str">
        <f t="shared" ca="1" si="0"/>
        <v/>
      </c>
      <c r="U11" s="37"/>
      <c r="V11" s="37"/>
      <c r="W11" s="44"/>
      <c r="X11" s="40"/>
      <c r="Y11" s="39"/>
      <c r="Z11" s="40"/>
      <c r="AA11" s="41"/>
      <c r="AB11" s="40"/>
      <c r="AC11" s="40"/>
      <c r="AD11" s="40"/>
      <c r="AE11" s="40"/>
      <c r="AF11" s="136" t="str">
        <f t="shared" ca="1" si="1"/>
        <v/>
      </c>
      <c r="AG11" s="29"/>
      <c r="AH11" s="29"/>
      <c r="AI11" s="29"/>
      <c r="AJ11" s="29"/>
      <c r="AK11" s="30"/>
      <c r="AL11" s="30"/>
    </row>
    <row r="12" spans="1:38" ht="24.95" customHeight="1" x14ac:dyDescent="0.25">
      <c r="A12" s="42" t="str">
        <f>IF(C12="","",CONCATENATE("07",MID(C12,1,3),IF(B12&lt;10,"00",0),B12))</f>
        <v/>
      </c>
      <c r="B12" s="152"/>
      <c r="C12" s="42"/>
      <c r="D12" s="43"/>
      <c r="E12" s="33"/>
      <c r="F12" s="33"/>
      <c r="G12" s="248"/>
      <c r="H12" s="34"/>
      <c r="I12" s="34"/>
      <c r="J12" s="34"/>
      <c r="K12" s="34"/>
      <c r="L12" s="34"/>
      <c r="M12" s="34"/>
      <c r="N12" s="264"/>
      <c r="O12" s="257"/>
      <c r="P12" s="34"/>
      <c r="Q12" s="34"/>
      <c r="R12" s="34"/>
      <c r="S12" s="34"/>
      <c r="T12" s="36" t="str">
        <f t="shared" ca="1" si="0"/>
        <v/>
      </c>
      <c r="U12" s="37"/>
      <c r="V12" s="37"/>
      <c r="W12" s="44"/>
      <c r="X12" s="40"/>
      <c r="Y12" s="39"/>
      <c r="Z12" s="40"/>
      <c r="AA12" s="41"/>
      <c r="AB12" s="40"/>
      <c r="AC12" s="40"/>
      <c r="AD12" s="40"/>
      <c r="AE12" s="40"/>
      <c r="AF12" s="136" t="str">
        <f t="shared" ca="1" si="1"/>
        <v/>
      </c>
      <c r="AG12" s="29"/>
      <c r="AH12" s="29"/>
      <c r="AI12" s="29"/>
      <c r="AJ12" s="29"/>
      <c r="AK12" s="30"/>
      <c r="AL12" s="30"/>
    </row>
    <row r="13" spans="1:38" ht="24.95" customHeight="1" x14ac:dyDescent="0.25">
      <c r="A13" s="45" t="str">
        <f>IF(C13="","",CONCATENATE("08",MID(C13,1,3),IF(B13&lt;10,"00",0),B13))</f>
        <v>08SAM001</v>
      </c>
      <c r="B13" s="153">
        <v>1</v>
      </c>
      <c r="C13" s="45" t="s">
        <v>57</v>
      </c>
      <c r="D13" s="46" t="s">
        <v>40</v>
      </c>
      <c r="E13" s="33" t="s">
        <v>58</v>
      </c>
      <c r="F13" s="33" t="s">
        <v>59</v>
      </c>
      <c r="G13" s="248"/>
      <c r="H13" s="34" t="s">
        <v>60</v>
      </c>
      <c r="I13" s="47" t="s">
        <v>61</v>
      </c>
      <c r="J13" s="34" t="s">
        <v>45</v>
      </c>
      <c r="K13" s="34">
        <v>436.03</v>
      </c>
      <c r="L13" s="47" t="s">
        <v>61</v>
      </c>
      <c r="M13" s="47" t="s">
        <v>61</v>
      </c>
      <c r="N13" s="264">
        <v>39555</v>
      </c>
      <c r="O13" s="257"/>
      <c r="P13" s="34" t="s">
        <v>62</v>
      </c>
      <c r="Q13" s="34"/>
      <c r="R13" s="34"/>
      <c r="S13" s="34">
        <v>194.21</v>
      </c>
      <c r="T13" s="36" t="str">
        <f t="shared" ca="1" si="0"/>
        <v/>
      </c>
      <c r="U13" s="37"/>
      <c r="V13" s="37" t="s">
        <v>63</v>
      </c>
      <c r="W13" s="44"/>
      <c r="X13" s="40"/>
      <c r="Y13" s="39"/>
      <c r="Z13" s="40"/>
      <c r="AA13" s="41"/>
      <c r="AB13" s="40"/>
      <c r="AC13" s="40"/>
      <c r="AD13" s="40"/>
      <c r="AE13" s="40"/>
      <c r="AF13" s="136" t="str">
        <f t="shared" ca="1" si="1"/>
        <v/>
      </c>
      <c r="AG13" s="29"/>
      <c r="AH13" s="29"/>
      <c r="AI13" s="29"/>
      <c r="AJ13" s="29"/>
      <c r="AK13" s="30"/>
      <c r="AL13" s="30"/>
    </row>
    <row r="14" spans="1:38" ht="24.95" customHeight="1" x14ac:dyDescent="0.25">
      <c r="A14" s="45" t="str">
        <f t="shared" ref="A14:A21" si="2">IF(C14="","",CONCATENATE("08",MID(C14,1,3),IF(B14&lt;10,"00",0),B14))</f>
        <v>08SAM002</v>
      </c>
      <c r="B14" s="153">
        <v>2</v>
      </c>
      <c r="C14" s="45" t="s">
        <v>57</v>
      </c>
      <c r="D14" s="46" t="s">
        <v>40</v>
      </c>
      <c r="E14" s="33" t="s">
        <v>58</v>
      </c>
      <c r="F14" s="33" t="s">
        <v>64</v>
      </c>
      <c r="G14" s="248"/>
      <c r="H14" s="34" t="s">
        <v>60</v>
      </c>
      <c r="I14" s="47" t="s">
        <v>61</v>
      </c>
      <c r="J14" s="34" t="s">
        <v>45</v>
      </c>
      <c r="K14" s="34">
        <v>458.5</v>
      </c>
      <c r="L14" s="47" t="s">
        <v>61</v>
      </c>
      <c r="M14" s="47" t="s">
        <v>61</v>
      </c>
      <c r="N14" s="264">
        <v>39710</v>
      </c>
      <c r="O14" s="257"/>
      <c r="P14" s="34" t="s">
        <v>65</v>
      </c>
      <c r="Q14" s="34"/>
      <c r="R14" s="34"/>
      <c r="S14" s="34">
        <v>13</v>
      </c>
      <c r="T14" s="36" t="str">
        <f t="shared" ca="1" si="0"/>
        <v/>
      </c>
      <c r="U14" s="37"/>
      <c r="V14" s="37" t="s">
        <v>66</v>
      </c>
      <c r="W14" s="44"/>
      <c r="X14" s="40"/>
      <c r="Y14" s="39"/>
      <c r="Z14" s="40"/>
      <c r="AA14" s="41"/>
      <c r="AB14" s="40"/>
      <c r="AC14" s="40"/>
      <c r="AD14" s="40"/>
      <c r="AE14" s="40"/>
      <c r="AF14" s="136" t="str">
        <f t="shared" ca="1" si="1"/>
        <v/>
      </c>
      <c r="AG14" s="29"/>
      <c r="AH14" s="29"/>
      <c r="AI14" s="29"/>
      <c r="AJ14" s="29"/>
      <c r="AK14" s="30"/>
      <c r="AL14" s="30"/>
    </row>
    <row r="15" spans="1:38" ht="24.95" customHeight="1" x14ac:dyDescent="0.25">
      <c r="A15" s="45" t="str">
        <f t="shared" si="2"/>
        <v>08SAM003</v>
      </c>
      <c r="B15" s="153">
        <v>3</v>
      </c>
      <c r="C15" s="45" t="s">
        <v>57</v>
      </c>
      <c r="D15" s="46" t="s">
        <v>40</v>
      </c>
      <c r="E15" s="33" t="s">
        <v>58</v>
      </c>
      <c r="F15" s="33" t="s">
        <v>67</v>
      </c>
      <c r="G15" s="248"/>
      <c r="H15" s="34" t="s">
        <v>60</v>
      </c>
      <c r="I15" s="47" t="s">
        <v>61</v>
      </c>
      <c r="J15" s="34" t="s">
        <v>45</v>
      </c>
      <c r="K15" s="34">
        <v>595.6</v>
      </c>
      <c r="L15" s="47" t="s">
        <v>61</v>
      </c>
      <c r="M15" s="47" t="s">
        <v>61</v>
      </c>
      <c r="N15" s="264">
        <v>39745</v>
      </c>
      <c r="O15" s="257"/>
      <c r="P15" s="34" t="s">
        <v>68</v>
      </c>
      <c r="Q15" s="34"/>
      <c r="R15" s="34"/>
      <c r="S15" s="34">
        <v>17.5</v>
      </c>
      <c r="T15" s="36" t="str">
        <f t="shared" ca="1" si="0"/>
        <v/>
      </c>
      <c r="U15" s="37"/>
      <c r="V15" s="37" t="s">
        <v>69</v>
      </c>
      <c r="W15" s="44"/>
      <c r="X15" s="40"/>
      <c r="Y15" s="39"/>
      <c r="Z15" s="40"/>
      <c r="AA15" s="41"/>
      <c r="AB15" s="40"/>
      <c r="AC15" s="40"/>
      <c r="AD15" s="40"/>
      <c r="AE15" s="40"/>
      <c r="AF15" s="136" t="str">
        <f t="shared" ca="1" si="1"/>
        <v/>
      </c>
      <c r="AG15" s="29"/>
      <c r="AH15" s="29"/>
      <c r="AI15" s="29"/>
      <c r="AJ15" s="29"/>
      <c r="AK15" s="30"/>
      <c r="AL15" s="30"/>
    </row>
    <row r="16" spans="1:38" ht="24.95" customHeight="1" x14ac:dyDescent="0.25">
      <c r="A16" s="45" t="str">
        <f t="shared" si="2"/>
        <v>08SAM004</v>
      </c>
      <c r="B16" s="153">
        <v>4</v>
      </c>
      <c r="C16" s="45" t="s">
        <v>57</v>
      </c>
      <c r="D16" s="46" t="s">
        <v>40</v>
      </c>
      <c r="E16" s="33" t="s">
        <v>70</v>
      </c>
      <c r="F16" s="33" t="s">
        <v>71</v>
      </c>
      <c r="G16" s="248"/>
      <c r="H16" s="34" t="s">
        <v>60</v>
      </c>
      <c r="I16" s="47" t="s">
        <v>72</v>
      </c>
      <c r="J16" s="34" t="s">
        <v>45</v>
      </c>
      <c r="K16" s="34">
        <v>247.29</v>
      </c>
      <c r="L16" s="47" t="s">
        <v>61</v>
      </c>
      <c r="M16" s="47" t="s">
        <v>61</v>
      </c>
      <c r="N16" s="264">
        <v>39640</v>
      </c>
      <c r="O16" s="257"/>
      <c r="P16" s="34" t="s">
        <v>73</v>
      </c>
      <c r="Q16" s="34"/>
      <c r="R16" s="34"/>
      <c r="S16" s="34"/>
      <c r="T16" s="36" t="str">
        <f t="shared" ca="1" si="0"/>
        <v/>
      </c>
      <c r="U16" s="37"/>
      <c r="V16" s="37" t="s">
        <v>74</v>
      </c>
      <c r="W16" s="44"/>
      <c r="X16" s="40"/>
      <c r="Y16" s="39"/>
      <c r="Z16" s="40"/>
      <c r="AA16" s="41"/>
      <c r="AB16" s="40"/>
      <c r="AC16" s="40"/>
      <c r="AD16" s="40"/>
      <c r="AE16" s="40"/>
      <c r="AF16" s="136" t="str">
        <f t="shared" ca="1" si="1"/>
        <v/>
      </c>
      <c r="AG16" s="29"/>
      <c r="AH16" s="29"/>
      <c r="AI16" s="29"/>
      <c r="AJ16" s="29"/>
      <c r="AK16" s="30"/>
      <c r="AL16" s="30"/>
    </row>
    <row r="17" spans="1:38" ht="36.75" customHeight="1" x14ac:dyDescent="0.25">
      <c r="A17" s="45" t="str">
        <f t="shared" si="2"/>
        <v>08SAM005</v>
      </c>
      <c r="B17" s="153">
        <v>5</v>
      </c>
      <c r="C17" s="45" t="s">
        <v>57</v>
      </c>
      <c r="D17" s="46" t="s">
        <v>40</v>
      </c>
      <c r="E17" s="33" t="s">
        <v>75</v>
      </c>
      <c r="F17" s="33" t="s">
        <v>76</v>
      </c>
      <c r="G17" s="248"/>
      <c r="H17" s="34" t="s">
        <v>60</v>
      </c>
      <c r="I17" s="47" t="s">
        <v>61</v>
      </c>
      <c r="J17" s="34" t="s">
        <v>45</v>
      </c>
      <c r="K17" s="34">
        <v>223.33</v>
      </c>
      <c r="L17" s="47" t="s">
        <v>61</v>
      </c>
      <c r="M17" s="47" t="s">
        <v>61</v>
      </c>
      <c r="N17" s="264">
        <v>39536</v>
      </c>
      <c r="O17" s="257"/>
      <c r="P17" s="34" t="s">
        <v>77</v>
      </c>
      <c r="Q17" s="34"/>
      <c r="R17" s="34"/>
      <c r="S17" s="34">
        <v>1000</v>
      </c>
      <c r="T17" s="36" t="str">
        <f t="shared" ca="1" si="0"/>
        <v/>
      </c>
      <c r="U17" s="37"/>
      <c r="V17" s="37" t="s">
        <v>78</v>
      </c>
      <c r="W17" s="44"/>
      <c r="X17" s="40"/>
      <c r="Y17" s="39"/>
      <c r="Z17" s="40"/>
      <c r="AA17" s="41"/>
      <c r="AB17" s="40"/>
      <c r="AC17" s="40"/>
      <c r="AD17" s="40"/>
      <c r="AE17" s="40"/>
      <c r="AF17" s="136" t="str">
        <f t="shared" ca="1" si="1"/>
        <v/>
      </c>
      <c r="AG17" s="29"/>
      <c r="AH17" s="29"/>
      <c r="AI17" s="29"/>
      <c r="AJ17" s="29"/>
      <c r="AK17" s="30"/>
      <c r="AL17" s="30"/>
    </row>
    <row r="18" spans="1:38" ht="24.95" customHeight="1" x14ac:dyDescent="0.25">
      <c r="A18" s="45" t="str">
        <f t="shared" si="2"/>
        <v>08SAM006</v>
      </c>
      <c r="B18" s="153">
        <v>6</v>
      </c>
      <c r="C18" s="45" t="s">
        <v>57</v>
      </c>
      <c r="D18" s="46" t="s">
        <v>40</v>
      </c>
      <c r="E18" s="33" t="s">
        <v>79</v>
      </c>
      <c r="F18" s="33" t="s">
        <v>80</v>
      </c>
      <c r="G18" s="248"/>
      <c r="H18" s="34" t="s">
        <v>60</v>
      </c>
      <c r="I18" s="47">
        <v>31173380</v>
      </c>
      <c r="J18" s="34" t="s">
        <v>45</v>
      </c>
      <c r="K18" s="34">
        <v>416.39</v>
      </c>
      <c r="L18" s="47" t="s">
        <v>61</v>
      </c>
      <c r="M18" s="47" t="s">
        <v>61</v>
      </c>
      <c r="N18" s="264">
        <v>39485</v>
      </c>
      <c r="O18" s="257"/>
      <c r="P18" s="34" t="s">
        <v>81</v>
      </c>
      <c r="Q18" s="34"/>
      <c r="R18" s="34"/>
      <c r="S18" s="34">
        <v>92.89</v>
      </c>
      <c r="T18" s="36" t="str">
        <f t="shared" ca="1" si="0"/>
        <v/>
      </c>
      <c r="U18" s="37"/>
      <c r="V18" s="37" t="s">
        <v>82</v>
      </c>
      <c r="W18" s="44"/>
      <c r="X18" s="40"/>
      <c r="Y18" s="39"/>
      <c r="Z18" s="40"/>
      <c r="AA18" s="41"/>
      <c r="AB18" s="40"/>
      <c r="AC18" s="40"/>
      <c r="AD18" s="40"/>
      <c r="AE18" s="40"/>
      <c r="AF18" s="136" t="str">
        <f t="shared" ca="1" si="1"/>
        <v/>
      </c>
      <c r="AG18" s="29"/>
      <c r="AH18" s="29"/>
      <c r="AI18" s="29"/>
      <c r="AJ18" s="29"/>
      <c r="AK18" s="30"/>
      <c r="AL18" s="30"/>
    </row>
    <row r="19" spans="1:38" ht="24.95" customHeight="1" x14ac:dyDescent="0.25">
      <c r="A19" s="45" t="str">
        <f t="shared" si="2"/>
        <v/>
      </c>
      <c r="B19" s="153">
        <v>7</v>
      </c>
      <c r="C19" s="45"/>
      <c r="D19" s="46"/>
      <c r="E19" s="33"/>
      <c r="F19" s="33"/>
      <c r="G19" s="248"/>
      <c r="H19" s="34"/>
      <c r="I19" s="47"/>
      <c r="J19" s="34"/>
      <c r="K19" s="34"/>
      <c r="L19" s="47"/>
      <c r="M19" s="47"/>
      <c r="N19" s="264"/>
      <c r="O19" s="257"/>
      <c r="P19" s="34"/>
      <c r="Q19" s="34"/>
      <c r="R19" s="34"/>
      <c r="S19" s="34"/>
      <c r="T19" s="36" t="str">
        <f t="shared" ca="1" si="0"/>
        <v/>
      </c>
      <c r="U19" s="37"/>
      <c r="V19" s="37"/>
      <c r="W19" s="44"/>
      <c r="X19" s="40"/>
      <c r="Y19" s="39"/>
      <c r="Z19" s="40"/>
      <c r="AA19" s="41"/>
      <c r="AB19" s="40"/>
      <c r="AC19" s="40"/>
      <c r="AD19" s="40"/>
      <c r="AE19" s="40"/>
      <c r="AF19" s="136" t="str">
        <f t="shared" ca="1" si="1"/>
        <v/>
      </c>
      <c r="AG19" s="29"/>
      <c r="AH19" s="29"/>
      <c r="AI19" s="29"/>
      <c r="AJ19" s="29"/>
      <c r="AK19" s="30"/>
      <c r="AL19" s="30"/>
    </row>
    <row r="20" spans="1:38" ht="24.95" customHeight="1" x14ac:dyDescent="0.25">
      <c r="A20" s="45" t="str">
        <f t="shared" si="2"/>
        <v/>
      </c>
      <c r="B20" s="153">
        <v>8</v>
      </c>
      <c r="C20" s="45"/>
      <c r="D20" s="46"/>
      <c r="E20" s="33"/>
      <c r="F20" s="33"/>
      <c r="G20" s="248"/>
      <c r="H20" s="34"/>
      <c r="I20" s="47"/>
      <c r="J20" s="34"/>
      <c r="K20" s="34"/>
      <c r="L20" s="47"/>
      <c r="M20" s="47"/>
      <c r="N20" s="264"/>
      <c r="O20" s="257"/>
      <c r="P20" s="34"/>
      <c r="Q20" s="34"/>
      <c r="R20" s="34"/>
      <c r="S20" s="34"/>
      <c r="T20" s="36" t="str">
        <f t="shared" ca="1" si="0"/>
        <v/>
      </c>
      <c r="U20" s="37"/>
      <c r="V20" s="37"/>
      <c r="W20" s="44"/>
      <c r="X20" s="40"/>
      <c r="Y20" s="39"/>
      <c r="Z20" s="40"/>
      <c r="AA20" s="41"/>
      <c r="AB20" s="40"/>
      <c r="AC20" s="40"/>
      <c r="AD20" s="40"/>
      <c r="AE20" s="40"/>
      <c r="AF20" s="136" t="str">
        <f t="shared" ca="1" si="1"/>
        <v/>
      </c>
      <c r="AG20" s="29"/>
      <c r="AH20" s="29"/>
      <c r="AI20" s="29"/>
      <c r="AJ20" s="29"/>
      <c r="AK20" s="30"/>
      <c r="AL20" s="30"/>
    </row>
    <row r="21" spans="1:38" ht="24.95" customHeight="1" x14ac:dyDescent="0.25">
      <c r="A21" s="48" t="str">
        <f t="shared" si="2"/>
        <v/>
      </c>
      <c r="B21" s="153">
        <v>9</v>
      </c>
      <c r="C21" s="48"/>
      <c r="D21" s="49"/>
      <c r="E21" s="33"/>
      <c r="F21" s="33"/>
      <c r="G21" s="248"/>
      <c r="H21" s="34"/>
      <c r="I21" s="34"/>
      <c r="J21" s="34"/>
      <c r="K21" s="34"/>
      <c r="L21" s="34"/>
      <c r="M21" s="34"/>
      <c r="N21" s="264"/>
      <c r="O21" s="257"/>
      <c r="P21" s="34"/>
      <c r="Q21" s="34"/>
      <c r="R21" s="34"/>
      <c r="S21" s="34"/>
      <c r="T21" s="36" t="str">
        <f t="shared" ca="1" si="0"/>
        <v/>
      </c>
      <c r="U21" s="37"/>
      <c r="V21" s="37"/>
      <c r="W21" s="44"/>
      <c r="X21" s="40"/>
      <c r="Y21" s="39"/>
      <c r="Z21" s="40"/>
      <c r="AA21" s="41"/>
      <c r="AB21" s="40"/>
      <c r="AC21" s="40"/>
      <c r="AD21" s="40"/>
      <c r="AE21" s="40"/>
      <c r="AF21" s="136" t="str">
        <f t="shared" ca="1" si="1"/>
        <v/>
      </c>
      <c r="AG21" s="29"/>
      <c r="AH21" s="29"/>
      <c r="AI21" s="29"/>
      <c r="AJ21" s="29"/>
      <c r="AK21" s="30"/>
      <c r="AL21" s="30"/>
    </row>
    <row r="22" spans="1:38" ht="24.95" customHeight="1" x14ac:dyDescent="0.25">
      <c r="A22" s="50" t="str">
        <f>IF(C22="","",CONCATENATE("09",MID(C22,1,3),IF(B22&lt;10,"00",0),B22))</f>
        <v>09SAM001</v>
      </c>
      <c r="B22" s="154">
        <v>1</v>
      </c>
      <c r="C22" s="50" t="s">
        <v>57</v>
      </c>
      <c r="D22" s="51" t="s">
        <v>40</v>
      </c>
      <c r="E22" s="33" t="s">
        <v>83</v>
      </c>
      <c r="F22" s="33" t="s">
        <v>84</v>
      </c>
      <c r="G22" s="248"/>
      <c r="H22" s="34" t="s">
        <v>60</v>
      </c>
      <c r="I22" s="34" t="s">
        <v>85</v>
      </c>
      <c r="J22" s="34" t="s">
        <v>45</v>
      </c>
      <c r="K22" s="34">
        <v>244.27</v>
      </c>
      <c r="L22" s="47" t="s">
        <v>61</v>
      </c>
      <c r="M22" s="47" t="s">
        <v>61</v>
      </c>
      <c r="N22" s="264">
        <v>39827</v>
      </c>
      <c r="O22" s="257"/>
      <c r="P22" s="34" t="s">
        <v>86</v>
      </c>
      <c r="Q22" s="34"/>
      <c r="R22" s="34"/>
      <c r="S22" s="34"/>
      <c r="T22" s="36" t="str">
        <f t="shared" ca="1" si="0"/>
        <v/>
      </c>
      <c r="U22" s="37"/>
      <c r="V22" s="37" t="s">
        <v>87</v>
      </c>
      <c r="W22" s="44"/>
      <c r="X22" s="40"/>
      <c r="Y22" s="39"/>
      <c r="Z22" s="40"/>
      <c r="AA22" s="41"/>
      <c r="AB22" s="40"/>
      <c r="AC22" s="40"/>
      <c r="AD22" s="40"/>
      <c r="AE22" s="40"/>
      <c r="AF22" s="136" t="str">
        <f t="shared" ca="1" si="1"/>
        <v/>
      </c>
      <c r="AG22" s="29"/>
      <c r="AH22" s="29"/>
      <c r="AI22" s="29"/>
      <c r="AJ22" s="29"/>
      <c r="AK22" s="30"/>
      <c r="AL22" s="30"/>
    </row>
    <row r="23" spans="1:38" ht="24.95" customHeight="1" x14ac:dyDescent="0.25">
      <c r="A23" s="50" t="str">
        <f t="shared" ref="A23:A38" si="3">IF(C23="","",CONCATENATE("09",MID(C23,1,3),IF(B23&lt;10,"00",0),B23))</f>
        <v>09SAM002</v>
      </c>
      <c r="B23" s="154">
        <v>2</v>
      </c>
      <c r="C23" s="50" t="s">
        <v>57</v>
      </c>
      <c r="D23" s="51" t="s">
        <v>40</v>
      </c>
      <c r="E23" s="33" t="s">
        <v>88</v>
      </c>
      <c r="F23" s="33" t="s">
        <v>89</v>
      </c>
      <c r="G23" s="248"/>
      <c r="H23" s="34" t="s">
        <v>60</v>
      </c>
      <c r="I23" s="34"/>
      <c r="J23" s="34" t="s">
        <v>45</v>
      </c>
      <c r="K23" s="34" t="s">
        <v>60</v>
      </c>
      <c r="L23" s="47" t="s">
        <v>61</v>
      </c>
      <c r="M23" s="47" t="s">
        <v>61</v>
      </c>
      <c r="N23" s="264">
        <v>39945</v>
      </c>
      <c r="O23" s="257"/>
      <c r="P23" s="34" t="s">
        <v>90</v>
      </c>
      <c r="Q23" s="34"/>
      <c r="R23" s="34"/>
      <c r="S23" s="34"/>
      <c r="T23" s="36" t="str">
        <f t="shared" ca="1" si="0"/>
        <v/>
      </c>
      <c r="U23" s="37" t="s">
        <v>91</v>
      </c>
      <c r="V23" s="37" t="s">
        <v>92</v>
      </c>
      <c r="W23" s="44"/>
      <c r="X23" s="40"/>
      <c r="Y23" s="39"/>
      <c r="Z23" s="40"/>
      <c r="AA23" s="41"/>
      <c r="AB23" s="40"/>
      <c r="AC23" s="40"/>
      <c r="AD23" s="40"/>
      <c r="AE23" s="40"/>
      <c r="AF23" s="136" t="str">
        <f t="shared" ca="1" si="1"/>
        <v/>
      </c>
      <c r="AG23" s="29"/>
      <c r="AH23" s="29"/>
      <c r="AI23" s="29"/>
      <c r="AJ23" s="29"/>
      <c r="AK23" s="30"/>
      <c r="AL23" s="30"/>
    </row>
    <row r="24" spans="1:38" ht="24.95" customHeight="1" x14ac:dyDescent="0.25">
      <c r="A24" s="50" t="str">
        <f t="shared" si="3"/>
        <v>09SAM003</v>
      </c>
      <c r="B24" s="154">
        <v>3</v>
      </c>
      <c r="C24" s="50" t="s">
        <v>57</v>
      </c>
      <c r="D24" s="51" t="s">
        <v>40</v>
      </c>
      <c r="E24" s="33" t="s">
        <v>88</v>
      </c>
      <c r="F24" s="33" t="s">
        <v>93</v>
      </c>
      <c r="G24" s="248"/>
      <c r="H24" s="34" t="s">
        <v>60</v>
      </c>
      <c r="I24" s="34"/>
      <c r="J24" s="34" t="s">
        <v>45</v>
      </c>
      <c r="K24" s="34" t="s">
        <v>60</v>
      </c>
      <c r="L24" s="47" t="s">
        <v>61</v>
      </c>
      <c r="M24" s="47" t="s">
        <v>61</v>
      </c>
      <c r="N24" s="264">
        <v>39945</v>
      </c>
      <c r="O24" s="257"/>
      <c r="P24" s="34" t="s">
        <v>94</v>
      </c>
      <c r="Q24" s="34"/>
      <c r="R24" s="34"/>
      <c r="S24" s="34"/>
      <c r="T24" s="36" t="str">
        <f t="shared" ca="1" si="0"/>
        <v/>
      </c>
      <c r="U24" s="37" t="s">
        <v>91</v>
      </c>
      <c r="V24" s="37" t="s">
        <v>95</v>
      </c>
      <c r="W24" s="44"/>
      <c r="X24" s="40"/>
      <c r="Y24" s="39"/>
      <c r="Z24" s="40"/>
      <c r="AA24" s="41"/>
      <c r="AB24" s="40"/>
      <c r="AC24" s="40"/>
      <c r="AD24" s="40"/>
      <c r="AE24" s="40"/>
      <c r="AF24" s="136" t="str">
        <f t="shared" ca="1" si="1"/>
        <v/>
      </c>
      <c r="AG24" s="29"/>
      <c r="AH24" s="29"/>
      <c r="AI24" s="29"/>
      <c r="AJ24" s="29"/>
      <c r="AK24" s="30"/>
      <c r="AL24" s="30"/>
    </row>
    <row r="25" spans="1:38" ht="24.95" customHeight="1" x14ac:dyDescent="0.25">
      <c r="A25" s="50" t="str">
        <f t="shared" si="3"/>
        <v>09SAM004</v>
      </c>
      <c r="B25" s="154">
        <v>4</v>
      </c>
      <c r="C25" s="50" t="s">
        <v>57</v>
      </c>
      <c r="D25" s="51" t="s">
        <v>40</v>
      </c>
      <c r="E25" s="33" t="s">
        <v>88</v>
      </c>
      <c r="F25" s="33" t="s">
        <v>96</v>
      </c>
      <c r="G25" s="248">
        <v>442.6</v>
      </c>
      <c r="H25" s="34" t="s">
        <v>248</v>
      </c>
      <c r="I25" s="34" t="s">
        <v>409</v>
      </c>
      <c r="J25" s="34" t="s">
        <v>2261</v>
      </c>
      <c r="K25" s="34" t="s">
        <v>60</v>
      </c>
      <c r="L25" s="47">
        <v>200</v>
      </c>
      <c r="M25" s="47" t="s">
        <v>61</v>
      </c>
      <c r="N25" s="264" t="s">
        <v>2262</v>
      </c>
      <c r="O25" s="257" t="s">
        <v>2257</v>
      </c>
      <c r="P25" s="34" t="s">
        <v>1415</v>
      </c>
      <c r="Q25" s="34"/>
      <c r="R25" s="34"/>
      <c r="S25" s="34"/>
      <c r="T25" s="36" t="str">
        <f t="shared" ca="1" si="0"/>
        <v/>
      </c>
      <c r="U25" s="37" t="s">
        <v>91</v>
      </c>
      <c r="V25" s="37" t="s">
        <v>97</v>
      </c>
      <c r="W25" s="44"/>
      <c r="X25" s="40"/>
      <c r="Y25" s="39"/>
      <c r="Z25" s="40"/>
      <c r="AA25" s="41"/>
      <c r="AB25" s="40"/>
      <c r="AC25" s="40"/>
      <c r="AD25" s="40"/>
      <c r="AE25" s="40"/>
      <c r="AF25" s="136" t="str">
        <f t="shared" ca="1" si="1"/>
        <v/>
      </c>
      <c r="AG25" s="29"/>
      <c r="AH25" s="29"/>
      <c r="AI25" s="29"/>
      <c r="AJ25" s="29"/>
      <c r="AK25" s="30"/>
      <c r="AL25" s="30"/>
    </row>
    <row r="26" spans="1:38" ht="24.95" customHeight="1" x14ac:dyDescent="0.25">
      <c r="A26" s="50" t="str">
        <f t="shared" si="3"/>
        <v>09SAM005</v>
      </c>
      <c r="B26" s="154">
        <v>5</v>
      </c>
      <c r="C26" s="50" t="s">
        <v>57</v>
      </c>
      <c r="D26" s="51" t="s">
        <v>40</v>
      </c>
      <c r="E26" s="33" t="s">
        <v>88</v>
      </c>
      <c r="F26" s="33" t="s">
        <v>98</v>
      </c>
      <c r="G26" s="248"/>
      <c r="H26" s="34" t="s">
        <v>60</v>
      </c>
      <c r="I26" s="34"/>
      <c r="J26" s="34" t="s">
        <v>45</v>
      </c>
      <c r="K26" s="34" t="s">
        <v>60</v>
      </c>
      <c r="L26" s="47" t="s">
        <v>61</v>
      </c>
      <c r="M26" s="47" t="s">
        <v>61</v>
      </c>
      <c r="N26" s="264">
        <v>39945</v>
      </c>
      <c r="O26" s="257"/>
      <c r="P26" s="34" t="s">
        <v>99</v>
      </c>
      <c r="Q26" s="34"/>
      <c r="R26" s="34"/>
      <c r="S26" s="34"/>
      <c r="T26" s="36" t="str">
        <f t="shared" ca="1" si="0"/>
        <v/>
      </c>
      <c r="U26" s="37" t="s">
        <v>91</v>
      </c>
      <c r="V26" s="37" t="s">
        <v>100</v>
      </c>
      <c r="W26" s="44"/>
      <c r="X26" s="40"/>
      <c r="Y26" s="39"/>
      <c r="Z26" s="40"/>
      <c r="AA26" s="41"/>
      <c r="AB26" s="40"/>
      <c r="AC26" s="40"/>
      <c r="AD26" s="40"/>
      <c r="AE26" s="40"/>
      <c r="AF26" s="136" t="str">
        <f t="shared" ca="1" si="1"/>
        <v/>
      </c>
      <c r="AG26" s="29"/>
      <c r="AH26" s="29"/>
      <c r="AI26" s="29"/>
      <c r="AJ26" s="29"/>
      <c r="AK26" s="30"/>
      <c r="AL26" s="30"/>
    </row>
    <row r="27" spans="1:38" ht="24.95" customHeight="1" x14ac:dyDescent="0.25">
      <c r="A27" s="50" t="str">
        <f t="shared" si="3"/>
        <v>09SAM006</v>
      </c>
      <c r="B27" s="154">
        <v>6</v>
      </c>
      <c r="C27" s="50" t="s">
        <v>57</v>
      </c>
      <c r="D27" s="51" t="s">
        <v>40</v>
      </c>
      <c r="E27" s="33" t="s">
        <v>101</v>
      </c>
      <c r="F27" s="33"/>
      <c r="G27" s="248"/>
      <c r="H27" s="34" t="s">
        <v>60</v>
      </c>
      <c r="I27" s="34"/>
      <c r="J27" s="34" t="s">
        <v>45</v>
      </c>
      <c r="K27" s="34">
        <v>452.46</v>
      </c>
      <c r="L27" s="47" t="s">
        <v>61</v>
      </c>
      <c r="M27" s="47" t="s">
        <v>61</v>
      </c>
      <c r="N27" s="264">
        <v>39951</v>
      </c>
      <c r="O27" s="257"/>
      <c r="P27" s="34" t="s">
        <v>102</v>
      </c>
      <c r="Q27" s="34"/>
      <c r="R27" s="34"/>
      <c r="S27" s="34"/>
      <c r="T27" s="36" t="str">
        <f t="shared" ca="1" si="0"/>
        <v/>
      </c>
      <c r="U27" s="37"/>
      <c r="V27" s="37" t="s">
        <v>103</v>
      </c>
      <c r="W27" s="44"/>
      <c r="X27" s="40"/>
      <c r="Y27" s="39"/>
      <c r="Z27" s="40"/>
      <c r="AA27" s="41"/>
      <c r="AB27" s="40"/>
      <c r="AC27" s="40"/>
      <c r="AD27" s="40"/>
      <c r="AE27" s="40"/>
      <c r="AF27" s="136" t="str">
        <f t="shared" ca="1" si="1"/>
        <v/>
      </c>
      <c r="AG27" s="29"/>
      <c r="AH27" s="29"/>
      <c r="AI27" s="29"/>
      <c r="AJ27" s="29"/>
      <c r="AK27" s="30"/>
      <c r="AL27" s="30"/>
    </row>
    <row r="28" spans="1:38" ht="24.95" customHeight="1" x14ac:dyDescent="0.25">
      <c r="A28" s="50" t="str">
        <f t="shared" si="3"/>
        <v>09SAM007</v>
      </c>
      <c r="B28" s="154">
        <v>7</v>
      </c>
      <c r="C28" s="50" t="s">
        <v>57</v>
      </c>
      <c r="D28" s="51" t="s">
        <v>40</v>
      </c>
      <c r="E28" s="33" t="s">
        <v>88</v>
      </c>
      <c r="F28" s="33" t="s">
        <v>104</v>
      </c>
      <c r="G28" s="248"/>
      <c r="H28" s="34" t="s">
        <v>43</v>
      </c>
      <c r="I28" s="34"/>
      <c r="J28" s="47" t="s">
        <v>105</v>
      </c>
      <c r="K28" s="34">
        <v>4207.67</v>
      </c>
      <c r="L28" s="47" t="s">
        <v>61</v>
      </c>
      <c r="M28" s="47" t="s">
        <v>61</v>
      </c>
      <c r="N28" s="264">
        <v>40007</v>
      </c>
      <c r="O28" s="257" t="s">
        <v>60</v>
      </c>
      <c r="P28" s="34" t="s">
        <v>106</v>
      </c>
      <c r="Q28" s="34"/>
      <c r="R28" s="34"/>
      <c r="S28" s="34" t="s">
        <v>107</v>
      </c>
      <c r="T28" s="36" t="e">
        <f t="shared" ca="1" si="0"/>
        <v>#VALUE!</v>
      </c>
      <c r="U28" s="37"/>
      <c r="V28" s="37" t="s">
        <v>108</v>
      </c>
      <c r="W28" s="44"/>
      <c r="X28" s="40"/>
      <c r="Y28" s="39"/>
      <c r="Z28" s="40"/>
      <c r="AA28" s="41"/>
      <c r="AB28" s="40"/>
      <c r="AC28" s="40"/>
      <c r="AD28" s="40"/>
      <c r="AE28" s="40"/>
      <c r="AF28" s="136" t="str">
        <f t="shared" ca="1" si="1"/>
        <v/>
      </c>
      <c r="AG28" s="29"/>
      <c r="AH28" s="29"/>
      <c r="AI28" s="29"/>
      <c r="AJ28" s="29"/>
      <c r="AK28" s="30"/>
      <c r="AL28" s="30"/>
    </row>
    <row r="29" spans="1:38" ht="24.95" customHeight="1" x14ac:dyDescent="0.25">
      <c r="A29" s="50" t="str">
        <f>IF(C29="","",CONCATENATE("09",MID(C29,1,3),IF(B29&lt;10,"00",0),B29))</f>
        <v>09SAM008</v>
      </c>
      <c r="B29" s="154">
        <v>8</v>
      </c>
      <c r="C29" s="50" t="s">
        <v>57</v>
      </c>
      <c r="D29" s="51" t="s">
        <v>40</v>
      </c>
      <c r="E29" s="33" t="s">
        <v>88</v>
      </c>
      <c r="F29" s="33" t="s">
        <v>109</v>
      </c>
      <c r="G29" s="248"/>
      <c r="H29" s="34" t="s">
        <v>60</v>
      </c>
      <c r="I29" s="34">
        <v>1023882</v>
      </c>
      <c r="J29" s="47" t="s">
        <v>105</v>
      </c>
      <c r="K29" s="34">
        <v>4181.7700000000004</v>
      </c>
      <c r="L29" s="47" t="s">
        <v>61</v>
      </c>
      <c r="M29" s="47" t="s">
        <v>61</v>
      </c>
      <c r="N29" s="264">
        <v>40042</v>
      </c>
      <c r="O29" s="257"/>
      <c r="P29" s="34" t="s">
        <v>110</v>
      </c>
      <c r="Q29" s="34"/>
      <c r="R29" s="34"/>
      <c r="S29" s="34" t="s">
        <v>107</v>
      </c>
      <c r="T29" s="36" t="str">
        <f t="shared" ca="1" si="0"/>
        <v/>
      </c>
      <c r="U29" s="37"/>
      <c r="V29" s="37" t="s">
        <v>111</v>
      </c>
      <c r="W29" s="44"/>
      <c r="X29" s="40"/>
      <c r="Y29" s="39"/>
      <c r="Z29" s="40"/>
      <c r="AA29" s="41"/>
      <c r="AB29" s="40"/>
      <c r="AC29" s="40"/>
      <c r="AD29" s="40"/>
      <c r="AE29" s="40"/>
      <c r="AF29" s="136" t="str">
        <f t="shared" ca="1" si="1"/>
        <v/>
      </c>
      <c r="AG29" s="29"/>
      <c r="AH29" s="29"/>
      <c r="AI29" s="29"/>
      <c r="AJ29" s="29"/>
      <c r="AK29" s="30"/>
      <c r="AL29" s="30"/>
    </row>
    <row r="30" spans="1:38" ht="24.95" customHeight="1" x14ac:dyDescent="0.25">
      <c r="A30" s="50" t="str">
        <f t="shared" si="3"/>
        <v>09SAM009</v>
      </c>
      <c r="B30" s="154">
        <v>9</v>
      </c>
      <c r="C30" s="50" t="s">
        <v>57</v>
      </c>
      <c r="D30" s="51" t="s">
        <v>40</v>
      </c>
      <c r="E30" s="33" t="s">
        <v>88</v>
      </c>
      <c r="F30" s="33" t="s">
        <v>104</v>
      </c>
      <c r="G30" s="248"/>
      <c r="H30" s="34" t="s">
        <v>112</v>
      </c>
      <c r="I30" s="34"/>
      <c r="J30" s="47" t="s">
        <v>105</v>
      </c>
      <c r="K30" s="34">
        <v>4208.66</v>
      </c>
      <c r="L30" s="47" t="s">
        <v>61</v>
      </c>
      <c r="M30" s="47" t="s">
        <v>61</v>
      </c>
      <c r="N30" s="264">
        <v>40070</v>
      </c>
      <c r="O30" s="257"/>
      <c r="P30" s="34" t="s">
        <v>113</v>
      </c>
      <c r="Q30" s="34"/>
      <c r="R30" s="34"/>
      <c r="S30" s="34"/>
      <c r="T30" s="36" t="str">
        <f t="shared" ca="1" si="0"/>
        <v/>
      </c>
      <c r="U30" s="37"/>
      <c r="V30" s="37" t="s">
        <v>108</v>
      </c>
      <c r="W30" s="44"/>
      <c r="X30" s="40"/>
      <c r="Y30" s="39"/>
      <c r="Z30" s="40"/>
      <c r="AA30" s="41"/>
      <c r="AB30" s="40"/>
      <c r="AC30" s="40"/>
      <c r="AD30" s="40"/>
      <c r="AE30" s="40"/>
      <c r="AF30" s="136" t="str">
        <f t="shared" ca="1" si="1"/>
        <v/>
      </c>
      <c r="AG30" s="29"/>
      <c r="AH30" s="29"/>
      <c r="AI30" s="29"/>
      <c r="AJ30" s="29"/>
      <c r="AK30" s="30"/>
      <c r="AL30" s="30"/>
    </row>
    <row r="31" spans="1:38" ht="24.95" customHeight="1" x14ac:dyDescent="0.25">
      <c r="A31" s="50" t="str">
        <f t="shared" si="3"/>
        <v>09SAM010</v>
      </c>
      <c r="B31" s="154">
        <v>10</v>
      </c>
      <c r="C31" s="50" t="s">
        <v>57</v>
      </c>
      <c r="D31" s="51" t="s">
        <v>40</v>
      </c>
      <c r="E31" s="33" t="s">
        <v>114</v>
      </c>
      <c r="F31" s="33"/>
      <c r="G31" s="248"/>
      <c r="H31" s="34" t="s">
        <v>60</v>
      </c>
      <c r="I31" s="34"/>
      <c r="J31" s="47" t="s">
        <v>105</v>
      </c>
      <c r="K31" s="34">
        <v>1072.6500000000001</v>
      </c>
      <c r="L31" s="47" t="s">
        <v>61</v>
      </c>
      <c r="M31" s="47" t="s">
        <v>61</v>
      </c>
      <c r="N31" s="264">
        <v>40070</v>
      </c>
      <c r="O31" s="257">
        <v>40081</v>
      </c>
      <c r="P31" s="34" t="s">
        <v>48</v>
      </c>
      <c r="Q31" s="34"/>
      <c r="R31" s="34"/>
      <c r="S31" s="34" t="s">
        <v>60</v>
      </c>
      <c r="T31" s="36">
        <f t="shared" ca="1" si="0"/>
        <v>3249</v>
      </c>
      <c r="U31" s="37"/>
      <c r="V31" s="37" t="s">
        <v>115</v>
      </c>
      <c r="W31" s="44"/>
      <c r="X31" s="40"/>
      <c r="Y31" s="39"/>
      <c r="Z31" s="40"/>
      <c r="AA31" s="41"/>
      <c r="AB31" s="40"/>
      <c r="AC31" s="40"/>
      <c r="AD31" s="40"/>
      <c r="AE31" s="40"/>
      <c r="AF31" s="136" t="str">
        <f t="shared" ca="1" si="1"/>
        <v/>
      </c>
      <c r="AG31" s="29"/>
      <c r="AH31" s="29"/>
      <c r="AI31" s="29"/>
      <c r="AJ31" s="29"/>
      <c r="AK31" s="30"/>
      <c r="AL31" s="30"/>
    </row>
    <row r="32" spans="1:38" ht="24.95" customHeight="1" x14ac:dyDescent="0.25">
      <c r="A32" s="50" t="str">
        <f t="shared" si="3"/>
        <v>09SAM011</v>
      </c>
      <c r="B32" s="154">
        <v>11</v>
      </c>
      <c r="C32" s="50" t="s">
        <v>57</v>
      </c>
      <c r="D32" s="51" t="s">
        <v>40</v>
      </c>
      <c r="E32" s="33" t="s">
        <v>116</v>
      </c>
      <c r="F32" s="33" t="s">
        <v>117</v>
      </c>
      <c r="G32" s="248"/>
      <c r="H32" s="34" t="s">
        <v>60</v>
      </c>
      <c r="I32" s="34" t="s">
        <v>118</v>
      </c>
      <c r="J32" s="34" t="s">
        <v>45</v>
      </c>
      <c r="K32" s="34">
        <v>105.09</v>
      </c>
      <c r="L32" s="47" t="s">
        <v>61</v>
      </c>
      <c r="M32" s="47" t="s">
        <v>61</v>
      </c>
      <c r="N32" s="264">
        <v>40144</v>
      </c>
      <c r="O32" s="257">
        <v>40086</v>
      </c>
      <c r="P32" s="34" t="s">
        <v>119</v>
      </c>
      <c r="Q32" s="34" t="s">
        <v>120</v>
      </c>
      <c r="R32" s="34"/>
      <c r="S32" s="34">
        <v>4434.34</v>
      </c>
      <c r="T32" s="36">
        <f t="shared" ca="1" si="0"/>
        <v>3244</v>
      </c>
      <c r="U32" s="37"/>
      <c r="V32" s="37" t="s">
        <v>121</v>
      </c>
      <c r="W32" s="44"/>
      <c r="X32" s="40"/>
      <c r="Y32" s="39"/>
      <c r="Z32" s="40"/>
      <c r="AA32" s="41"/>
      <c r="AB32" s="40"/>
      <c r="AC32" s="40"/>
      <c r="AD32" s="40"/>
      <c r="AE32" s="40"/>
      <c r="AF32" s="136" t="str">
        <f t="shared" ca="1" si="1"/>
        <v/>
      </c>
      <c r="AG32" s="29"/>
      <c r="AH32" s="29"/>
      <c r="AI32" s="29"/>
      <c r="AJ32" s="29"/>
      <c r="AK32" s="30"/>
      <c r="AL32" s="30"/>
    </row>
    <row r="33" spans="1:38" ht="24.95" customHeight="1" x14ac:dyDescent="0.25">
      <c r="A33" s="50" t="str">
        <f t="shared" si="3"/>
        <v>09SAM012</v>
      </c>
      <c r="B33" s="154">
        <v>12</v>
      </c>
      <c r="C33" s="50" t="s">
        <v>57</v>
      </c>
      <c r="D33" s="51" t="s">
        <v>40</v>
      </c>
      <c r="E33" s="33" t="s">
        <v>116</v>
      </c>
      <c r="F33" s="33" t="s">
        <v>122</v>
      </c>
      <c r="G33" s="248"/>
      <c r="H33" s="34" t="s">
        <v>60</v>
      </c>
      <c r="I33" s="34" t="s">
        <v>123</v>
      </c>
      <c r="J33" s="34" t="s">
        <v>45</v>
      </c>
      <c r="K33" s="34">
        <v>340.78</v>
      </c>
      <c r="L33" s="47" t="s">
        <v>61</v>
      </c>
      <c r="M33" s="47" t="s">
        <v>61</v>
      </c>
      <c r="N33" s="264">
        <v>40144</v>
      </c>
      <c r="O33" s="257">
        <v>40126</v>
      </c>
      <c r="P33" s="34" t="s">
        <v>124</v>
      </c>
      <c r="Q33" s="34" t="s">
        <v>125</v>
      </c>
      <c r="R33" s="34"/>
      <c r="S33" s="34">
        <v>37.299999999999997</v>
      </c>
      <c r="T33" s="36">
        <f t="shared" ca="1" si="0"/>
        <v>3205</v>
      </c>
      <c r="U33" s="37"/>
      <c r="V33" s="37" t="s">
        <v>126</v>
      </c>
      <c r="W33" s="44"/>
      <c r="X33" s="40"/>
      <c r="Y33" s="39"/>
      <c r="Z33" s="40"/>
      <c r="AA33" s="41"/>
      <c r="AB33" s="40"/>
      <c r="AC33" s="40"/>
      <c r="AD33" s="40"/>
      <c r="AE33" s="40"/>
      <c r="AF33" s="136" t="str">
        <f t="shared" ca="1" si="1"/>
        <v/>
      </c>
      <c r="AG33" s="29"/>
      <c r="AH33" s="29"/>
      <c r="AI33" s="29"/>
      <c r="AJ33" s="29"/>
      <c r="AK33" s="30"/>
      <c r="AL33" s="30"/>
    </row>
    <row r="34" spans="1:38" ht="24.95" customHeight="1" x14ac:dyDescent="0.25">
      <c r="A34" s="50" t="str">
        <f t="shared" si="3"/>
        <v>09SAM013</v>
      </c>
      <c r="B34" s="154">
        <v>13</v>
      </c>
      <c r="C34" s="50" t="s">
        <v>57</v>
      </c>
      <c r="D34" s="51" t="s">
        <v>40</v>
      </c>
      <c r="E34" s="33" t="s">
        <v>116</v>
      </c>
      <c r="F34" s="33" t="s">
        <v>127</v>
      </c>
      <c r="G34" s="248"/>
      <c r="H34" s="34" t="s">
        <v>60</v>
      </c>
      <c r="I34" s="34" t="s">
        <v>128</v>
      </c>
      <c r="J34" s="34" t="s">
        <v>45</v>
      </c>
      <c r="K34" s="34">
        <v>174.81</v>
      </c>
      <c r="L34" s="47" t="s">
        <v>61</v>
      </c>
      <c r="M34" s="47" t="s">
        <v>61</v>
      </c>
      <c r="N34" s="264">
        <v>40144</v>
      </c>
      <c r="O34" s="257">
        <v>40156</v>
      </c>
      <c r="P34" s="34" t="s">
        <v>129</v>
      </c>
      <c r="Q34" s="34" t="s">
        <v>130</v>
      </c>
      <c r="R34" s="34"/>
      <c r="S34" s="34">
        <v>115.7</v>
      </c>
      <c r="T34" s="36">
        <f t="shared" ca="1" si="0"/>
        <v>3175</v>
      </c>
      <c r="U34" s="37"/>
      <c r="V34" s="37" t="s">
        <v>131</v>
      </c>
      <c r="W34" s="44"/>
      <c r="X34" s="40"/>
      <c r="Y34" s="39"/>
      <c r="Z34" s="40"/>
      <c r="AA34" s="41"/>
      <c r="AB34" s="40"/>
      <c r="AC34" s="40"/>
      <c r="AD34" s="40"/>
      <c r="AE34" s="40"/>
      <c r="AF34" s="136" t="str">
        <f t="shared" ca="1" si="1"/>
        <v/>
      </c>
      <c r="AG34" s="29"/>
      <c r="AH34" s="29"/>
      <c r="AI34" s="29"/>
      <c r="AJ34" s="29"/>
      <c r="AK34" s="30"/>
      <c r="AL34" s="30"/>
    </row>
    <row r="35" spans="1:38" ht="24.95" customHeight="1" x14ac:dyDescent="0.25">
      <c r="A35" s="50" t="str">
        <f t="shared" si="3"/>
        <v>09SAM014</v>
      </c>
      <c r="B35" s="154">
        <v>14</v>
      </c>
      <c r="C35" s="50" t="s">
        <v>57</v>
      </c>
      <c r="D35" s="51" t="s">
        <v>40</v>
      </c>
      <c r="E35" s="33" t="s">
        <v>114</v>
      </c>
      <c r="F35" s="33" t="s">
        <v>132</v>
      </c>
      <c r="G35" s="248"/>
      <c r="H35" s="34" t="s">
        <v>60</v>
      </c>
      <c r="I35" s="34"/>
      <c r="J35" s="47" t="s">
        <v>105</v>
      </c>
      <c r="K35" s="34" t="s">
        <v>60</v>
      </c>
      <c r="L35" s="47" t="s">
        <v>61</v>
      </c>
      <c r="M35" s="47" t="s">
        <v>61</v>
      </c>
      <c r="N35" s="264">
        <v>40158</v>
      </c>
      <c r="O35" s="257"/>
      <c r="P35" s="34" t="s">
        <v>133</v>
      </c>
      <c r="Q35" s="34"/>
      <c r="R35" s="34"/>
      <c r="S35" s="34" t="s">
        <v>60</v>
      </c>
      <c r="T35" s="36" t="str">
        <f t="shared" ca="1" si="0"/>
        <v/>
      </c>
      <c r="U35" s="37"/>
      <c r="V35" s="37" t="s">
        <v>134</v>
      </c>
      <c r="W35" s="44"/>
      <c r="X35" s="40"/>
      <c r="Y35" s="39"/>
      <c r="Z35" s="40"/>
      <c r="AA35" s="41"/>
      <c r="AB35" s="40"/>
      <c r="AC35" s="40"/>
      <c r="AD35" s="40"/>
      <c r="AE35" s="40"/>
      <c r="AF35" s="136" t="str">
        <f t="shared" ca="1" si="1"/>
        <v/>
      </c>
      <c r="AG35" s="29"/>
      <c r="AH35" s="29"/>
      <c r="AI35" s="29"/>
      <c r="AJ35" s="29"/>
      <c r="AK35" s="30"/>
      <c r="AL35" s="30"/>
    </row>
    <row r="36" spans="1:38" ht="24.95" customHeight="1" x14ac:dyDescent="0.25">
      <c r="A36" s="582" t="str">
        <f t="shared" si="3"/>
        <v>09REF015</v>
      </c>
      <c r="B36" s="155">
        <v>15</v>
      </c>
      <c r="C36" s="582" t="s">
        <v>39</v>
      </c>
      <c r="D36" s="583" t="s">
        <v>40</v>
      </c>
      <c r="E36" s="33" t="s">
        <v>41</v>
      </c>
      <c r="F36" s="33" t="s">
        <v>1588</v>
      </c>
      <c r="G36" s="248"/>
      <c r="H36" s="34" t="s">
        <v>60</v>
      </c>
      <c r="I36" s="34" t="s">
        <v>1591</v>
      </c>
      <c r="J36" s="34" t="s">
        <v>45</v>
      </c>
      <c r="K36" s="34">
        <v>284.7</v>
      </c>
      <c r="L36" s="34" t="s">
        <v>1589</v>
      </c>
      <c r="M36" s="34" t="s">
        <v>1590</v>
      </c>
      <c r="N36" s="264">
        <v>40165</v>
      </c>
      <c r="O36" s="257">
        <v>41852</v>
      </c>
      <c r="P36" s="34" t="s">
        <v>124</v>
      </c>
      <c r="Q36" s="34" t="s">
        <v>49</v>
      </c>
      <c r="R36" s="34"/>
      <c r="S36" s="34">
        <f>64.4-3.16-8.35-4.16-2.3-3.74</f>
        <v>42.690000000000005</v>
      </c>
      <c r="T36" s="36">
        <f t="shared" ca="1" si="0"/>
        <v>1503</v>
      </c>
      <c r="U36" s="37"/>
      <c r="V36" s="37"/>
      <c r="W36" s="44">
        <v>43087</v>
      </c>
      <c r="X36" s="40" t="s">
        <v>1790</v>
      </c>
      <c r="Y36" s="39" t="s">
        <v>2210</v>
      </c>
      <c r="Z36" s="40" t="s">
        <v>212</v>
      </c>
      <c r="AA36" s="41"/>
      <c r="AB36" s="40"/>
      <c r="AC36" s="40"/>
      <c r="AD36" s="40"/>
      <c r="AE36" s="40"/>
      <c r="AF36" s="136" t="str">
        <f t="shared" ca="1" si="1"/>
        <v/>
      </c>
      <c r="AG36" s="29"/>
      <c r="AH36" s="29"/>
      <c r="AI36" s="29"/>
      <c r="AJ36" s="29"/>
      <c r="AK36" s="30"/>
      <c r="AL36" s="30"/>
    </row>
    <row r="37" spans="1:38" ht="24.95" customHeight="1" x14ac:dyDescent="0.25">
      <c r="A37" s="52"/>
      <c r="B37" s="155">
        <v>16</v>
      </c>
      <c r="C37" s="52"/>
      <c r="D37" s="53"/>
      <c r="E37" s="33"/>
      <c r="F37" s="33"/>
      <c r="G37" s="248"/>
      <c r="H37" s="34"/>
      <c r="I37" s="34"/>
      <c r="J37" s="47"/>
      <c r="K37" s="34"/>
      <c r="L37" s="47"/>
      <c r="M37" s="47"/>
      <c r="N37" s="264"/>
      <c r="O37" s="257"/>
      <c r="P37" s="34"/>
      <c r="Q37" s="34"/>
      <c r="R37" s="34"/>
      <c r="S37" s="34"/>
      <c r="T37" s="36" t="str">
        <f t="shared" ca="1" si="0"/>
        <v/>
      </c>
      <c r="U37" s="37"/>
      <c r="V37" s="37"/>
      <c r="W37" s="44"/>
      <c r="X37" s="40"/>
      <c r="Y37" s="39"/>
      <c r="Z37" s="40"/>
      <c r="AA37" s="41"/>
      <c r="AB37" s="40"/>
      <c r="AC37" s="40"/>
      <c r="AD37" s="40"/>
      <c r="AE37" s="40"/>
      <c r="AF37" s="136" t="str">
        <f t="shared" ca="1" si="1"/>
        <v/>
      </c>
      <c r="AG37" s="29"/>
      <c r="AH37" s="29"/>
      <c r="AI37" s="29"/>
      <c r="AJ37" s="29"/>
      <c r="AK37" s="30"/>
      <c r="AL37" s="30"/>
    </row>
    <row r="38" spans="1:38" ht="24.95" customHeight="1" x14ac:dyDescent="0.25">
      <c r="A38" s="52" t="str">
        <f t="shared" si="3"/>
        <v/>
      </c>
      <c r="B38" s="155">
        <v>17</v>
      </c>
      <c r="C38" s="52"/>
      <c r="D38" s="53"/>
      <c r="E38" s="33"/>
      <c r="F38" s="33"/>
      <c r="G38" s="248"/>
      <c r="H38" s="34"/>
      <c r="I38" s="34"/>
      <c r="J38" s="47"/>
      <c r="K38" s="34"/>
      <c r="L38" s="47"/>
      <c r="M38" s="47"/>
      <c r="N38" s="264"/>
      <c r="O38" s="257"/>
      <c r="P38" s="34"/>
      <c r="Q38" s="34"/>
      <c r="R38" s="34"/>
      <c r="S38" s="34"/>
      <c r="T38" s="36" t="str">
        <f t="shared" ca="1" si="0"/>
        <v/>
      </c>
      <c r="U38" s="37"/>
      <c r="V38" s="37"/>
      <c r="W38" s="44"/>
      <c r="X38" s="40"/>
      <c r="Y38" s="39"/>
      <c r="Z38" s="40"/>
      <c r="AA38" s="41"/>
      <c r="AB38" s="40"/>
      <c r="AC38" s="40"/>
      <c r="AD38" s="40"/>
      <c r="AE38" s="40"/>
      <c r="AF38" s="136" t="str">
        <f t="shared" ca="1" si="1"/>
        <v/>
      </c>
      <c r="AG38" s="29"/>
      <c r="AH38" s="29"/>
      <c r="AI38" s="29"/>
      <c r="AJ38" s="29"/>
      <c r="AK38" s="30"/>
      <c r="AL38" s="30"/>
    </row>
    <row r="39" spans="1:38" ht="23.25" x14ac:dyDescent="0.25">
      <c r="A39" s="54" t="str">
        <f>IF(C39="","",CONCATENATE(10,MID(C39,1,3),IF(B39&lt;10,"00",0),B39))</f>
        <v>10REF001</v>
      </c>
      <c r="B39" s="156">
        <v>1</v>
      </c>
      <c r="C39" s="54" t="s">
        <v>39</v>
      </c>
      <c r="D39" s="55" t="s">
        <v>40</v>
      </c>
      <c r="E39" s="33" t="s">
        <v>41</v>
      </c>
      <c r="F39" s="33" t="s">
        <v>135</v>
      </c>
      <c r="G39" s="248"/>
      <c r="H39" s="34" t="s">
        <v>43</v>
      </c>
      <c r="I39" s="34" t="s">
        <v>136</v>
      </c>
      <c r="J39" s="34" t="s">
        <v>45</v>
      </c>
      <c r="K39" s="34">
        <v>203.8</v>
      </c>
      <c r="L39" s="34" t="s">
        <v>137</v>
      </c>
      <c r="M39" s="34" t="s">
        <v>138</v>
      </c>
      <c r="N39" s="264">
        <v>40301</v>
      </c>
      <c r="O39" s="257">
        <v>40301</v>
      </c>
      <c r="P39" s="34" t="s">
        <v>139</v>
      </c>
      <c r="Q39" s="34" t="s">
        <v>49</v>
      </c>
      <c r="R39" s="34"/>
      <c r="S39" s="34" t="s">
        <v>60</v>
      </c>
      <c r="T39" s="36">
        <f t="shared" ca="1" si="0"/>
        <v>3031</v>
      </c>
      <c r="U39" s="37"/>
      <c r="V39" s="37" t="s">
        <v>140</v>
      </c>
      <c r="W39" s="44">
        <v>42037</v>
      </c>
      <c r="X39" s="40" t="s">
        <v>141</v>
      </c>
      <c r="Y39" s="39" t="s">
        <v>142</v>
      </c>
      <c r="Z39" s="40" t="s">
        <v>49</v>
      </c>
      <c r="AA39" s="41">
        <f ca="1">IF(W39="","",IF(W39,DAYS360(W39,TODAY())))</f>
        <v>1322</v>
      </c>
      <c r="AB39" s="40"/>
      <c r="AC39" s="40"/>
      <c r="AD39" s="40"/>
      <c r="AE39" s="40"/>
      <c r="AF39" s="136" t="str">
        <f t="shared" ca="1" si="1"/>
        <v/>
      </c>
      <c r="AG39" s="29"/>
      <c r="AH39" s="29"/>
      <c r="AI39" s="29"/>
      <c r="AJ39" s="29"/>
      <c r="AK39" s="30"/>
      <c r="AL39" s="30"/>
    </row>
    <row r="40" spans="1:38" ht="24.95" customHeight="1" x14ac:dyDescent="0.25">
      <c r="A40" s="56" t="str">
        <f>IF(C40="","",CONCATENATE(10,MID(C40,1,3),IF(B40&lt;10,"00",0),B40))</f>
        <v>10SAM002</v>
      </c>
      <c r="B40" s="157">
        <v>2</v>
      </c>
      <c r="C40" s="56" t="s">
        <v>57</v>
      </c>
      <c r="D40" s="57" t="s">
        <v>40</v>
      </c>
      <c r="E40" s="33" t="s">
        <v>114</v>
      </c>
      <c r="F40" s="33" t="s">
        <v>132</v>
      </c>
      <c r="G40" s="248"/>
      <c r="H40" s="34" t="s">
        <v>60</v>
      </c>
      <c r="I40" s="34"/>
      <c r="J40" s="47" t="s">
        <v>105</v>
      </c>
      <c r="K40" s="34">
        <v>356.5</v>
      </c>
      <c r="L40" s="47" t="s">
        <v>61</v>
      </c>
      <c r="M40" s="47" t="s">
        <v>61</v>
      </c>
      <c r="N40" s="264">
        <v>40240</v>
      </c>
      <c r="O40" s="257">
        <v>40241</v>
      </c>
      <c r="P40" s="34" t="s">
        <v>143</v>
      </c>
      <c r="Q40" s="34"/>
      <c r="R40" s="34"/>
      <c r="S40" s="34" t="s">
        <v>144</v>
      </c>
      <c r="T40" s="36">
        <f t="shared" ca="1" si="0"/>
        <v>3090</v>
      </c>
      <c r="U40" s="37"/>
      <c r="V40" s="37" t="s">
        <v>134</v>
      </c>
      <c r="W40" s="44"/>
      <c r="X40" s="40"/>
      <c r="Y40" s="39"/>
      <c r="Z40" s="40"/>
      <c r="AA40" s="41"/>
      <c r="AB40" s="40"/>
      <c r="AC40" s="40"/>
      <c r="AD40" s="40"/>
      <c r="AE40" s="40"/>
      <c r="AF40" s="136" t="str">
        <f t="shared" ca="1" si="1"/>
        <v/>
      </c>
      <c r="AG40" s="29"/>
      <c r="AH40" s="29"/>
      <c r="AI40" s="29"/>
      <c r="AJ40" s="29"/>
      <c r="AK40" s="30"/>
      <c r="AL40" s="30"/>
    </row>
    <row r="41" spans="1:38" ht="24.95" customHeight="1" x14ac:dyDescent="0.25">
      <c r="A41" s="56" t="str">
        <f t="shared" ref="A41:A51" si="4">IF(C41="","",CONCATENATE(10,MID(C41,1,3),IF(B41&lt;10,"00",0),B41))</f>
        <v>10SAM003</v>
      </c>
      <c r="B41" s="157">
        <v>3</v>
      </c>
      <c r="C41" s="56" t="s">
        <v>57</v>
      </c>
      <c r="D41" s="57" t="s">
        <v>40</v>
      </c>
      <c r="E41" s="33" t="s">
        <v>116</v>
      </c>
      <c r="F41" s="33" t="s">
        <v>145</v>
      </c>
      <c r="G41" s="248"/>
      <c r="H41" s="34" t="s">
        <v>60</v>
      </c>
      <c r="I41" s="47" t="s">
        <v>61</v>
      </c>
      <c r="J41" s="34" t="s">
        <v>45</v>
      </c>
      <c r="K41" s="58">
        <v>224.84</v>
      </c>
      <c r="L41" s="47" t="s">
        <v>61</v>
      </c>
      <c r="M41" s="47" t="s">
        <v>61</v>
      </c>
      <c r="N41" s="264">
        <v>40256</v>
      </c>
      <c r="O41" s="258" t="s">
        <v>61</v>
      </c>
      <c r="P41" s="34" t="s">
        <v>146</v>
      </c>
      <c r="Q41" s="34"/>
      <c r="R41" s="34"/>
      <c r="S41" s="34">
        <v>4.09</v>
      </c>
      <c r="T41" s="36" t="e">
        <f t="shared" ca="1" si="0"/>
        <v>#VALUE!</v>
      </c>
      <c r="U41" s="37"/>
      <c r="V41" s="37" t="s">
        <v>147</v>
      </c>
      <c r="W41" s="44"/>
      <c r="X41" s="40"/>
      <c r="Y41" s="39"/>
      <c r="Z41" s="40"/>
      <c r="AA41" s="41"/>
      <c r="AB41" s="40"/>
      <c r="AC41" s="40"/>
      <c r="AD41" s="40"/>
      <c r="AE41" s="40"/>
      <c r="AF41" s="136" t="str">
        <f t="shared" ca="1" si="1"/>
        <v/>
      </c>
      <c r="AG41" s="29"/>
      <c r="AH41" s="29"/>
      <c r="AI41" s="29"/>
      <c r="AJ41" s="29"/>
      <c r="AK41" s="30"/>
      <c r="AL41" s="30"/>
    </row>
    <row r="42" spans="1:38" ht="24.95" customHeight="1" x14ac:dyDescent="0.25">
      <c r="A42" s="56" t="str">
        <f t="shared" si="4"/>
        <v>10SAM004</v>
      </c>
      <c r="B42" s="157">
        <v>4</v>
      </c>
      <c r="C42" s="56" t="s">
        <v>57</v>
      </c>
      <c r="D42" s="57" t="s">
        <v>40</v>
      </c>
      <c r="E42" s="33" t="s">
        <v>116</v>
      </c>
      <c r="F42" s="33" t="s">
        <v>148</v>
      </c>
      <c r="G42" s="248"/>
      <c r="H42" s="34" t="s">
        <v>60</v>
      </c>
      <c r="I42" s="47" t="s">
        <v>61</v>
      </c>
      <c r="J42" s="34" t="s">
        <v>45</v>
      </c>
      <c r="K42" s="34">
        <v>439.3</v>
      </c>
      <c r="L42" s="47" t="s">
        <v>61</v>
      </c>
      <c r="M42" s="47" t="s">
        <v>61</v>
      </c>
      <c r="N42" s="264">
        <v>40313</v>
      </c>
      <c r="O42" s="257"/>
      <c r="P42" s="34" t="s">
        <v>149</v>
      </c>
      <c r="Q42" s="34"/>
      <c r="R42" s="34"/>
      <c r="S42" s="34"/>
      <c r="T42" s="36" t="str">
        <f t="shared" ca="1" si="0"/>
        <v/>
      </c>
      <c r="U42" s="37"/>
      <c r="V42" s="37" t="s">
        <v>150</v>
      </c>
      <c r="W42" s="44"/>
      <c r="X42" s="40"/>
      <c r="Y42" s="39"/>
      <c r="Z42" s="40"/>
      <c r="AA42" s="41"/>
      <c r="AB42" s="40"/>
      <c r="AC42" s="40"/>
      <c r="AD42" s="40"/>
      <c r="AE42" s="40"/>
      <c r="AF42" s="136" t="str">
        <f t="shared" ca="1" si="1"/>
        <v/>
      </c>
      <c r="AG42" s="29"/>
      <c r="AH42" s="29"/>
      <c r="AI42" s="29"/>
      <c r="AJ42" s="29"/>
      <c r="AK42" s="30"/>
      <c r="AL42" s="30"/>
    </row>
    <row r="43" spans="1:38" ht="24.95" customHeight="1" x14ac:dyDescent="0.25">
      <c r="A43" s="56" t="str">
        <f t="shared" si="4"/>
        <v>10SAM005</v>
      </c>
      <c r="B43" s="157">
        <v>5</v>
      </c>
      <c r="C43" s="56" t="s">
        <v>57</v>
      </c>
      <c r="D43" s="57" t="s">
        <v>40</v>
      </c>
      <c r="E43" s="33" t="s">
        <v>116</v>
      </c>
      <c r="F43" s="33" t="s">
        <v>151</v>
      </c>
      <c r="G43" s="248"/>
      <c r="H43" s="34" t="s">
        <v>60</v>
      </c>
      <c r="I43" s="47" t="s">
        <v>61</v>
      </c>
      <c r="J43" s="34" t="s">
        <v>45</v>
      </c>
      <c r="K43" s="34">
        <v>353.34</v>
      </c>
      <c r="L43" s="47" t="s">
        <v>61</v>
      </c>
      <c r="M43" s="47" t="s">
        <v>61</v>
      </c>
      <c r="N43" s="264">
        <v>40313</v>
      </c>
      <c r="O43" s="257"/>
      <c r="P43" s="34" t="s">
        <v>152</v>
      </c>
      <c r="Q43" s="34"/>
      <c r="R43" s="34"/>
      <c r="S43" s="34"/>
      <c r="T43" s="36" t="str">
        <f t="shared" ca="1" si="0"/>
        <v/>
      </c>
      <c r="U43" s="37"/>
      <c r="V43" s="37" t="s">
        <v>153</v>
      </c>
      <c r="W43" s="44"/>
      <c r="X43" s="40"/>
      <c r="Y43" s="39"/>
      <c r="Z43" s="40"/>
      <c r="AA43" s="41"/>
      <c r="AB43" s="40"/>
      <c r="AC43" s="40"/>
      <c r="AD43" s="40"/>
      <c r="AE43" s="40"/>
      <c r="AF43" s="136" t="str">
        <f t="shared" ca="1" si="1"/>
        <v/>
      </c>
      <c r="AG43" s="29"/>
      <c r="AH43" s="29"/>
      <c r="AI43" s="29"/>
      <c r="AJ43" s="29"/>
      <c r="AK43" s="30"/>
      <c r="AL43" s="30"/>
    </row>
    <row r="44" spans="1:38" ht="24.95" customHeight="1" x14ac:dyDescent="0.25">
      <c r="A44" s="56" t="str">
        <f t="shared" si="4"/>
        <v>10SAM006</v>
      </c>
      <c r="B44" s="157">
        <v>6</v>
      </c>
      <c r="C44" s="56" t="s">
        <v>57</v>
      </c>
      <c r="D44" s="57" t="s">
        <v>40</v>
      </c>
      <c r="E44" s="33" t="s">
        <v>116</v>
      </c>
      <c r="F44" s="33" t="s">
        <v>154</v>
      </c>
      <c r="G44" s="248"/>
      <c r="H44" s="34" t="s">
        <v>60</v>
      </c>
      <c r="I44" s="47" t="s">
        <v>61</v>
      </c>
      <c r="J44" s="34" t="s">
        <v>45</v>
      </c>
      <c r="K44" s="34">
        <v>498.43</v>
      </c>
      <c r="L44" s="47" t="s">
        <v>61</v>
      </c>
      <c r="M44" s="47" t="s">
        <v>61</v>
      </c>
      <c r="N44" s="264">
        <v>40313</v>
      </c>
      <c r="O44" s="257">
        <v>40315</v>
      </c>
      <c r="P44" s="34" t="s">
        <v>155</v>
      </c>
      <c r="Q44" s="34"/>
      <c r="R44" s="34"/>
      <c r="S44" s="34"/>
      <c r="T44" s="36" t="str">
        <f t="shared" ca="1" si="0"/>
        <v/>
      </c>
      <c r="U44" s="37"/>
      <c r="V44" s="37" t="s">
        <v>156</v>
      </c>
      <c r="W44" s="44"/>
      <c r="X44" s="40"/>
      <c r="Y44" s="39"/>
      <c r="Z44" s="40"/>
      <c r="AA44" s="41"/>
      <c r="AB44" s="40"/>
      <c r="AC44" s="40"/>
      <c r="AD44" s="40"/>
      <c r="AE44" s="40"/>
      <c r="AF44" s="136" t="str">
        <f t="shared" ca="1" si="1"/>
        <v/>
      </c>
      <c r="AG44" s="29"/>
      <c r="AH44" s="29"/>
      <c r="AI44" s="29"/>
      <c r="AJ44" s="29"/>
      <c r="AK44" s="30"/>
      <c r="AL44" s="30"/>
    </row>
    <row r="45" spans="1:38" ht="24.95" customHeight="1" x14ac:dyDescent="0.25">
      <c r="A45" s="56" t="str">
        <f t="shared" si="4"/>
        <v>10SAM007</v>
      </c>
      <c r="B45" s="157">
        <v>7</v>
      </c>
      <c r="C45" s="56" t="s">
        <v>57</v>
      </c>
      <c r="D45" s="57" t="s">
        <v>40</v>
      </c>
      <c r="E45" s="33" t="s">
        <v>157</v>
      </c>
      <c r="F45" s="33" t="s">
        <v>158</v>
      </c>
      <c r="G45" s="248"/>
      <c r="H45" s="34" t="s">
        <v>60</v>
      </c>
      <c r="I45" s="34" t="s">
        <v>159</v>
      </c>
      <c r="J45" s="47" t="s">
        <v>105</v>
      </c>
      <c r="K45" s="34">
        <v>464.55</v>
      </c>
      <c r="L45" s="47" t="s">
        <v>61</v>
      </c>
      <c r="M45" s="47" t="s">
        <v>61</v>
      </c>
      <c r="N45" s="264">
        <v>40459</v>
      </c>
      <c r="O45" s="257">
        <v>40464</v>
      </c>
      <c r="P45" s="34" t="s">
        <v>160</v>
      </c>
      <c r="Q45" s="34"/>
      <c r="R45" s="34"/>
      <c r="S45" s="34">
        <v>195.6</v>
      </c>
      <c r="T45" s="36">
        <f t="shared" ca="1" si="0"/>
        <v>2871</v>
      </c>
      <c r="U45" s="37"/>
      <c r="V45" s="37" t="s">
        <v>161</v>
      </c>
      <c r="W45" s="44"/>
      <c r="X45" s="40"/>
      <c r="Y45" s="39"/>
      <c r="Z45" s="40"/>
      <c r="AA45" s="41"/>
      <c r="AB45" s="40"/>
      <c r="AC45" s="40"/>
      <c r="AD45" s="40"/>
      <c r="AE45" s="40"/>
      <c r="AF45" s="136" t="str">
        <f t="shared" ca="1" si="1"/>
        <v/>
      </c>
      <c r="AG45" s="29"/>
      <c r="AH45" s="29"/>
      <c r="AI45" s="29"/>
      <c r="AJ45" s="29"/>
      <c r="AK45" s="30"/>
      <c r="AL45" s="30"/>
    </row>
    <row r="46" spans="1:38" ht="24.95" customHeight="1" x14ac:dyDescent="0.25">
      <c r="A46" s="56" t="str">
        <f t="shared" si="4"/>
        <v>10SAM008</v>
      </c>
      <c r="B46" s="157">
        <v>8</v>
      </c>
      <c r="C46" s="56" t="s">
        <v>57</v>
      </c>
      <c r="D46" s="57" t="s">
        <v>40</v>
      </c>
      <c r="E46" s="33" t="s">
        <v>157</v>
      </c>
      <c r="F46" s="33" t="s">
        <v>158</v>
      </c>
      <c r="G46" s="248"/>
      <c r="H46" s="34" t="s">
        <v>60</v>
      </c>
      <c r="I46" s="34" t="s">
        <v>162</v>
      </c>
      <c r="J46" s="47" t="s">
        <v>105</v>
      </c>
      <c r="K46" s="34">
        <v>464.55</v>
      </c>
      <c r="L46" s="47" t="s">
        <v>61</v>
      </c>
      <c r="M46" s="47" t="s">
        <v>61</v>
      </c>
      <c r="N46" s="264">
        <v>40518</v>
      </c>
      <c r="O46" s="257"/>
      <c r="P46" s="34" t="s">
        <v>163</v>
      </c>
      <c r="Q46" s="34"/>
      <c r="R46" s="34"/>
      <c r="S46" s="34"/>
      <c r="T46" s="36" t="str">
        <f t="shared" ca="1" si="0"/>
        <v/>
      </c>
      <c r="U46" s="37"/>
      <c r="V46" s="37" t="s">
        <v>161</v>
      </c>
      <c r="W46" s="44"/>
      <c r="X46" s="40"/>
      <c r="Y46" s="39"/>
      <c r="Z46" s="40"/>
      <c r="AA46" s="41"/>
      <c r="AB46" s="40"/>
      <c r="AC46" s="40"/>
      <c r="AD46" s="40"/>
      <c r="AE46" s="40"/>
      <c r="AF46" s="136" t="str">
        <f t="shared" ca="1" si="1"/>
        <v/>
      </c>
      <c r="AG46" s="29"/>
      <c r="AH46" s="29"/>
      <c r="AI46" s="29"/>
      <c r="AJ46" s="29"/>
      <c r="AK46" s="30"/>
      <c r="AL46" s="30"/>
    </row>
    <row r="47" spans="1:38" ht="24.95" customHeight="1" x14ac:dyDescent="0.25">
      <c r="A47" s="56" t="str">
        <f t="shared" si="4"/>
        <v>10SAM009</v>
      </c>
      <c r="B47" s="157">
        <v>9</v>
      </c>
      <c r="C47" s="56" t="s">
        <v>57</v>
      </c>
      <c r="D47" s="57" t="s">
        <v>40</v>
      </c>
      <c r="E47" s="33" t="s">
        <v>157</v>
      </c>
      <c r="F47" s="33" t="s">
        <v>158</v>
      </c>
      <c r="G47" s="248"/>
      <c r="H47" s="34" t="s">
        <v>60</v>
      </c>
      <c r="I47" s="34" t="s">
        <v>164</v>
      </c>
      <c r="J47" s="47" t="s">
        <v>105</v>
      </c>
      <c r="K47" s="34">
        <v>464.55</v>
      </c>
      <c r="L47" s="47" t="s">
        <v>61</v>
      </c>
      <c r="M47" s="47" t="s">
        <v>61</v>
      </c>
      <c r="N47" s="264">
        <v>40518</v>
      </c>
      <c r="O47" s="257"/>
      <c r="P47" s="34" t="s">
        <v>163</v>
      </c>
      <c r="Q47" s="34"/>
      <c r="R47" s="34"/>
      <c r="S47" s="34"/>
      <c r="T47" s="36" t="str">
        <f t="shared" ca="1" si="0"/>
        <v/>
      </c>
      <c r="U47" s="37"/>
      <c r="V47" s="37" t="s">
        <v>165</v>
      </c>
      <c r="W47" s="44"/>
      <c r="X47" s="40"/>
      <c r="Y47" s="39"/>
      <c r="Z47" s="40"/>
      <c r="AA47" s="41"/>
      <c r="AB47" s="40"/>
      <c r="AC47" s="40"/>
      <c r="AD47" s="40"/>
      <c r="AE47" s="40"/>
      <c r="AF47" s="136" t="str">
        <f t="shared" ca="1" si="1"/>
        <v/>
      </c>
      <c r="AG47" s="29"/>
      <c r="AH47" s="29"/>
      <c r="AI47" s="29"/>
      <c r="AJ47" s="29"/>
      <c r="AK47" s="30"/>
      <c r="AL47" s="30"/>
    </row>
    <row r="48" spans="1:38" ht="24.95" customHeight="1" x14ac:dyDescent="0.25">
      <c r="A48" s="56" t="str">
        <f t="shared" si="4"/>
        <v>10SAM010</v>
      </c>
      <c r="B48" s="157">
        <v>10</v>
      </c>
      <c r="C48" s="56" t="s">
        <v>57</v>
      </c>
      <c r="D48" s="57" t="s">
        <v>40</v>
      </c>
      <c r="E48" s="33" t="s">
        <v>157</v>
      </c>
      <c r="F48" s="33" t="s">
        <v>166</v>
      </c>
      <c r="G48" s="248"/>
      <c r="H48" s="34" t="s">
        <v>60</v>
      </c>
      <c r="I48" s="47" t="s">
        <v>167</v>
      </c>
      <c r="J48" s="34" t="s">
        <v>45</v>
      </c>
      <c r="K48" s="34">
        <v>299.69</v>
      </c>
      <c r="L48" s="47" t="s">
        <v>61</v>
      </c>
      <c r="M48" s="47" t="s">
        <v>61</v>
      </c>
      <c r="N48" s="264">
        <v>40518</v>
      </c>
      <c r="O48" s="257" t="s">
        <v>168</v>
      </c>
      <c r="P48" s="34" t="s">
        <v>160</v>
      </c>
      <c r="Q48" s="34"/>
      <c r="R48" s="34"/>
      <c r="S48" s="34">
        <v>991</v>
      </c>
      <c r="T48" s="36" t="e">
        <f t="shared" ca="1" si="0"/>
        <v>#VALUE!</v>
      </c>
      <c r="U48" s="37"/>
      <c r="V48" s="37" t="s">
        <v>169</v>
      </c>
      <c r="W48" s="44"/>
      <c r="X48" s="40"/>
      <c r="Y48" s="39"/>
      <c r="Z48" s="40"/>
      <c r="AA48" s="41"/>
      <c r="AB48" s="40"/>
      <c r="AC48" s="40"/>
      <c r="AD48" s="40"/>
      <c r="AE48" s="40"/>
      <c r="AF48" s="136" t="str">
        <f t="shared" ca="1" si="1"/>
        <v/>
      </c>
      <c r="AG48" s="29"/>
      <c r="AH48" s="29"/>
      <c r="AI48" s="29"/>
      <c r="AJ48" s="29"/>
      <c r="AK48" s="30"/>
      <c r="AL48" s="30"/>
    </row>
    <row r="49" spans="1:38" ht="24.95" customHeight="1" x14ac:dyDescent="0.25">
      <c r="A49" s="56" t="str">
        <f t="shared" si="4"/>
        <v>10REF011</v>
      </c>
      <c r="B49" s="157">
        <v>11</v>
      </c>
      <c r="C49" s="56" t="s">
        <v>39</v>
      </c>
      <c r="D49" s="57" t="s">
        <v>170</v>
      </c>
      <c r="E49" s="33" t="s">
        <v>41</v>
      </c>
      <c r="F49" s="33" t="s">
        <v>171</v>
      </c>
      <c r="G49" s="248"/>
      <c r="H49" s="34" t="s">
        <v>43</v>
      </c>
      <c r="I49" s="34" t="s">
        <v>172</v>
      </c>
      <c r="J49" s="34" t="s">
        <v>45</v>
      </c>
      <c r="K49" s="34">
        <v>465.97</v>
      </c>
      <c r="L49" s="34" t="s">
        <v>61</v>
      </c>
      <c r="M49" s="34" t="s">
        <v>173</v>
      </c>
      <c r="N49" s="264">
        <v>40378</v>
      </c>
      <c r="O49" s="257" t="s">
        <v>174</v>
      </c>
      <c r="P49" s="34" t="s">
        <v>175</v>
      </c>
      <c r="Q49" s="34" t="s">
        <v>176</v>
      </c>
      <c r="R49" s="34"/>
      <c r="S49" s="34"/>
      <c r="T49" s="36"/>
      <c r="U49" s="37"/>
      <c r="V49" s="37"/>
      <c r="W49" s="44"/>
      <c r="X49" s="40"/>
      <c r="Y49" s="39"/>
      <c r="Z49" s="40"/>
      <c r="AA49" s="41"/>
      <c r="AB49" s="40"/>
      <c r="AC49" s="40"/>
      <c r="AD49" s="40"/>
      <c r="AE49" s="40"/>
      <c r="AF49" s="136" t="str">
        <f t="shared" ca="1" si="1"/>
        <v/>
      </c>
      <c r="AG49" s="29"/>
      <c r="AH49" s="29"/>
      <c r="AI49" s="29"/>
      <c r="AJ49" s="29"/>
      <c r="AK49" s="30"/>
      <c r="AL49" s="30"/>
    </row>
    <row r="50" spans="1:38" ht="24.95" customHeight="1" x14ac:dyDescent="0.25">
      <c r="A50" s="56" t="str">
        <f t="shared" si="4"/>
        <v>10REF012</v>
      </c>
      <c r="B50" s="157">
        <v>12</v>
      </c>
      <c r="C50" s="56" t="s">
        <v>39</v>
      </c>
      <c r="D50" s="57" t="s">
        <v>170</v>
      </c>
      <c r="E50" s="33" t="s">
        <v>41</v>
      </c>
      <c r="F50" s="33" t="s">
        <v>171</v>
      </c>
      <c r="G50" s="248"/>
      <c r="H50" s="34" t="s">
        <v>43</v>
      </c>
      <c r="I50" s="34" t="s">
        <v>172</v>
      </c>
      <c r="J50" s="34" t="s">
        <v>45</v>
      </c>
      <c r="K50" s="34">
        <v>465.97</v>
      </c>
      <c r="L50" s="34" t="s">
        <v>61</v>
      </c>
      <c r="M50" s="34" t="s">
        <v>173</v>
      </c>
      <c r="N50" s="264">
        <v>40378</v>
      </c>
      <c r="O50" s="257" t="s">
        <v>174</v>
      </c>
      <c r="P50" s="34" t="s">
        <v>175</v>
      </c>
      <c r="Q50" s="34" t="s">
        <v>176</v>
      </c>
      <c r="R50" s="34"/>
      <c r="S50" s="34"/>
      <c r="T50" s="36"/>
      <c r="U50" s="37"/>
      <c r="V50" s="37"/>
      <c r="W50" s="44"/>
      <c r="X50" s="40"/>
      <c r="Y50" s="39"/>
      <c r="Z50" s="40"/>
      <c r="AA50" s="41"/>
      <c r="AB50" s="40"/>
      <c r="AC50" s="40"/>
      <c r="AD50" s="40"/>
      <c r="AE50" s="40"/>
      <c r="AF50" s="136" t="str">
        <f t="shared" ca="1" si="1"/>
        <v/>
      </c>
      <c r="AG50" s="29"/>
      <c r="AH50" s="29"/>
      <c r="AI50" s="29"/>
      <c r="AJ50" s="29"/>
      <c r="AK50" s="30"/>
      <c r="AL50" s="30"/>
    </row>
    <row r="51" spans="1:38" ht="24.95" customHeight="1" x14ac:dyDescent="0.25">
      <c r="A51" s="56" t="str">
        <f t="shared" si="4"/>
        <v/>
      </c>
      <c r="B51" s="157">
        <v>13</v>
      </c>
      <c r="C51" s="56"/>
      <c r="D51" s="57"/>
      <c r="E51" s="33"/>
      <c r="F51" s="33"/>
      <c r="G51" s="248"/>
      <c r="H51" s="34"/>
      <c r="I51" s="47"/>
      <c r="J51" s="34"/>
      <c r="K51" s="34"/>
      <c r="L51" s="47"/>
      <c r="M51" s="47"/>
      <c r="N51" s="264"/>
      <c r="O51" s="257"/>
      <c r="P51" s="34"/>
      <c r="Q51" s="34"/>
      <c r="R51" s="34"/>
      <c r="S51" s="34"/>
      <c r="T51" s="36"/>
      <c r="U51" s="37"/>
      <c r="V51" s="37"/>
      <c r="W51" s="44"/>
      <c r="X51" s="40"/>
      <c r="Y51" s="39"/>
      <c r="Z51" s="40"/>
      <c r="AA51" s="41"/>
      <c r="AB51" s="40"/>
      <c r="AC51" s="40"/>
      <c r="AD51" s="40"/>
      <c r="AE51" s="40"/>
      <c r="AF51" s="136" t="str">
        <f t="shared" ca="1" si="1"/>
        <v/>
      </c>
      <c r="AG51" s="29"/>
      <c r="AH51" s="29"/>
      <c r="AI51" s="29"/>
      <c r="AJ51" s="29"/>
      <c r="AK51" s="30"/>
      <c r="AL51" s="30"/>
    </row>
    <row r="52" spans="1:38" ht="23.25" x14ac:dyDescent="0.25">
      <c r="A52" s="59" t="str">
        <f>IF(C52="","",CONCATENATE(11,MID(C52,1,3),IF(B52&lt;10,"00",0),B52))</f>
        <v>11REF001</v>
      </c>
      <c r="B52" s="158">
        <v>1</v>
      </c>
      <c r="C52" s="59" t="s">
        <v>39</v>
      </c>
      <c r="D52" s="60" t="s">
        <v>40</v>
      </c>
      <c r="E52" s="33" t="s">
        <v>41</v>
      </c>
      <c r="F52" s="33" t="s">
        <v>177</v>
      </c>
      <c r="G52" s="248"/>
      <c r="H52" s="34" t="s">
        <v>178</v>
      </c>
      <c r="I52" s="34" t="s">
        <v>179</v>
      </c>
      <c r="J52" s="34" t="s">
        <v>180</v>
      </c>
      <c r="K52" s="34">
        <v>156.13999999999999</v>
      </c>
      <c r="L52" s="34" t="s">
        <v>181</v>
      </c>
      <c r="M52" s="34" t="s">
        <v>182</v>
      </c>
      <c r="N52" s="264">
        <v>40668</v>
      </c>
      <c r="O52" s="257">
        <v>40668</v>
      </c>
      <c r="P52" s="34" t="s">
        <v>183</v>
      </c>
      <c r="Q52" s="34" t="s">
        <v>49</v>
      </c>
      <c r="R52" s="34"/>
      <c r="S52" s="34" t="s">
        <v>60</v>
      </c>
      <c r="T52" s="36">
        <f t="shared" ca="1" si="0"/>
        <v>2669</v>
      </c>
      <c r="U52" s="37"/>
      <c r="V52" s="37" t="s">
        <v>184</v>
      </c>
      <c r="W52" s="38"/>
      <c r="X52" s="39"/>
      <c r="Y52" s="39"/>
      <c r="Z52" s="40"/>
      <c r="AA52" s="41" t="str">
        <f t="shared" ref="AA52:AA251" ca="1" si="5">IF(W52="","",IF(W52,DAYS360(W52,TODAY())))</f>
        <v/>
      </c>
      <c r="AB52" s="40"/>
      <c r="AC52" s="40"/>
      <c r="AD52" s="40"/>
      <c r="AE52" s="40"/>
      <c r="AF52" s="136" t="str">
        <f t="shared" ca="1" si="1"/>
        <v/>
      </c>
      <c r="AG52" s="29"/>
      <c r="AH52" s="29"/>
      <c r="AI52" s="29"/>
      <c r="AJ52" s="29"/>
      <c r="AK52" s="30"/>
      <c r="AL52" s="30"/>
    </row>
    <row r="53" spans="1:38" ht="24.95" customHeight="1" x14ac:dyDescent="0.25">
      <c r="A53" s="59" t="str">
        <f>IF(C53="","",CONCATENATE(11,MID(C53,1,3),IF(B53&lt;10,"00",0),B53))</f>
        <v>11REF002</v>
      </c>
      <c r="B53" s="158">
        <v>2</v>
      </c>
      <c r="C53" s="59" t="s">
        <v>39</v>
      </c>
      <c r="D53" s="60" t="s">
        <v>40</v>
      </c>
      <c r="E53" s="33" t="s">
        <v>41</v>
      </c>
      <c r="F53" s="33" t="s">
        <v>937</v>
      </c>
      <c r="G53" s="248"/>
      <c r="H53" s="34" t="s">
        <v>43</v>
      </c>
      <c r="I53" s="34" t="s">
        <v>938</v>
      </c>
      <c r="J53" s="47" t="s">
        <v>105</v>
      </c>
      <c r="K53" s="34">
        <v>255.8</v>
      </c>
      <c r="L53" s="34" t="s">
        <v>939</v>
      </c>
      <c r="M53" s="34" t="s">
        <v>940</v>
      </c>
      <c r="N53" s="264">
        <v>40626</v>
      </c>
      <c r="O53" s="257">
        <v>42047</v>
      </c>
      <c r="P53" s="34" t="s">
        <v>86</v>
      </c>
      <c r="Q53" s="34" t="s">
        <v>49</v>
      </c>
      <c r="R53" s="34"/>
      <c r="S53" s="34">
        <v>0</v>
      </c>
      <c r="T53" s="36" t="str">
        <f t="shared" ca="1" si="0"/>
        <v>Empty</v>
      </c>
      <c r="U53" s="37"/>
      <c r="V53" s="37"/>
      <c r="W53" s="44">
        <v>42047</v>
      </c>
      <c r="X53" s="40" t="s">
        <v>334</v>
      </c>
      <c r="Y53" s="39" t="s">
        <v>700</v>
      </c>
      <c r="Z53" s="40" t="s">
        <v>49</v>
      </c>
      <c r="AA53" s="41">
        <f t="shared" ca="1" si="5"/>
        <v>1312</v>
      </c>
      <c r="AB53" s="40"/>
      <c r="AC53" s="40"/>
      <c r="AD53" s="40"/>
      <c r="AE53" s="40"/>
      <c r="AF53" s="136" t="str">
        <f t="shared" ca="1" si="1"/>
        <v/>
      </c>
      <c r="AG53" s="29"/>
      <c r="AH53" s="29"/>
      <c r="AI53" s="29"/>
      <c r="AJ53" s="29"/>
      <c r="AK53" s="30"/>
      <c r="AL53" s="30"/>
    </row>
    <row r="54" spans="1:38" ht="30" x14ac:dyDescent="0.25">
      <c r="A54" s="59" t="str">
        <f t="shared" ref="A54:A75" si="6">IF(C54="","",CONCATENATE(11,MID(C54,1,3),IF(B54&lt;10,"00",0),B54))</f>
        <v>11REF003</v>
      </c>
      <c r="B54" s="158">
        <v>3</v>
      </c>
      <c r="C54" s="59" t="s">
        <v>39</v>
      </c>
      <c r="D54" s="60" t="s">
        <v>40</v>
      </c>
      <c r="E54" s="33" t="s">
        <v>41</v>
      </c>
      <c r="F54" s="33" t="s">
        <v>185</v>
      </c>
      <c r="G54" s="248" t="s">
        <v>186</v>
      </c>
      <c r="H54" s="34" t="s">
        <v>187</v>
      </c>
      <c r="I54" s="34">
        <v>1020371</v>
      </c>
      <c r="J54" s="47" t="s">
        <v>105</v>
      </c>
      <c r="K54" s="34">
        <v>4514.1000000000004</v>
      </c>
      <c r="L54" s="34" t="s">
        <v>188</v>
      </c>
      <c r="M54" s="34" t="s">
        <v>189</v>
      </c>
      <c r="N54" s="264">
        <v>40637</v>
      </c>
      <c r="O54" s="257"/>
      <c r="P54" s="34" t="s">
        <v>190</v>
      </c>
      <c r="Q54" s="34"/>
      <c r="R54" s="34"/>
      <c r="S54" s="34">
        <v>0.5</v>
      </c>
      <c r="T54" s="36" t="str">
        <f t="shared" ca="1" si="0"/>
        <v/>
      </c>
      <c r="U54" s="37"/>
      <c r="V54" s="37"/>
      <c r="W54" s="44"/>
      <c r="X54" s="40"/>
      <c r="Y54" s="39"/>
      <c r="Z54" s="40"/>
      <c r="AA54" s="41"/>
      <c r="AB54" s="40"/>
      <c r="AC54" s="40"/>
      <c r="AD54" s="40"/>
      <c r="AE54" s="40"/>
      <c r="AF54" s="136" t="str">
        <f t="shared" ca="1" si="1"/>
        <v/>
      </c>
      <c r="AG54" s="29"/>
      <c r="AH54" s="29"/>
      <c r="AI54" s="29"/>
      <c r="AJ54" s="29"/>
      <c r="AK54" s="30"/>
      <c r="AL54" s="30"/>
    </row>
    <row r="55" spans="1:38" ht="23.25" x14ac:dyDescent="0.25">
      <c r="A55" s="59" t="str">
        <f t="shared" si="6"/>
        <v>11REF004</v>
      </c>
      <c r="B55" s="158">
        <v>4</v>
      </c>
      <c r="C55" s="59" t="s">
        <v>39</v>
      </c>
      <c r="D55" s="60" t="s">
        <v>40</v>
      </c>
      <c r="E55" s="33" t="s">
        <v>41</v>
      </c>
      <c r="F55" s="33" t="s">
        <v>191</v>
      </c>
      <c r="G55" s="248"/>
      <c r="H55" s="34" t="s">
        <v>178</v>
      </c>
      <c r="I55" s="34" t="s">
        <v>192</v>
      </c>
      <c r="J55" s="47" t="s">
        <v>105</v>
      </c>
      <c r="K55" s="34">
        <v>4514.08</v>
      </c>
      <c r="L55" s="34" t="s">
        <v>193</v>
      </c>
      <c r="M55" s="34" t="s">
        <v>189</v>
      </c>
      <c r="N55" s="264">
        <v>40637</v>
      </c>
      <c r="O55" s="257"/>
      <c r="P55" s="34" t="s">
        <v>194</v>
      </c>
      <c r="Q55" s="34"/>
      <c r="R55" s="34"/>
      <c r="S55" s="34"/>
      <c r="T55" s="36" t="str">
        <f t="shared" ca="1" si="0"/>
        <v/>
      </c>
      <c r="U55" s="37"/>
      <c r="V55" s="37"/>
      <c r="W55" s="44"/>
      <c r="X55" s="40"/>
      <c r="Y55" s="39"/>
      <c r="Z55" s="40"/>
      <c r="AA55" s="41"/>
      <c r="AB55" s="40"/>
      <c r="AC55" s="40"/>
      <c r="AD55" s="40"/>
      <c r="AE55" s="40"/>
      <c r="AF55" s="136" t="str">
        <f t="shared" ca="1" si="1"/>
        <v/>
      </c>
      <c r="AG55" s="29"/>
      <c r="AH55" s="29"/>
      <c r="AI55" s="29"/>
      <c r="AJ55" s="29"/>
      <c r="AK55" s="30"/>
      <c r="AL55" s="30"/>
    </row>
    <row r="56" spans="1:38" ht="30" x14ac:dyDescent="0.25">
      <c r="A56" s="59" t="str">
        <f t="shared" si="6"/>
        <v>11REF005</v>
      </c>
      <c r="B56" s="158">
        <v>5</v>
      </c>
      <c r="C56" s="59" t="s">
        <v>39</v>
      </c>
      <c r="D56" s="60" t="s">
        <v>40</v>
      </c>
      <c r="E56" s="33" t="s">
        <v>41</v>
      </c>
      <c r="F56" s="33" t="s">
        <v>195</v>
      </c>
      <c r="G56" s="248" t="s">
        <v>196</v>
      </c>
      <c r="H56" s="34" t="s">
        <v>43</v>
      </c>
      <c r="I56" s="34" t="s">
        <v>197</v>
      </c>
      <c r="J56" s="34" t="s">
        <v>45</v>
      </c>
      <c r="K56" s="34">
        <v>289.37</v>
      </c>
      <c r="L56" s="34" t="s">
        <v>198</v>
      </c>
      <c r="M56" s="34" t="s">
        <v>199</v>
      </c>
      <c r="N56" s="264">
        <v>40883</v>
      </c>
      <c r="O56" s="257"/>
      <c r="P56" s="34" t="s">
        <v>160</v>
      </c>
      <c r="Q56" s="34"/>
      <c r="R56" s="34"/>
      <c r="S56" s="34"/>
      <c r="T56" s="36" t="str">
        <f t="shared" ca="1" si="0"/>
        <v/>
      </c>
      <c r="U56" s="37"/>
      <c r="V56" s="37"/>
      <c r="W56" s="44"/>
      <c r="X56" s="40"/>
      <c r="Y56" s="39"/>
      <c r="Z56" s="40"/>
      <c r="AA56" s="41" t="str">
        <f t="shared" ref="AA56:AA63" ca="1" si="7">IF(W56="","",IF(W56,DAYS360(W56,TODAY())))</f>
        <v/>
      </c>
      <c r="AB56" s="40"/>
      <c r="AC56" s="40"/>
      <c r="AD56" s="40"/>
      <c r="AE56" s="40"/>
      <c r="AF56" s="136" t="str">
        <f t="shared" ca="1" si="1"/>
        <v/>
      </c>
      <c r="AG56" s="29"/>
      <c r="AH56" s="29"/>
      <c r="AI56" s="29"/>
      <c r="AJ56" s="29"/>
      <c r="AK56" s="30"/>
      <c r="AL56" s="30"/>
    </row>
    <row r="57" spans="1:38" ht="24.95" customHeight="1" x14ac:dyDescent="0.25">
      <c r="A57" s="59" t="str">
        <f t="shared" si="6"/>
        <v>11REF006</v>
      </c>
      <c r="B57" s="158">
        <v>6</v>
      </c>
      <c r="C57" s="59" t="s">
        <v>39</v>
      </c>
      <c r="D57" s="60" t="s">
        <v>40</v>
      </c>
      <c r="E57" s="33" t="s">
        <v>41</v>
      </c>
      <c r="F57" s="33" t="s">
        <v>200</v>
      </c>
      <c r="G57" s="248"/>
      <c r="H57" s="34" t="s">
        <v>43</v>
      </c>
      <c r="I57" s="34" t="s">
        <v>201</v>
      </c>
      <c r="J57" s="34" t="s">
        <v>45</v>
      </c>
      <c r="K57" s="34">
        <v>345.79</v>
      </c>
      <c r="L57" s="34" t="s">
        <v>202</v>
      </c>
      <c r="M57" s="34" t="s">
        <v>203</v>
      </c>
      <c r="N57" s="264">
        <v>40626</v>
      </c>
      <c r="O57" s="257">
        <v>42529</v>
      </c>
      <c r="P57" s="34" t="s">
        <v>86</v>
      </c>
      <c r="Q57" s="34"/>
      <c r="R57" s="34"/>
      <c r="S57" s="34">
        <f>10-1.38</f>
        <v>8.620000000000001</v>
      </c>
      <c r="T57" s="36">
        <f t="shared" ca="1" si="0"/>
        <v>836</v>
      </c>
      <c r="U57" s="37"/>
      <c r="V57" s="37"/>
      <c r="W57" s="44">
        <v>42529</v>
      </c>
      <c r="X57" s="40" t="s">
        <v>50</v>
      </c>
      <c r="Y57" s="39" t="s">
        <v>1217</v>
      </c>
      <c r="Z57" s="40" t="s">
        <v>49</v>
      </c>
      <c r="AA57" s="41">
        <f t="shared" ca="1" si="7"/>
        <v>836</v>
      </c>
      <c r="AB57" s="40"/>
      <c r="AC57" s="40"/>
      <c r="AD57" s="40"/>
      <c r="AE57" s="40"/>
      <c r="AF57" s="136" t="str">
        <f t="shared" ca="1" si="1"/>
        <v/>
      </c>
      <c r="AG57" s="29"/>
      <c r="AH57" s="29"/>
      <c r="AI57" s="29"/>
      <c r="AJ57" s="29"/>
      <c r="AK57" s="30"/>
      <c r="AL57" s="30"/>
    </row>
    <row r="58" spans="1:38" ht="24.95" customHeight="1" x14ac:dyDescent="0.25">
      <c r="A58" s="59" t="str">
        <f t="shared" si="6"/>
        <v>11REF007</v>
      </c>
      <c r="B58" s="158">
        <v>7</v>
      </c>
      <c r="C58" s="59" t="s">
        <v>39</v>
      </c>
      <c r="D58" s="60" t="s">
        <v>40</v>
      </c>
      <c r="E58" s="33" t="s">
        <v>41</v>
      </c>
      <c r="F58" s="33" t="s">
        <v>204</v>
      </c>
      <c r="G58" s="248"/>
      <c r="H58" s="34" t="s">
        <v>43</v>
      </c>
      <c r="I58" s="34" t="s">
        <v>205</v>
      </c>
      <c r="J58" s="34" t="s">
        <v>45</v>
      </c>
      <c r="K58" s="34">
        <v>268.74</v>
      </c>
      <c r="L58" s="34" t="s">
        <v>206</v>
      </c>
      <c r="M58" s="34" t="s">
        <v>207</v>
      </c>
      <c r="N58" s="264">
        <v>40630</v>
      </c>
      <c r="O58" s="257"/>
      <c r="P58" s="34" t="s">
        <v>86</v>
      </c>
      <c r="Q58" s="34"/>
      <c r="R58" s="34"/>
      <c r="S58" s="34"/>
      <c r="T58" s="36" t="str">
        <f t="shared" ca="1" si="0"/>
        <v/>
      </c>
      <c r="U58" s="37"/>
      <c r="V58" s="37"/>
      <c r="W58" s="44"/>
      <c r="X58" s="40"/>
      <c r="Y58" s="39"/>
      <c r="Z58" s="40"/>
      <c r="AA58" s="41" t="str">
        <f t="shared" ca="1" si="7"/>
        <v/>
      </c>
      <c r="AB58" s="40"/>
      <c r="AC58" s="40"/>
      <c r="AD58" s="40"/>
      <c r="AE58" s="40"/>
      <c r="AF58" s="136" t="str">
        <f t="shared" ca="1" si="1"/>
        <v/>
      </c>
      <c r="AG58" s="29"/>
      <c r="AH58" s="29"/>
      <c r="AI58" s="29"/>
      <c r="AJ58" s="29"/>
      <c r="AK58" s="30"/>
      <c r="AL58" s="30"/>
    </row>
    <row r="59" spans="1:38" ht="24.95" customHeight="1" x14ac:dyDescent="0.25">
      <c r="A59" s="61" t="str">
        <f t="shared" si="6"/>
        <v>11REF008</v>
      </c>
      <c r="B59" s="159">
        <v>8</v>
      </c>
      <c r="C59" s="61" t="s">
        <v>39</v>
      </c>
      <c r="D59" s="62" t="s">
        <v>40</v>
      </c>
      <c r="E59" s="33" t="s">
        <v>41</v>
      </c>
      <c r="F59" s="33" t="s">
        <v>208</v>
      </c>
      <c r="G59" s="248"/>
      <c r="H59" s="34" t="s">
        <v>43</v>
      </c>
      <c r="I59" s="34" t="s">
        <v>209</v>
      </c>
      <c r="J59" s="34" t="s">
        <v>45</v>
      </c>
      <c r="K59" s="34">
        <v>315.7</v>
      </c>
      <c r="L59" s="34" t="s">
        <v>210</v>
      </c>
      <c r="M59" s="34" t="s">
        <v>211</v>
      </c>
      <c r="N59" s="264">
        <v>40788</v>
      </c>
      <c r="O59" s="257">
        <v>40794</v>
      </c>
      <c r="P59" s="34" t="s">
        <v>183</v>
      </c>
      <c r="Q59" s="34" t="s">
        <v>212</v>
      </c>
      <c r="R59" s="34"/>
      <c r="S59" s="34">
        <v>43.4</v>
      </c>
      <c r="T59" s="36">
        <f t="shared" ca="1" si="0"/>
        <v>2546</v>
      </c>
      <c r="U59" s="37"/>
      <c r="V59" s="37"/>
      <c r="W59" s="44"/>
      <c r="X59" s="40"/>
      <c r="Y59" s="39"/>
      <c r="Z59" s="40"/>
      <c r="AA59" s="41" t="str">
        <f t="shared" ca="1" si="7"/>
        <v/>
      </c>
      <c r="AB59" s="40"/>
      <c r="AC59" s="40"/>
      <c r="AD59" s="40"/>
      <c r="AE59" s="40"/>
      <c r="AF59" s="136" t="str">
        <f t="shared" ca="1" si="1"/>
        <v/>
      </c>
      <c r="AG59" s="29"/>
      <c r="AH59" s="29"/>
      <c r="AI59" s="29"/>
      <c r="AJ59" s="29"/>
      <c r="AK59" s="30"/>
      <c r="AL59" s="30"/>
    </row>
    <row r="60" spans="1:38" ht="24.95" customHeight="1" x14ac:dyDescent="0.25">
      <c r="A60" s="61" t="str">
        <f t="shared" si="6"/>
        <v>11REF009</v>
      </c>
      <c r="B60" s="159">
        <v>9</v>
      </c>
      <c r="C60" s="61" t="s">
        <v>39</v>
      </c>
      <c r="D60" s="62" t="s">
        <v>40</v>
      </c>
      <c r="E60" s="33" t="s">
        <v>41</v>
      </c>
      <c r="F60" s="33" t="s">
        <v>630</v>
      </c>
      <c r="G60" s="248"/>
      <c r="H60" s="34" t="s">
        <v>43</v>
      </c>
      <c r="I60" s="34" t="s">
        <v>941</v>
      </c>
      <c r="J60" s="34" t="s">
        <v>45</v>
      </c>
      <c r="K60" s="34">
        <v>254.22</v>
      </c>
      <c r="L60" s="34" t="s">
        <v>441</v>
      </c>
      <c r="M60" s="34" t="s">
        <v>442</v>
      </c>
      <c r="N60" s="264">
        <v>40787</v>
      </c>
      <c r="O60" s="257">
        <v>40794</v>
      </c>
      <c r="P60" s="34" t="s">
        <v>139</v>
      </c>
      <c r="Q60" s="34" t="s">
        <v>49</v>
      </c>
      <c r="R60" s="34"/>
      <c r="S60" s="34">
        <v>0</v>
      </c>
      <c r="T60" s="36" t="str">
        <f t="shared" ca="1" si="0"/>
        <v>Empty</v>
      </c>
      <c r="U60" s="37"/>
      <c r="V60" s="37" t="s">
        <v>942</v>
      </c>
      <c r="W60" s="44">
        <v>42123</v>
      </c>
      <c r="X60" s="40" t="s">
        <v>943</v>
      </c>
      <c r="Y60" s="39" t="s">
        <v>51</v>
      </c>
      <c r="Z60" s="40" t="s">
        <v>49</v>
      </c>
      <c r="AA60" s="41">
        <f t="shared" ca="1" si="7"/>
        <v>1235</v>
      </c>
      <c r="AB60" s="40"/>
      <c r="AC60" s="40"/>
      <c r="AD60" s="40"/>
      <c r="AE60" s="40"/>
      <c r="AF60" s="136" t="str">
        <f t="shared" ca="1" si="1"/>
        <v/>
      </c>
      <c r="AG60" s="29"/>
      <c r="AH60" s="29"/>
      <c r="AI60" s="29"/>
      <c r="AJ60" s="29"/>
      <c r="AK60" s="30"/>
      <c r="AL60" s="30"/>
    </row>
    <row r="61" spans="1:38" ht="24.95" customHeight="1" x14ac:dyDescent="0.25">
      <c r="A61" s="63" t="str">
        <f t="shared" si="6"/>
        <v>11SAM010</v>
      </c>
      <c r="B61" s="160">
        <v>10</v>
      </c>
      <c r="C61" s="63" t="s">
        <v>57</v>
      </c>
      <c r="D61" s="64" t="s">
        <v>40</v>
      </c>
      <c r="E61" s="33" t="s">
        <v>114</v>
      </c>
      <c r="F61" s="33" t="s">
        <v>944</v>
      </c>
      <c r="G61" s="248"/>
      <c r="H61" s="34" t="s">
        <v>60</v>
      </c>
      <c r="I61" s="47" t="s">
        <v>61</v>
      </c>
      <c r="J61" s="34" t="s">
        <v>180</v>
      </c>
      <c r="K61" s="47" t="s">
        <v>61</v>
      </c>
      <c r="L61" s="47" t="s">
        <v>61</v>
      </c>
      <c r="M61" s="47" t="s">
        <v>61</v>
      </c>
      <c r="N61" s="264">
        <v>40577</v>
      </c>
      <c r="O61" s="257">
        <v>40581</v>
      </c>
      <c r="P61" s="34" t="s">
        <v>945</v>
      </c>
      <c r="Q61" s="34"/>
      <c r="R61" s="34"/>
      <c r="S61" s="34">
        <v>0</v>
      </c>
      <c r="T61" s="36" t="str">
        <f t="shared" ca="1" si="0"/>
        <v>Empty</v>
      </c>
      <c r="U61" s="37" t="s">
        <v>946</v>
      </c>
      <c r="V61" s="37" t="s">
        <v>947</v>
      </c>
      <c r="W61" s="44"/>
      <c r="X61" s="40"/>
      <c r="Y61" s="39"/>
      <c r="Z61" s="40"/>
      <c r="AA61" s="41" t="str">
        <f t="shared" ca="1" si="7"/>
        <v/>
      </c>
      <c r="AB61" s="40"/>
      <c r="AC61" s="40"/>
      <c r="AD61" s="40"/>
      <c r="AE61" s="40"/>
      <c r="AF61" s="136" t="str">
        <f t="shared" ca="1" si="1"/>
        <v/>
      </c>
      <c r="AG61" s="29"/>
      <c r="AH61" s="29"/>
      <c r="AI61" s="29"/>
      <c r="AJ61" s="29"/>
      <c r="AK61" s="30"/>
      <c r="AL61" s="30"/>
    </row>
    <row r="62" spans="1:38" ht="24.95" customHeight="1" x14ac:dyDescent="0.25">
      <c r="A62" s="63" t="str">
        <f t="shared" si="6"/>
        <v>11SAM011</v>
      </c>
      <c r="B62" s="160">
        <v>11</v>
      </c>
      <c r="C62" s="63" t="s">
        <v>57</v>
      </c>
      <c r="D62" s="64" t="s">
        <v>40</v>
      </c>
      <c r="E62" s="33" t="s">
        <v>114</v>
      </c>
      <c r="F62" s="33" t="s">
        <v>948</v>
      </c>
      <c r="G62" s="248"/>
      <c r="H62" s="34" t="s">
        <v>60</v>
      </c>
      <c r="I62" s="47" t="s">
        <v>61</v>
      </c>
      <c r="J62" s="34" t="s">
        <v>180</v>
      </c>
      <c r="K62" s="47" t="s">
        <v>61</v>
      </c>
      <c r="L62" s="47" t="s">
        <v>61</v>
      </c>
      <c r="M62" s="47" t="s">
        <v>61</v>
      </c>
      <c r="N62" s="264">
        <v>40577</v>
      </c>
      <c r="O62" s="257">
        <v>40581</v>
      </c>
      <c r="P62" s="34" t="s">
        <v>945</v>
      </c>
      <c r="Q62" s="34"/>
      <c r="R62" s="34"/>
      <c r="S62" s="34">
        <v>0</v>
      </c>
      <c r="T62" s="36" t="str">
        <f t="shared" ca="1" si="0"/>
        <v>Empty</v>
      </c>
      <c r="U62" s="37" t="s">
        <v>946</v>
      </c>
      <c r="V62" s="37" t="s">
        <v>949</v>
      </c>
      <c r="W62" s="44"/>
      <c r="X62" s="40"/>
      <c r="Y62" s="39"/>
      <c r="Z62" s="40"/>
      <c r="AA62" s="41" t="str">
        <f t="shared" ca="1" si="7"/>
        <v/>
      </c>
      <c r="AB62" s="40"/>
      <c r="AC62" s="40"/>
      <c r="AD62" s="40"/>
      <c r="AE62" s="40"/>
      <c r="AF62" s="136" t="str">
        <f t="shared" ca="1" si="1"/>
        <v/>
      </c>
      <c r="AG62" s="29"/>
      <c r="AH62" s="29"/>
      <c r="AI62" s="29"/>
      <c r="AJ62" s="29"/>
      <c r="AK62" s="30"/>
      <c r="AL62" s="30"/>
    </row>
    <row r="63" spans="1:38" ht="24.95" customHeight="1" x14ac:dyDescent="0.25">
      <c r="A63" s="63" t="str">
        <f t="shared" si="6"/>
        <v>11SAM012</v>
      </c>
      <c r="B63" s="160">
        <v>12</v>
      </c>
      <c r="C63" s="63" t="s">
        <v>57</v>
      </c>
      <c r="D63" s="64" t="s">
        <v>40</v>
      </c>
      <c r="E63" s="33" t="s">
        <v>213</v>
      </c>
      <c r="F63" s="33" t="s">
        <v>214</v>
      </c>
      <c r="G63" s="248"/>
      <c r="H63" s="34" t="s">
        <v>60</v>
      </c>
      <c r="I63" s="47" t="s">
        <v>61</v>
      </c>
      <c r="J63" s="34" t="s">
        <v>45</v>
      </c>
      <c r="K63" s="34">
        <v>463.36</v>
      </c>
      <c r="L63" s="47" t="s">
        <v>61</v>
      </c>
      <c r="M63" s="47" t="s">
        <v>61</v>
      </c>
      <c r="N63" s="264">
        <v>40654</v>
      </c>
      <c r="O63" s="257"/>
      <c r="P63" s="34" t="s">
        <v>215</v>
      </c>
      <c r="Q63" s="34" t="s">
        <v>212</v>
      </c>
      <c r="R63" s="34"/>
      <c r="S63" s="34"/>
      <c r="T63" s="36" t="str">
        <f t="shared" ca="1" si="0"/>
        <v/>
      </c>
      <c r="U63" s="37"/>
      <c r="V63" s="37" t="s">
        <v>216</v>
      </c>
      <c r="W63" s="44"/>
      <c r="X63" s="40"/>
      <c r="Y63" s="39"/>
      <c r="Z63" s="40"/>
      <c r="AA63" s="41" t="str">
        <f t="shared" ca="1" si="7"/>
        <v/>
      </c>
      <c r="AB63" s="40"/>
      <c r="AC63" s="40"/>
      <c r="AD63" s="40"/>
      <c r="AE63" s="40"/>
      <c r="AF63" s="136" t="str">
        <f t="shared" ca="1" si="1"/>
        <v/>
      </c>
      <c r="AG63" s="29"/>
      <c r="AH63" s="29"/>
      <c r="AI63" s="29"/>
      <c r="AJ63" s="29"/>
      <c r="AK63" s="30"/>
      <c r="AL63" s="30"/>
    </row>
    <row r="64" spans="1:38" ht="24.95" customHeight="1" x14ac:dyDescent="0.25">
      <c r="A64" s="63" t="str">
        <f t="shared" si="6"/>
        <v>11SAM013</v>
      </c>
      <c r="B64" s="160">
        <v>13</v>
      </c>
      <c r="C64" s="63" t="s">
        <v>57</v>
      </c>
      <c r="D64" s="64" t="s">
        <v>40</v>
      </c>
      <c r="E64" s="33" t="s">
        <v>217</v>
      </c>
      <c r="F64" s="33" t="s">
        <v>218</v>
      </c>
      <c r="G64" s="248"/>
      <c r="H64" s="34" t="s">
        <v>60</v>
      </c>
      <c r="I64" s="47" t="s">
        <v>61</v>
      </c>
      <c r="J64" s="47" t="s">
        <v>105</v>
      </c>
      <c r="K64" s="34">
        <v>399.49</v>
      </c>
      <c r="L64" s="47" t="s">
        <v>61</v>
      </c>
      <c r="M64" s="47" t="s">
        <v>61</v>
      </c>
      <c r="N64" s="264">
        <v>40884</v>
      </c>
      <c r="O64" s="257">
        <v>40886</v>
      </c>
      <c r="P64" s="34" t="s">
        <v>219</v>
      </c>
      <c r="Q64" s="65" t="s">
        <v>212</v>
      </c>
      <c r="R64" s="65"/>
      <c r="S64" s="34"/>
      <c r="T64" s="36" t="str">
        <f t="shared" ca="1" si="0"/>
        <v/>
      </c>
      <c r="U64" s="37"/>
      <c r="V64" s="37" t="s">
        <v>220</v>
      </c>
      <c r="W64" s="44"/>
      <c r="X64" s="40"/>
      <c r="Y64" s="39"/>
      <c r="Z64" s="40"/>
      <c r="AA64" s="41" t="str">
        <f ca="1">IF(W64="","",IF(W64,DAYS360(W64,TODAY())))</f>
        <v/>
      </c>
      <c r="AB64" s="40"/>
      <c r="AC64" s="40"/>
      <c r="AD64" s="40"/>
      <c r="AE64" s="40"/>
      <c r="AF64" s="136" t="str">
        <f t="shared" ca="1" si="1"/>
        <v/>
      </c>
      <c r="AG64" s="29"/>
      <c r="AH64" s="29"/>
      <c r="AI64" s="29"/>
      <c r="AJ64" s="29"/>
      <c r="AK64" s="30"/>
      <c r="AL64" s="30"/>
    </row>
    <row r="65" spans="1:38" ht="24.95" customHeight="1" x14ac:dyDescent="0.25">
      <c r="A65" s="63" t="str">
        <f t="shared" si="6"/>
        <v>11SAM014</v>
      </c>
      <c r="B65" s="160">
        <v>14</v>
      </c>
      <c r="C65" s="63" t="s">
        <v>57</v>
      </c>
      <c r="D65" s="64" t="s">
        <v>40</v>
      </c>
      <c r="E65" s="33" t="s">
        <v>217</v>
      </c>
      <c r="F65" s="33" t="s">
        <v>221</v>
      </c>
      <c r="G65" s="248"/>
      <c r="H65" s="34" t="s">
        <v>60</v>
      </c>
      <c r="I65" s="47" t="s">
        <v>61</v>
      </c>
      <c r="J65" s="47" t="s">
        <v>105</v>
      </c>
      <c r="K65" s="34">
        <v>468.99</v>
      </c>
      <c r="L65" s="47" t="s">
        <v>61</v>
      </c>
      <c r="M65" s="47" t="s">
        <v>61</v>
      </c>
      <c r="N65" s="264">
        <v>40884</v>
      </c>
      <c r="O65" s="257"/>
      <c r="P65" s="34" t="s">
        <v>222</v>
      </c>
      <c r="Q65" s="34"/>
      <c r="R65" s="34"/>
      <c r="S65" s="34"/>
      <c r="T65" s="36" t="str">
        <f t="shared" ca="1" si="0"/>
        <v/>
      </c>
      <c r="U65" s="37"/>
      <c r="V65" s="37" t="s">
        <v>223</v>
      </c>
      <c r="W65" s="44"/>
      <c r="X65" s="40"/>
      <c r="Y65" s="39"/>
      <c r="Z65" s="40"/>
      <c r="AA65" s="41" t="str">
        <f t="shared" ca="1" si="5"/>
        <v/>
      </c>
      <c r="AB65" s="40"/>
      <c r="AC65" s="40"/>
      <c r="AD65" s="40"/>
      <c r="AE65" s="40"/>
      <c r="AF65" s="136" t="str">
        <f t="shared" ca="1" si="1"/>
        <v/>
      </c>
      <c r="AG65" s="29"/>
      <c r="AH65" s="29"/>
      <c r="AI65" s="29"/>
      <c r="AJ65" s="29"/>
      <c r="AK65" s="30"/>
      <c r="AL65" s="30"/>
    </row>
    <row r="66" spans="1:38" ht="24.95" customHeight="1" x14ac:dyDescent="0.25">
      <c r="A66" s="63" t="str">
        <f t="shared" si="6"/>
        <v>11SAM015</v>
      </c>
      <c r="B66" s="160">
        <v>15</v>
      </c>
      <c r="C66" s="63" t="s">
        <v>57</v>
      </c>
      <c r="D66" s="64" t="s">
        <v>40</v>
      </c>
      <c r="E66" s="33" t="s">
        <v>224</v>
      </c>
      <c r="F66" s="33" t="s">
        <v>225</v>
      </c>
      <c r="G66" s="248"/>
      <c r="H66" s="34" t="s">
        <v>60</v>
      </c>
      <c r="I66" s="47" t="s">
        <v>61</v>
      </c>
      <c r="J66" s="34" t="s">
        <v>45</v>
      </c>
      <c r="K66" s="34">
        <v>353.5</v>
      </c>
      <c r="L66" s="47" t="s">
        <v>61</v>
      </c>
      <c r="M66" s="47" t="s">
        <v>61</v>
      </c>
      <c r="N66" s="264">
        <v>40602</v>
      </c>
      <c r="O66" s="257"/>
      <c r="P66" s="34" t="s">
        <v>226</v>
      </c>
      <c r="Q66" s="34"/>
      <c r="R66" s="34"/>
      <c r="S66" s="34"/>
      <c r="T66" s="36" t="str">
        <f t="shared" ca="1" si="0"/>
        <v/>
      </c>
      <c r="U66" s="37"/>
      <c r="V66" s="37" t="s">
        <v>227</v>
      </c>
      <c r="W66" s="44"/>
      <c r="X66" s="40"/>
      <c r="Y66" s="39"/>
      <c r="Z66" s="40"/>
      <c r="AA66" s="41" t="str">
        <f t="shared" ca="1" si="5"/>
        <v/>
      </c>
      <c r="AB66" s="40"/>
      <c r="AC66" s="40"/>
      <c r="AD66" s="40"/>
      <c r="AE66" s="40"/>
      <c r="AF66" s="136" t="str">
        <f t="shared" ca="1" si="1"/>
        <v/>
      </c>
      <c r="AG66" s="29"/>
      <c r="AH66" s="29"/>
      <c r="AI66" s="29"/>
      <c r="AJ66" s="29"/>
      <c r="AK66" s="30"/>
      <c r="AL66" s="30"/>
    </row>
    <row r="67" spans="1:38" ht="24.95" customHeight="1" x14ac:dyDescent="0.25">
      <c r="A67" s="63" t="str">
        <f t="shared" si="6"/>
        <v>11SAM016</v>
      </c>
      <c r="B67" s="160">
        <v>16</v>
      </c>
      <c r="C67" s="63" t="s">
        <v>57</v>
      </c>
      <c r="D67" s="64" t="s">
        <v>40</v>
      </c>
      <c r="E67" s="33" t="s">
        <v>224</v>
      </c>
      <c r="F67" s="33" t="s">
        <v>228</v>
      </c>
      <c r="G67" s="248"/>
      <c r="H67" s="34" t="s">
        <v>60</v>
      </c>
      <c r="I67" s="47" t="s">
        <v>61</v>
      </c>
      <c r="J67" s="47" t="s">
        <v>105</v>
      </c>
      <c r="K67" s="34">
        <v>244.78</v>
      </c>
      <c r="L67" s="47" t="s">
        <v>61</v>
      </c>
      <c r="M67" s="47" t="s">
        <v>61</v>
      </c>
      <c r="N67" s="264">
        <v>40808</v>
      </c>
      <c r="O67" s="257"/>
      <c r="P67" s="34" t="s">
        <v>86</v>
      </c>
      <c r="Q67" s="34"/>
      <c r="R67" s="34"/>
      <c r="S67" s="34"/>
      <c r="T67" s="36" t="str">
        <f t="shared" ca="1" si="0"/>
        <v/>
      </c>
      <c r="U67" s="37"/>
      <c r="V67" s="37" t="s">
        <v>229</v>
      </c>
      <c r="W67" s="44"/>
      <c r="X67" s="40"/>
      <c r="Y67" s="39"/>
      <c r="Z67" s="40"/>
      <c r="AA67" s="41" t="str">
        <f t="shared" ca="1" si="5"/>
        <v/>
      </c>
      <c r="AB67" s="40"/>
      <c r="AC67" s="40"/>
      <c r="AD67" s="40"/>
      <c r="AE67" s="40"/>
      <c r="AF67" s="136" t="str">
        <f t="shared" ca="1" si="1"/>
        <v/>
      </c>
      <c r="AG67" s="29"/>
      <c r="AH67" s="29"/>
      <c r="AI67" s="29"/>
      <c r="AJ67" s="29"/>
      <c r="AK67" s="30"/>
      <c r="AL67" s="30"/>
    </row>
    <row r="68" spans="1:38" ht="24.95" customHeight="1" x14ac:dyDescent="0.25">
      <c r="A68" s="63" t="str">
        <f t="shared" si="6"/>
        <v>11SAM017</v>
      </c>
      <c r="B68" s="160">
        <v>17</v>
      </c>
      <c r="C68" s="63" t="s">
        <v>57</v>
      </c>
      <c r="D68" s="64" t="s">
        <v>40</v>
      </c>
      <c r="E68" s="33" t="s">
        <v>230</v>
      </c>
      <c r="F68" s="33"/>
      <c r="G68" s="248"/>
      <c r="H68" s="34" t="s">
        <v>60</v>
      </c>
      <c r="I68" s="47" t="s">
        <v>61</v>
      </c>
      <c r="J68" s="34" t="s">
        <v>45</v>
      </c>
      <c r="K68" s="34">
        <v>388.63</v>
      </c>
      <c r="L68" s="47" t="s">
        <v>61</v>
      </c>
      <c r="M68" s="47" t="s">
        <v>61</v>
      </c>
      <c r="N68" s="264">
        <v>40856</v>
      </c>
      <c r="O68" s="257"/>
      <c r="P68" s="34" t="s">
        <v>231</v>
      </c>
      <c r="Q68" s="34"/>
      <c r="R68" s="34"/>
      <c r="S68" s="34"/>
      <c r="T68" s="36" t="str">
        <f t="shared" ca="1" si="0"/>
        <v/>
      </c>
      <c r="U68" s="37"/>
      <c r="V68" s="37" t="s">
        <v>232</v>
      </c>
      <c r="W68" s="44"/>
      <c r="X68" s="40"/>
      <c r="Y68" s="39"/>
      <c r="Z68" s="40"/>
      <c r="AA68" s="41" t="str">
        <f t="shared" ca="1" si="5"/>
        <v/>
      </c>
      <c r="AB68" s="40"/>
      <c r="AC68" s="40"/>
      <c r="AD68" s="40"/>
      <c r="AE68" s="40"/>
      <c r="AF68" s="136" t="str">
        <f t="shared" ca="1" si="1"/>
        <v/>
      </c>
      <c r="AG68" s="29"/>
      <c r="AH68" s="29"/>
      <c r="AI68" s="29"/>
      <c r="AJ68" s="29"/>
      <c r="AK68" s="30"/>
      <c r="AL68" s="30"/>
    </row>
    <row r="69" spans="1:38" ht="24.95" customHeight="1" x14ac:dyDescent="0.25">
      <c r="A69" s="63" t="str">
        <f t="shared" si="6"/>
        <v>11SAM018</v>
      </c>
      <c r="B69" s="160">
        <v>18</v>
      </c>
      <c r="C69" s="63" t="s">
        <v>57</v>
      </c>
      <c r="D69" s="64" t="s">
        <v>40</v>
      </c>
      <c r="E69" s="33" t="s">
        <v>233</v>
      </c>
      <c r="F69" s="33" t="s">
        <v>234</v>
      </c>
      <c r="G69" s="248"/>
      <c r="H69" s="34" t="s">
        <v>60</v>
      </c>
      <c r="I69" s="47" t="s">
        <v>61</v>
      </c>
      <c r="J69" s="34" t="s">
        <v>180</v>
      </c>
      <c r="K69" s="34">
        <v>429.41</v>
      </c>
      <c r="L69" s="47" t="s">
        <v>61</v>
      </c>
      <c r="M69" s="47" t="s">
        <v>61</v>
      </c>
      <c r="N69" s="264">
        <v>40709</v>
      </c>
      <c r="O69" s="257"/>
      <c r="P69" s="34" t="s">
        <v>235</v>
      </c>
      <c r="Q69" s="34"/>
      <c r="R69" s="34"/>
      <c r="S69" s="34"/>
      <c r="T69" s="36" t="str">
        <f t="shared" ca="1" si="0"/>
        <v/>
      </c>
      <c r="U69" s="37"/>
      <c r="V69" s="37" t="s">
        <v>236</v>
      </c>
      <c r="W69" s="44"/>
      <c r="X69" s="40"/>
      <c r="Y69" s="39"/>
      <c r="Z69" s="40"/>
      <c r="AA69" s="41" t="str">
        <f t="shared" ca="1" si="5"/>
        <v/>
      </c>
      <c r="AB69" s="40"/>
      <c r="AC69" s="40"/>
      <c r="AD69" s="40"/>
      <c r="AE69" s="40"/>
      <c r="AF69" s="136" t="str">
        <f t="shared" ca="1" si="1"/>
        <v/>
      </c>
      <c r="AG69" s="29"/>
      <c r="AH69" s="29"/>
      <c r="AI69" s="29"/>
      <c r="AJ69" s="29"/>
      <c r="AK69" s="30"/>
      <c r="AL69" s="30"/>
    </row>
    <row r="70" spans="1:38" ht="24.95" customHeight="1" x14ac:dyDescent="0.25">
      <c r="A70" s="63" t="str">
        <f t="shared" si="6"/>
        <v>11SAM019</v>
      </c>
      <c r="B70" s="160">
        <v>19</v>
      </c>
      <c r="C70" s="63" t="s">
        <v>57</v>
      </c>
      <c r="D70" s="64" t="s">
        <v>40</v>
      </c>
      <c r="E70" s="33" t="s">
        <v>237</v>
      </c>
      <c r="F70" s="33" t="s">
        <v>238</v>
      </c>
      <c r="G70" s="248"/>
      <c r="H70" s="34" t="s">
        <v>60</v>
      </c>
      <c r="I70" s="47" t="s">
        <v>61</v>
      </c>
      <c r="J70" s="34" t="s">
        <v>45</v>
      </c>
      <c r="K70" s="47" t="s">
        <v>61</v>
      </c>
      <c r="L70" s="47" t="s">
        <v>61</v>
      </c>
      <c r="M70" s="47" t="s">
        <v>61</v>
      </c>
      <c r="N70" s="264">
        <v>40611</v>
      </c>
      <c r="O70" s="257"/>
      <c r="P70" s="34" t="s">
        <v>239</v>
      </c>
      <c r="Q70" s="34"/>
      <c r="R70" s="34"/>
      <c r="S70" s="34"/>
      <c r="T70" s="36" t="str">
        <f t="shared" ca="1" si="0"/>
        <v/>
      </c>
      <c r="U70" s="37"/>
      <c r="V70" s="37" t="s">
        <v>240</v>
      </c>
      <c r="W70" s="44"/>
      <c r="X70" s="40"/>
      <c r="Y70" s="39"/>
      <c r="Z70" s="40"/>
      <c r="AA70" s="41" t="str">
        <f t="shared" ca="1" si="5"/>
        <v/>
      </c>
      <c r="AB70" s="40"/>
      <c r="AC70" s="40"/>
      <c r="AD70" s="40"/>
      <c r="AE70" s="40"/>
      <c r="AF70" s="136" t="str">
        <f t="shared" ca="1" si="1"/>
        <v/>
      </c>
      <c r="AG70" s="29"/>
      <c r="AH70" s="29"/>
      <c r="AI70" s="29"/>
      <c r="AJ70" s="29"/>
      <c r="AK70" s="30"/>
      <c r="AL70" s="30"/>
    </row>
    <row r="71" spans="1:38" ht="24.95" customHeight="1" x14ac:dyDescent="0.25">
      <c r="A71" s="63" t="str">
        <f t="shared" si="6"/>
        <v>11SAM020</v>
      </c>
      <c r="B71" s="160">
        <v>20</v>
      </c>
      <c r="C71" s="63" t="s">
        <v>57</v>
      </c>
      <c r="D71" s="64" t="s">
        <v>40</v>
      </c>
      <c r="E71" s="33" t="s">
        <v>237</v>
      </c>
      <c r="F71" s="33" t="s">
        <v>241</v>
      </c>
      <c r="G71" s="248"/>
      <c r="H71" s="34" t="s">
        <v>60</v>
      </c>
      <c r="I71" s="47" t="s">
        <v>61</v>
      </c>
      <c r="J71" s="34" t="s">
        <v>45</v>
      </c>
      <c r="K71" s="47" t="s">
        <v>61</v>
      </c>
      <c r="L71" s="47" t="s">
        <v>61</v>
      </c>
      <c r="M71" s="47" t="s">
        <v>61</v>
      </c>
      <c r="N71" s="264">
        <v>40611</v>
      </c>
      <c r="O71" s="257"/>
      <c r="P71" s="34" t="s">
        <v>239</v>
      </c>
      <c r="Q71" s="34"/>
      <c r="R71" s="34"/>
      <c r="S71" s="34"/>
      <c r="T71" s="36" t="str">
        <f t="shared" ca="1" si="0"/>
        <v/>
      </c>
      <c r="U71" s="37"/>
      <c r="V71" s="37" t="s">
        <v>242</v>
      </c>
      <c r="W71" s="44"/>
      <c r="X71" s="40"/>
      <c r="Y71" s="39"/>
      <c r="Z71" s="40"/>
      <c r="AA71" s="41" t="str">
        <f t="shared" ca="1" si="5"/>
        <v/>
      </c>
      <c r="AB71" s="40"/>
      <c r="AC71" s="40"/>
      <c r="AD71" s="40"/>
      <c r="AE71" s="40"/>
      <c r="AF71" s="136" t="str">
        <f t="shared" ref="AF71:AF135" ca="1" si="8">IF(AB71="","",IF(AB71,DAYS360(AB71,TODAY())))</f>
        <v/>
      </c>
      <c r="AG71" s="29"/>
      <c r="AH71" s="29"/>
      <c r="AI71" s="29"/>
      <c r="AJ71" s="29"/>
      <c r="AK71" s="30"/>
      <c r="AL71" s="30"/>
    </row>
    <row r="72" spans="1:38" ht="24.95" customHeight="1" x14ac:dyDescent="0.25">
      <c r="A72" s="59" t="str">
        <f t="shared" si="6"/>
        <v>11REF021</v>
      </c>
      <c r="B72" s="158">
        <v>21</v>
      </c>
      <c r="C72" s="59" t="s">
        <v>39</v>
      </c>
      <c r="D72" s="60" t="s">
        <v>40</v>
      </c>
      <c r="E72" s="33" t="s">
        <v>41</v>
      </c>
      <c r="F72" s="33" t="s">
        <v>243</v>
      </c>
      <c r="G72" s="248" t="s">
        <v>244</v>
      </c>
      <c r="H72" s="34" t="s">
        <v>43</v>
      </c>
      <c r="I72" s="34" t="s">
        <v>245</v>
      </c>
      <c r="J72" s="34" t="s">
        <v>180</v>
      </c>
      <c r="K72" s="34">
        <v>213.23</v>
      </c>
      <c r="L72" s="34" t="s">
        <v>246</v>
      </c>
      <c r="M72" s="34" t="s">
        <v>247</v>
      </c>
      <c r="N72" s="264" t="s">
        <v>60</v>
      </c>
      <c r="O72" s="257">
        <v>40668</v>
      </c>
      <c r="P72" s="34" t="s">
        <v>183</v>
      </c>
      <c r="Q72" s="107" t="s">
        <v>628</v>
      </c>
      <c r="R72" s="34"/>
      <c r="S72" s="34">
        <v>0</v>
      </c>
      <c r="T72" s="36" t="str">
        <f t="shared" ca="1" si="0"/>
        <v>Empty</v>
      </c>
      <c r="U72" s="37"/>
      <c r="V72" s="37"/>
      <c r="W72" s="44">
        <v>42104</v>
      </c>
      <c r="X72" s="40" t="s">
        <v>248</v>
      </c>
      <c r="Y72" s="39" t="s">
        <v>249</v>
      </c>
      <c r="Z72" s="40" t="s">
        <v>49</v>
      </c>
      <c r="AA72" s="41">
        <f t="shared" ca="1" si="5"/>
        <v>1254</v>
      </c>
      <c r="AB72" s="40"/>
      <c r="AC72" s="40"/>
      <c r="AD72" s="40"/>
      <c r="AE72" s="40"/>
      <c r="AF72" s="136" t="str">
        <f t="shared" ca="1" si="8"/>
        <v/>
      </c>
      <c r="AG72" s="29"/>
      <c r="AH72" s="29"/>
      <c r="AI72" s="29"/>
      <c r="AJ72" s="29"/>
      <c r="AK72" s="30"/>
      <c r="AL72" s="30"/>
    </row>
    <row r="73" spans="1:38" ht="24.95" customHeight="1" x14ac:dyDescent="0.25">
      <c r="A73" s="66" t="str">
        <f t="shared" si="6"/>
        <v>11SAM022</v>
      </c>
      <c r="B73" s="161">
        <v>22</v>
      </c>
      <c r="C73" s="66" t="s">
        <v>57</v>
      </c>
      <c r="D73" s="67" t="s">
        <v>40</v>
      </c>
      <c r="E73" s="33" t="s">
        <v>250</v>
      </c>
      <c r="F73" s="33" t="s">
        <v>251</v>
      </c>
      <c r="G73" s="248"/>
      <c r="H73" s="34" t="s">
        <v>60</v>
      </c>
      <c r="I73" s="47" t="s">
        <v>61</v>
      </c>
      <c r="J73" s="34" t="s">
        <v>45</v>
      </c>
      <c r="K73" s="34">
        <v>240.69</v>
      </c>
      <c r="L73" s="47" t="s">
        <v>61</v>
      </c>
      <c r="M73" s="47" t="s">
        <v>61</v>
      </c>
      <c r="N73" s="257">
        <v>40610</v>
      </c>
      <c r="O73" s="259"/>
      <c r="P73" s="34" t="s">
        <v>252</v>
      </c>
      <c r="Q73" s="34"/>
      <c r="R73" s="34"/>
      <c r="S73" s="34">
        <v>101.6</v>
      </c>
      <c r="T73" s="36" t="str">
        <f t="shared" ca="1" si="0"/>
        <v/>
      </c>
      <c r="U73" s="37"/>
      <c r="V73" s="37" t="s">
        <v>253</v>
      </c>
      <c r="W73" s="44"/>
      <c r="X73" s="40"/>
      <c r="Y73" s="39"/>
      <c r="Z73" s="40"/>
      <c r="AA73" s="41" t="str">
        <f t="shared" ca="1" si="5"/>
        <v/>
      </c>
      <c r="AB73" s="40"/>
      <c r="AC73" s="40"/>
      <c r="AD73" s="40"/>
      <c r="AE73" s="40"/>
      <c r="AF73" s="136" t="str">
        <f t="shared" ca="1" si="8"/>
        <v/>
      </c>
      <c r="AG73" s="29"/>
      <c r="AH73" s="29"/>
      <c r="AI73" s="29"/>
      <c r="AJ73" s="29"/>
      <c r="AK73" s="30"/>
      <c r="AL73" s="30"/>
    </row>
    <row r="74" spans="1:38" ht="24.95" customHeight="1" x14ac:dyDescent="0.25">
      <c r="A74" s="59" t="str">
        <f t="shared" si="6"/>
        <v>11REF023</v>
      </c>
      <c r="B74" s="160">
        <v>23</v>
      </c>
      <c r="C74" s="59" t="s">
        <v>39</v>
      </c>
      <c r="D74" s="60" t="s">
        <v>170</v>
      </c>
      <c r="E74" s="33" t="s">
        <v>41</v>
      </c>
      <c r="F74" s="33" t="s">
        <v>254</v>
      </c>
      <c r="G74" s="248"/>
      <c r="H74" s="34" t="s">
        <v>43</v>
      </c>
      <c r="I74" s="34" t="s">
        <v>255</v>
      </c>
      <c r="J74" s="34" t="s">
        <v>45</v>
      </c>
      <c r="K74" s="34">
        <v>602.58000000000004</v>
      </c>
      <c r="L74" s="34" t="s">
        <v>256</v>
      </c>
      <c r="M74" s="34" t="s">
        <v>257</v>
      </c>
      <c r="N74" s="264">
        <v>40626</v>
      </c>
      <c r="O74" s="257">
        <v>42508</v>
      </c>
      <c r="P74" s="34" t="s">
        <v>258</v>
      </c>
      <c r="Q74" s="34" t="s">
        <v>212</v>
      </c>
      <c r="R74" s="34"/>
      <c r="S74" s="34">
        <v>0</v>
      </c>
      <c r="T74" s="36" t="str">
        <f t="shared" ca="1" si="0"/>
        <v>Empty</v>
      </c>
      <c r="U74" s="37"/>
      <c r="V74" s="37" t="s">
        <v>2124</v>
      </c>
      <c r="W74" s="44"/>
      <c r="X74" s="40"/>
      <c r="Y74" s="39"/>
      <c r="Z74" s="40"/>
      <c r="AA74" s="41"/>
      <c r="AB74" s="40"/>
      <c r="AC74" s="40"/>
      <c r="AD74" s="40"/>
      <c r="AE74" s="40"/>
      <c r="AF74" s="136" t="str">
        <f t="shared" ca="1" si="8"/>
        <v/>
      </c>
      <c r="AG74" s="29"/>
      <c r="AH74" s="29"/>
      <c r="AI74" s="29"/>
      <c r="AJ74" s="29"/>
      <c r="AK74" s="30"/>
      <c r="AL74" s="30"/>
    </row>
    <row r="75" spans="1:38" ht="24.95" customHeight="1" x14ac:dyDescent="0.25">
      <c r="A75" s="59" t="str">
        <f t="shared" si="6"/>
        <v>11REF024</v>
      </c>
      <c r="B75" s="158">
        <v>24</v>
      </c>
      <c r="C75" s="59" t="s">
        <v>39</v>
      </c>
      <c r="D75" s="60" t="s">
        <v>40</v>
      </c>
      <c r="E75" s="33" t="s">
        <v>41</v>
      </c>
      <c r="F75" s="33" t="s">
        <v>1504</v>
      </c>
      <c r="G75" s="248"/>
      <c r="H75" s="34" t="s">
        <v>43</v>
      </c>
      <c r="I75" s="34" t="s">
        <v>1505</v>
      </c>
      <c r="J75" s="34" t="s">
        <v>45</v>
      </c>
      <c r="K75" s="34">
        <v>194.19</v>
      </c>
      <c r="L75" s="34" t="s">
        <v>1506</v>
      </c>
      <c r="M75" s="34" t="s">
        <v>1507</v>
      </c>
      <c r="N75" s="264">
        <v>40695</v>
      </c>
      <c r="O75" s="257">
        <v>40705</v>
      </c>
      <c r="P75" s="34" t="s">
        <v>56</v>
      </c>
      <c r="Q75" s="34" t="s">
        <v>1508</v>
      </c>
      <c r="R75" s="34"/>
      <c r="S75" s="34">
        <f>4734.4-18.47</f>
        <v>4715.9299999999994</v>
      </c>
      <c r="T75" s="36">
        <f t="shared" ca="1" si="0"/>
        <v>2633</v>
      </c>
      <c r="U75" s="37"/>
      <c r="V75" s="37"/>
      <c r="W75" s="44">
        <v>42529</v>
      </c>
      <c r="X75" s="40" t="s">
        <v>898</v>
      </c>
      <c r="Y75" s="39" t="s">
        <v>1217</v>
      </c>
      <c r="Z75" s="40" t="s">
        <v>49</v>
      </c>
      <c r="AA75" s="41">
        <f t="shared" ca="1" si="5"/>
        <v>836</v>
      </c>
      <c r="AB75" s="40"/>
      <c r="AC75" s="40"/>
      <c r="AD75" s="40"/>
      <c r="AE75" s="40"/>
      <c r="AF75" s="136" t="str">
        <f t="shared" ca="1" si="8"/>
        <v/>
      </c>
      <c r="AG75" s="29"/>
      <c r="AH75" s="29"/>
      <c r="AI75" s="29"/>
      <c r="AJ75" s="29"/>
      <c r="AK75" s="30"/>
      <c r="AL75" s="30"/>
    </row>
    <row r="76" spans="1:38" s="388" customFormat="1" ht="24.95" customHeight="1" x14ac:dyDescent="0.25">
      <c r="A76" s="59"/>
      <c r="B76" s="158"/>
      <c r="C76" s="59"/>
      <c r="D76" s="60"/>
      <c r="E76" s="33"/>
      <c r="F76" s="33"/>
      <c r="G76" s="248"/>
      <c r="H76" s="443"/>
      <c r="I76" s="443"/>
      <c r="J76" s="443"/>
      <c r="K76" s="443"/>
      <c r="L76" s="443"/>
      <c r="M76" s="443"/>
      <c r="N76" s="264"/>
      <c r="O76" s="257"/>
      <c r="P76" s="443"/>
      <c r="Q76" s="443"/>
      <c r="R76" s="443"/>
      <c r="S76" s="443"/>
      <c r="T76" s="36"/>
      <c r="U76" s="37"/>
      <c r="V76" s="37"/>
      <c r="W76" s="44"/>
      <c r="X76" s="40"/>
      <c r="Y76" s="39"/>
      <c r="Z76" s="40"/>
      <c r="AA76" s="41"/>
      <c r="AB76" s="40"/>
      <c r="AC76" s="40"/>
      <c r="AD76" s="40"/>
      <c r="AE76" s="40"/>
      <c r="AF76" s="136"/>
      <c r="AG76" s="29"/>
      <c r="AH76" s="29"/>
      <c r="AI76" s="29"/>
      <c r="AJ76" s="29"/>
      <c r="AK76" s="30"/>
      <c r="AL76" s="30"/>
    </row>
    <row r="77" spans="1:38" ht="24.95" customHeight="1" x14ac:dyDescent="0.25">
      <c r="A77" s="68" t="str">
        <f>IF(C77="","",CONCATENATE(12,MID(C77,1,3),IF(B77&lt;10,"00",0),B77))</f>
        <v>12REF001</v>
      </c>
      <c r="B77" s="162">
        <v>1</v>
      </c>
      <c r="C77" s="68" t="s">
        <v>39</v>
      </c>
      <c r="D77" s="69" t="s">
        <v>40</v>
      </c>
      <c r="E77" s="33" t="s">
        <v>41</v>
      </c>
      <c r="F77" s="33" t="s">
        <v>689</v>
      </c>
      <c r="G77" s="248"/>
      <c r="H77" s="34" t="s">
        <v>43</v>
      </c>
      <c r="I77" s="34" t="s">
        <v>950</v>
      </c>
      <c r="J77" s="34" t="s">
        <v>45</v>
      </c>
      <c r="K77" s="34">
        <v>182.65</v>
      </c>
      <c r="L77" s="34" t="s">
        <v>951</v>
      </c>
      <c r="M77" s="34" t="s">
        <v>692</v>
      </c>
      <c r="N77" s="264">
        <v>41124</v>
      </c>
      <c r="O77" s="257">
        <v>41453</v>
      </c>
      <c r="P77" s="34" t="s">
        <v>160</v>
      </c>
      <c r="Q77" s="34" t="s">
        <v>49</v>
      </c>
      <c r="R77" s="34"/>
      <c r="S77" s="34">
        <v>0</v>
      </c>
      <c r="T77" s="36" t="str">
        <f t="shared" ca="1" si="0"/>
        <v>Empty</v>
      </c>
      <c r="U77" s="37"/>
      <c r="V77" s="37" t="s">
        <v>952</v>
      </c>
      <c r="W77" s="38"/>
      <c r="X77" s="39"/>
      <c r="Y77" s="39"/>
      <c r="Z77" s="40"/>
      <c r="AA77" s="41" t="str">
        <f t="shared" ca="1" si="5"/>
        <v/>
      </c>
      <c r="AB77" s="40"/>
      <c r="AC77" s="40"/>
      <c r="AD77" s="40"/>
      <c r="AE77" s="40"/>
      <c r="AF77" s="136" t="str">
        <f t="shared" ca="1" si="8"/>
        <v/>
      </c>
      <c r="AG77" s="29"/>
      <c r="AH77" s="29"/>
      <c r="AI77" s="29"/>
      <c r="AJ77" s="29"/>
      <c r="AK77" s="30"/>
      <c r="AL77" s="30"/>
    </row>
    <row r="78" spans="1:38" ht="24.95" customHeight="1" x14ac:dyDescent="0.25">
      <c r="A78" s="68" t="str">
        <f t="shared" ref="A78:A96" si="9">IF(C78="","",CONCATENATE(12,MID(C78,1,3),IF(B78&lt;10,"00",0),B78))</f>
        <v>12REF002</v>
      </c>
      <c r="B78" s="162">
        <v>2</v>
      </c>
      <c r="C78" s="68" t="s">
        <v>39</v>
      </c>
      <c r="D78" s="69" t="s">
        <v>40</v>
      </c>
      <c r="E78" s="33" t="s">
        <v>41</v>
      </c>
      <c r="F78" s="33" t="s">
        <v>259</v>
      </c>
      <c r="G78" s="248"/>
      <c r="H78" s="34" t="s">
        <v>43</v>
      </c>
      <c r="I78" s="34" t="s">
        <v>260</v>
      </c>
      <c r="J78" s="34" t="s">
        <v>45</v>
      </c>
      <c r="K78" s="34">
        <v>131.16999999999999</v>
      </c>
      <c r="L78" s="34">
        <v>61819</v>
      </c>
      <c r="M78" s="34" t="s">
        <v>261</v>
      </c>
      <c r="N78" s="264">
        <v>41178</v>
      </c>
      <c r="O78" s="257">
        <v>41180</v>
      </c>
      <c r="P78" s="34" t="s">
        <v>48</v>
      </c>
      <c r="Q78" s="34" t="s">
        <v>262</v>
      </c>
      <c r="R78" s="34"/>
      <c r="S78" s="34">
        <v>24652.7</v>
      </c>
      <c r="T78" s="36">
        <f t="shared" ca="1" si="0"/>
        <v>2166</v>
      </c>
      <c r="U78" s="37"/>
      <c r="V78" s="37"/>
      <c r="W78" s="44"/>
      <c r="X78" s="40"/>
      <c r="Y78" s="39"/>
      <c r="Z78" s="40"/>
      <c r="AA78" s="41" t="str">
        <f t="shared" ca="1" si="5"/>
        <v/>
      </c>
      <c r="AB78" s="40"/>
      <c r="AC78" s="40"/>
      <c r="AD78" s="40"/>
      <c r="AE78" s="40"/>
      <c r="AF78" s="136" t="str">
        <f t="shared" ca="1" si="8"/>
        <v/>
      </c>
      <c r="AG78" s="29"/>
      <c r="AH78" s="29"/>
      <c r="AI78" s="29"/>
      <c r="AJ78" s="29"/>
      <c r="AK78" s="30"/>
      <c r="AL78" s="30"/>
    </row>
    <row r="79" spans="1:38" ht="24.95" customHeight="1" x14ac:dyDescent="0.25">
      <c r="A79" s="68" t="str">
        <f t="shared" si="9"/>
        <v>12REF003</v>
      </c>
      <c r="B79" s="162">
        <v>3</v>
      </c>
      <c r="C79" s="68" t="s">
        <v>39</v>
      </c>
      <c r="D79" s="69" t="s">
        <v>40</v>
      </c>
      <c r="E79" s="33" t="s">
        <v>41</v>
      </c>
      <c r="F79" s="33" t="s">
        <v>263</v>
      </c>
      <c r="G79" s="248"/>
      <c r="H79" s="34" t="s">
        <v>112</v>
      </c>
      <c r="I79" s="34" t="s">
        <v>264</v>
      </c>
      <c r="J79" s="34" t="s">
        <v>45</v>
      </c>
      <c r="K79" s="34">
        <v>230.62</v>
      </c>
      <c r="L79" s="34">
        <v>803</v>
      </c>
      <c r="M79" s="34" t="s">
        <v>265</v>
      </c>
      <c r="N79" s="264">
        <v>40959</v>
      </c>
      <c r="O79" s="257"/>
      <c r="P79" s="34" t="s">
        <v>86</v>
      </c>
      <c r="Q79" s="34"/>
      <c r="R79" s="34"/>
      <c r="S79" s="34"/>
      <c r="T79" s="36" t="str">
        <f t="shared" ca="1" si="0"/>
        <v/>
      </c>
      <c r="U79" s="37"/>
      <c r="V79" s="37"/>
      <c r="W79" s="44"/>
      <c r="X79" s="40"/>
      <c r="Y79" s="39"/>
      <c r="Z79" s="40"/>
      <c r="AA79" s="41" t="str">
        <f t="shared" ca="1" si="5"/>
        <v/>
      </c>
      <c r="AB79" s="40"/>
      <c r="AC79" s="40"/>
      <c r="AD79" s="40"/>
      <c r="AE79" s="40"/>
      <c r="AF79" s="136" t="str">
        <f t="shared" ca="1" si="8"/>
        <v/>
      </c>
      <c r="AG79" s="29"/>
      <c r="AH79" s="29"/>
      <c r="AI79" s="29"/>
      <c r="AJ79" s="29"/>
      <c r="AK79" s="30"/>
      <c r="AL79" s="30"/>
    </row>
    <row r="80" spans="1:38" ht="29.25" customHeight="1" x14ac:dyDescent="0.25">
      <c r="A80" s="68" t="str">
        <f t="shared" si="9"/>
        <v>12REF004</v>
      </c>
      <c r="B80" s="162">
        <v>4</v>
      </c>
      <c r="C80" s="68" t="s">
        <v>39</v>
      </c>
      <c r="D80" s="69" t="s">
        <v>40</v>
      </c>
      <c r="E80" s="33" t="s">
        <v>41</v>
      </c>
      <c r="F80" s="33" t="s">
        <v>266</v>
      </c>
      <c r="G80" s="248"/>
      <c r="H80" s="34" t="s">
        <v>43</v>
      </c>
      <c r="I80" s="34" t="s">
        <v>267</v>
      </c>
      <c r="J80" s="34" t="s">
        <v>45</v>
      </c>
      <c r="K80" s="34">
        <v>244.72</v>
      </c>
      <c r="L80" s="34" t="s">
        <v>268</v>
      </c>
      <c r="M80" s="34" t="s">
        <v>269</v>
      </c>
      <c r="N80" s="264">
        <v>41247</v>
      </c>
      <c r="O80" s="257">
        <v>41256</v>
      </c>
      <c r="P80" s="34" t="s">
        <v>56</v>
      </c>
      <c r="Q80" s="34" t="s">
        <v>49</v>
      </c>
      <c r="R80" s="34"/>
      <c r="S80" s="34">
        <f>4817.3-367.2-38.4-13.7</f>
        <v>4398.0000000000009</v>
      </c>
      <c r="T80" s="36">
        <f t="shared" ca="1" si="0"/>
        <v>2091</v>
      </c>
      <c r="U80" s="37"/>
      <c r="V80" s="37"/>
      <c r="W80" s="44">
        <v>42530</v>
      </c>
      <c r="X80" s="40" t="s">
        <v>728</v>
      </c>
      <c r="Y80" s="39" t="s">
        <v>1217</v>
      </c>
      <c r="Z80" s="40" t="s">
        <v>49</v>
      </c>
      <c r="AA80" s="41">
        <f t="shared" ca="1" si="5"/>
        <v>835</v>
      </c>
      <c r="AB80" s="40"/>
      <c r="AC80" s="40"/>
      <c r="AD80" s="40"/>
      <c r="AE80" s="40"/>
      <c r="AF80" s="136" t="str">
        <f t="shared" ca="1" si="8"/>
        <v/>
      </c>
      <c r="AG80" s="29"/>
      <c r="AH80" s="29"/>
      <c r="AI80" s="29"/>
      <c r="AJ80" s="29"/>
      <c r="AK80" s="30"/>
      <c r="AL80" s="30"/>
    </row>
    <row r="81" spans="1:38" ht="23.25" x14ac:dyDescent="0.25">
      <c r="A81" s="70" t="str">
        <f t="shared" si="9"/>
        <v>12SAM005</v>
      </c>
      <c r="B81" s="163">
        <v>5</v>
      </c>
      <c r="C81" s="70" t="s">
        <v>57</v>
      </c>
      <c r="D81" s="71" t="s">
        <v>40</v>
      </c>
      <c r="E81" s="33" t="s">
        <v>114</v>
      </c>
      <c r="F81" s="33" t="s">
        <v>270</v>
      </c>
      <c r="G81" s="248"/>
      <c r="H81" s="34" t="s">
        <v>60</v>
      </c>
      <c r="I81" s="47" t="s">
        <v>61</v>
      </c>
      <c r="J81" s="34" t="s">
        <v>45</v>
      </c>
      <c r="K81" s="34" t="s">
        <v>60</v>
      </c>
      <c r="L81" s="47" t="s">
        <v>61</v>
      </c>
      <c r="M81" s="47" t="s">
        <v>61</v>
      </c>
      <c r="N81" s="264">
        <v>41059</v>
      </c>
      <c r="O81" s="257"/>
      <c r="P81" s="34" t="s">
        <v>271</v>
      </c>
      <c r="Q81" s="34"/>
      <c r="R81" s="34"/>
      <c r="S81" s="34"/>
      <c r="T81" s="36" t="str">
        <f t="shared" ca="1" si="0"/>
        <v/>
      </c>
      <c r="U81" s="37"/>
      <c r="V81" s="37" t="s">
        <v>272</v>
      </c>
      <c r="W81" s="44"/>
      <c r="X81" s="40"/>
      <c r="Y81" s="39"/>
      <c r="Z81" s="40"/>
      <c r="AA81" s="41"/>
      <c r="AB81" s="40"/>
      <c r="AC81" s="40"/>
      <c r="AD81" s="40"/>
      <c r="AE81" s="40"/>
      <c r="AF81" s="136" t="str">
        <f t="shared" ca="1" si="8"/>
        <v/>
      </c>
      <c r="AG81" s="29"/>
      <c r="AH81" s="29"/>
      <c r="AI81" s="29"/>
      <c r="AJ81" s="29"/>
      <c r="AK81" s="30"/>
      <c r="AL81" s="30"/>
    </row>
    <row r="82" spans="1:38" ht="24.95" customHeight="1" x14ac:dyDescent="0.25">
      <c r="A82" s="70" t="str">
        <f t="shared" si="9"/>
        <v>12SAM006</v>
      </c>
      <c r="B82" s="163">
        <v>6</v>
      </c>
      <c r="C82" s="70" t="s">
        <v>57</v>
      </c>
      <c r="D82" s="71" t="s">
        <v>40</v>
      </c>
      <c r="E82" s="33" t="s">
        <v>273</v>
      </c>
      <c r="F82" s="33" t="s">
        <v>274</v>
      </c>
      <c r="G82" s="248"/>
      <c r="H82" s="34" t="s">
        <v>60</v>
      </c>
      <c r="I82" s="34" t="s">
        <v>275</v>
      </c>
      <c r="J82" s="34" t="s">
        <v>45</v>
      </c>
      <c r="K82" s="34">
        <v>417.28</v>
      </c>
      <c r="L82" s="47" t="s">
        <v>61</v>
      </c>
      <c r="M82" s="47" t="s">
        <v>61</v>
      </c>
      <c r="N82" s="264">
        <v>41242</v>
      </c>
      <c r="O82" s="257"/>
      <c r="P82" s="34" t="s">
        <v>276</v>
      </c>
      <c r="Q82" s="34"/>
      <c r="R82" s="34"/>
      <c r="S82" s="34"/>
      <c r="T82" s="36" t="str">
        <f t="shared" ca="1" si="0"/>
        <v/>
      </c>
      <c r="U82" s="37"/>
      <c r="V82" s="37" t="s">
        <v>277</v>
      </c>
      <c r="W82" s="44"/>
      <c r="X82" s="40"/>
      <c r="Y82" s="39"/>
      <c r="Z82" s="40"/>
      <c r="AA82" s="41"/>
      <c r="AB82" s="40"/>
      <c r="AC82" s="40"/>
      <c r="AD82" s="40"/>
      <c r="AE82" s="40"/>
      <c r="AF82" s="136" t="str">
        <f t="shared" ca="1" si="8"/>
        <v/>
      </c>
      <c r="AG82" s="29"/>
      <c r="AH82" s="29"/>
      <c r="AI82" s="29"/>
      <c r="AJ82" s="29"/>
      <c r="AK82" s="30"/>
      <c r="AL82" s="30"/>
    </row>
    <row r="83" spans="1:38" ht="24.95" customHeight="1" x14ac:dyDescent="0.25">
      <c r="A83" s="70" t="str">
        <f t="shared" si="9"/>
        <v>12SAM007</v>
      </c>
      <c r="B83" s="163">
        <v>7</v>
      </c>
      <c r="C83" s="70" t="s">
        <v>57</v>
      </c>
      <c r="D83" s="71" t="s">
        <v>40</v>
      </c>
      <c r="E83" s="33" t="s">
        <v>58</v>
      </c>
      <c r="F83" s="33" t="s">
        <v>278</v>
      </c>
      <c r="G83" s="248"/>
      <c r="H83" s="34"/>
      <c r="I83" s="34" t="s">
        <v>279</v>
      </c>
      <c r="J83" s="34"/>
      <c r="K83" s="34">
        <v>435.46</v>
      </c>
      <c r="L83" s="47" t="s">
        <v>61</v>
      </c>
      <c r="M83" s="47" t="s">
        <v>61</v>
      </c>
      <c r="N83" s="264">
        <v>41176</v>
      </c>
      <c r="O83" s="257"/>
      <c r="P83" s="34" t="s">
        <v>280</v>
      </c>
      <c r="Q83" s="34"/>
      <c r="R83" s="34"/>
      <c r="S83" s="34"/>
      <c r="T83" s="36" t="str">
        <f t="shared" ca="1" si="0"/>
        <v/>
      </c>
      <c r="U83" s="37"/>
      <c r="V83" s="37"/>
      <c r="W83" s="44"/>
      <c r="X83" s="40"/>
      <c r="Y83" s="39"/>
      <c r="Z83" s="40"/>
      <c r="AA83" s="41"/>
      <c r="AB83" s="40"/>
      <c r="AC83" s="40"/>
      <c r="AD83" s="40"/>
      <c r="AE83" s="40"/>
      <c r="AF83" s="136" t="str">
        <f t="shared" ca="1" si="8"/>
        <v/>
      </c>
      <c r="AG83" s="29"/>
      <c r="AH83" s="29"/>
      <c r="AI83" s="29"/>
      <c r="AJ83" s="29"/>
      <c r="AK83" s="30"/>
      <c r="AL83" s="30"/>
    </row>
    <row r="84" spans="1:38" ht="24.95" customHeight="1" x14ac:dyDescent="0.25">
      <c r="A84" s="72" t="str">
        <f t="shared" si="9"/>
        <v>12REF008</v>
      </c>
      <c r="B84" s="164">
        <v>8</v>
      </c>
      <c r="C84" s="72" t="s">
        <v>39</v>
      </c>
      <c r="D84" s="73" t="s">
        <v>40</v>
      </c>
      <c r="E84" s="33" t="s">
        <v>41</v>
      </c>
      <c r="F84" s="33" t="s">
        <v>281</v>
      </c>
      <c r="G84" s="248"/>
      <c r="H84" s="34" t="s">
        <v>43</v>
      </c>
      <c r="I84" s="34" t="s">
        <v>282</v>
      </c>
      <c r="J84" s="34" t="s">
        <v>45</v>
      </c>
      <c r="K84" s="34">
        <v>137.13999999999999</v>
      </c>
      <c r="L84" s="34" t="s">
        <v>283</v>
      </c>
      <c r="M84" s="34" t="s">
        <v>284</v>
      </c>
      <c r="N84" s="264">
        <v>41156</v>
      </c>
      <c r="O84" s="257"/>
      <c r="P84" s="34" t="s">
        <v>48</v>
      </c>
      <c r="Q84" s="34" t="s">
        <v>212</v>
      </c>
      <c r="R84" s="34"/>
      <c r="S84" s="34">
        <v>24966.7</v>
      </c>
      <c r="T84" s="36" t="str">
        <f t="shared" ca="1" si="0"/>
        <v/>
      </c>
      <c r="U84" s="37"/>
      <c r="V84" s="37"/>
      <c r="W84" s="44"/>
      <c r="X84" s="40"/>
      <c r="Y84" s="39"/>
      <c r="Z84" s="40"/>
      <c r="AA84" s="41"/>
      <c r="AB84" s="40"/>
      <c r="AC84" s="40"/>
      <c r="AD84" s="40"/>
      <c r="AE84" s="40"/>
      <c r="AF84" s="136" t="str">
        <f t="shared" ca="1" si="8"/>
        <v/>
      </c>
      <c r="AG84" s="29"/>
      <c r="AH84" s="29"/>
      <c r="AI84" s="29"/>
      <c r="AJ84" s="29"/>
      <c r="AK84" s="30"/>
      <c r="AL84" s="30"/>
    </row>
    <row r="85" spans="1:38" ht="24.95" customHeight="1" x14ac:dyDescent="0.25">
      <c r="A85" s="70" t="str">
        <f t="shared" si="9"/>
        <v>12SAM009</v>
      </c>
      <c r="B85" s="163">
        <v>9</v>
      </c>
      <c r="C85" s="70" t="s">
        <v>57</v>
      </c>
      <c r="D85" s="71" t="s">
        <v>40</v>
      </c>
      <c r="E85" s="33" t="s">
        <v>285</v>
      </c>
      <c r="F85" s="33" t="s">
        <v>286</v>
      </c>
      <c r="G85" s="248"/>
      <c r="H85" s="34" t="s">
        <v>60</v>
      </c>
      <c r="I85" s="47" t="s">
        <v>61</v>
      </c>
      <c r="J85" s="34" t="s">
        <v>45</v>
      </c>
      <c r="K85" s="34">
        <v>233.76</v>
      </c>
      <c r="L85" s="47" t="s">
        <v>61</v>
      </c>
      <c r="M85" s="47" t="s">
        <v>61</v>
      </c>
      <c r="N85" s="264">
        <v>41001</v>
      </c>
      <c r="O85" s="257">
        <v>41004</v>
      </c>
      <c r="P85" s="34" t="s">
        <v>287</v>
      </c>
      <c r="Q85" s="34"/>
      <c r="R85" s="34"/>
      <c r="S85" s="34">
        <v>37.04</v>
      </c>
      <c r="T85" s="36">
        <f t="shared" ca="1" si="0"/>
        <v>2339</v>
      </c>
      <c r="U85" s="37"/>
      <c r="V85" s="37" t="s">
        <v>288</v>
      </c>
      <c r="W85" s="44"/>
      <c r="X85" s="40"/>
      <c r="Y85" s="39"/>
      <c r="Z85" s="40"/>
      <c r="AA85" s="41"/>
      <c r="AB85" s="40"/>
      <c r="AC85" s="40"/>
      <c r="AD85" s="40"/>
      <c r="AE85" s="40"/>
      <c r="AF85" s="136" t="str">
        <f t="shared" ca="1" si="8"/>
        <v/>
      </c>
      <c r="AG85" s="29"/>
      <c r="AH85" s="29"/>
      <c r="AI85" s="29"/>
      <c r="AJ85" s="29"/>
      <c r="AK85" s="30"/>
      <c r="AL85" s="30"/>
    </row>
    <row r="86" spans="1:38" ht="24.95" customHeight="1" x14ac:dyDescent="0.25">
      <c r="A86" s="70" t="str">
        <f t="shared" si="9"/>
        <v>12SAM010</v>
      </c>
      <c r="B86" s="163">
        <v>10</v>
      </c>
      <c r="C86" s="70" t="s">
        <v>57</v>
      </c>
      <c r="D86" s="71" t="s">
        <v>40</v>
      </c>
      <c r="E86" s="33" t="s">
        <v>289</v>
      </c>
      <c r="F86" s="33" t="s">
        <v>290</v>
      </c>
      <c r="G86" s="248"/>
      <c r="H86" s="34" t="s">
        <v>60</v>
      </c>
      <c r="I86" s="47" t="s">
        <v>61</v>
      </c>
      <c r="J86" s="34" t="s">
        <v>45</v>
      </c>
      <c r="K86" s="34">
        <v>541.09</v>
      </c>
      <c r="L86" s="47" t="s">
        <v>61</v>
      </c>
      <c r="M86" s="47" t="s">
        <v>61</v>
      </c>
      <c r="N86" s="264">
        <v>41211</v>
      </c>
      <c r="O86" s="257">
        <v>41369</v>
      </c>
      <c r="P86" s="34" t="s">
        <v>291</v>
      </c>
      <c r="Q86" s="34"/>
      <c r="R86" s="34"/>
      <c r="S86" s="34">
        <v>19.63</v>
      </c>
      <c r="T86" s="36">
        <f t="shared" ca="1" si="0"/>
        <v>1979</v>
      </c>
      <c r="U86" s="37" t="s">
        <v>292</v>
      </c>
      <c r="V86" s="37" t="s">
        <v>293</v>
      </c>
      <c r="W86" s="44"/>
      <c r="X86" s="40"/>
      <c r="Y86" s="39"/>
      <c r="Z86" s="40"/>
      <c r="AA86" s="41"/>
      <c r="AB86" s="40"/>
      <c r="AC86" s="40"/>
      <c r="AD86" s="40"/>
      <c r="AE86" s="40"/>
      <c r="AF86" s="136" t="str">
        <f t="shared" ca="1" si="8"/>
        <v/>
      </c>
      <c r="AG86" s="29"/>
      <c r="AH86" s="29"/>
      <c r="AI86" s="29"/>
      <c r="AJ86" s="29"/>
      <c r="AK86" s="30"/>
      <c r="AL86" s="30"/>
    </row>
    <row r="87" spans="1:38" ht="24.95" customHeight="1" x14ac:dyDescent="0.25">
      <c r="A87" s="70" t="str">
        <f t="shared" si="9"/>
        <v>12SAM011</v>
      </c>
      <c r="B87" s="163">
        <v>11</v>
      </c>
      <c r="C87" s="70" t="s">
        <v>57</v>
      </c>
      <c r="D87" s="71" t="s">
        <v>40</v>
      </c>
      <c r="E87" s="33" t="s">
        <v>294</v>
      </c>
      <c r="F87" s="33" t="s">
        <v>295</v>
      </c>
      <c r="G87" s="248"/>
      <c r="H87" s="34" t="s">
        <v>60</v>
      </c>
      <c r="I87" s="34" t="s">
        <v>296</v>
      </c>
      <c r="J87" s="34" t="s">
        <v>45</v>
      </c>
      <c r="K87" s="34">
        <v>173.21</v>
      </c>
      <c r="L87" s="47" t="s">
        <v>61</v>
      </c>
      <c r="M87" s="47" t="s">
        <v>61</v>
      </c>
      <c r="N87" s="264">
        <v>40932</v>
      </c>
      <c r="O87" s="257">
        <v>40932</v>
      </c>
      <c r="P87" s="34" t="s">
        <v>297</v>
      </c>
      <c r="Q87" s="34" t="s">
        <v>212</v>
      </c>
      <c r="R87" s="34"/>
      <c r="S87" s="34">
        <v>283.89999999999998</v>
      </c>
      <c r="T87" s="36">
        <f t="shared" ca="1" si="0"/>
        <v>2410</v>
      </c>
      <c r="U87" s="37"/>
      <c r="V87" s="37" t="s">
        <v>298</v>
      </c>
      <c r="W87" s="44"/>
      <c r="X87" s="40"/>
      <c r="Y87" s="39"/>
      <c r="Z87" s="40"/>
      <c r="AA87" s="41"/>
      <c r="AB87" s="40"/>
      <c r="AC87" s="40"/>
      <c r="AD87" s="40"/>
      <c r="AE87" s="40"/>
      <c r="AF87" s="136" t="str">
        <f t="shared" ca="1" si="8"/>
        <v/>
      </c>
      <c r="AG87" s="29"/>
      <c r="AH87" s="29"/>
      <c r="AI87" s="29"/>
      <c r="AJ87" s="29"/>
      <c r="AK87" s="30"/>
      <c r="AL87" s="30"/>
    </row>
    <row r="88" spans="1:38" ht="24.95" customHeight="1" x14ac:dyDescent="0.25">
      <c r="A88" s="70" t="str">
        <f t="shared" si="9"/>
        <v>12SAM012</v>
      </c>
      <c r="B88" s="163">
        <v>12</v>
      </c>
      <c r="C88" s="70" t="s">
        <v>57</v>
      </c>
      <c r="D88" s="71" t="s">
        <v>40</v>
      </c>
      <c r="E88" s="33" t="s">
        <v>294</v>
      </c>
      <c r="F88" s="33" t="s">
        <v>295</v>
      </c>
      <c r="G88" s="248"/>
      <c r="H88" s="34" t="s">
        <v>60</v>
      </c>
      <c r="I88" s="34" t="s">
        <v>296</v>
      </c>
      <c r="J88" s="34" t="s">
        <v>45</v>
      </c>
      <c r="K88" s="34">
        <v>173.21</v>
      </c>
      <c r="L88" s="47" t="s">
        <v>61</v>
      </c>
      <c r="M88" s="47" t="s">
        <v>61</v>
      </c>
      <c r="N88" s="264">
        <v>40991</v>
      </c>
      <c r="O88" s="257">
        <v>41001</v>
      </c>
      <c r="P88" s="34" t="s">
        <v>299</v>
      </c>
      <c r="Q88" s="34" t="s">
        <v>212</v>
      </c>
      <c r="R88" s="34"/>
      <c r="S88" s="34">
        <v>13498</v>
      </c>
      <c r="T88" s="36">
        <f t="shared" ca="1" si="0"/>
        <v>2342</v>
      </c>
      <c r="U88" s="37"/>
      <c r="V88" s="37" t="s">
        <v>300</v>
      </c>
      <c r="W88" s="38"/>
      <c r="X88" s="39"/>
      <c r="Y88" s="39"/>
      <c r="Z88" s="40"/>
      <c r="AA88" s="41" t="str">
        <f t="shared" ca="1" si="5"/>
        <v/>
      </c>
      <c r="AB88" s="40"/>
      <c r="AC88" s="40"/>
      <c r="AD88" s="40"/>
      <c r="AE88" s="40"/>
      <c r="AF88" s="136" t="str">
        <f t="shared" ca="1" si="8"/>
        <v/>
      </c>
      <c r="AG88" s="29"/>
      <c r="AH88" s="29"/>
      <c r="AI88" s="29"/>
      <c r="AJ88" s="29"/>
      <c r="AK88" s="30"/>
      <c r="AL88" s="30"/>
    </row>
    <row r="89" spans="1:38" ht="24.95" customHeight="1" x14ac:dyDescent="0.25">
      <c r="A89" s="70" t="str">
        <f t="shared" si="9"/>
        <v>12SAM013</v>
      </c>
      <c r="B89" s="163">
        <v>13</v>
      </c>
      <c r="C89" s="70" t="s">
        <v>57</v>
      </c>
      <c r="D89" s="71" t="s">
        <v>40</v>
      </c>
      <c r="E89" s="33" t="s">
        <v>294</v>
      </c>
      <c r="F89" s="33" t="s">
        <v>301</v>
      </c>
      <c r="G89" s="248"/>
      <c r="H89" s="34" t="s">
        <v>60</v>
      </c>
      <c r="I89" s="34" t="s">
        <v>302</v>
      </c>
      <c r="J89" s="34" t="s">
        <v>45</v>
      </c>
      <c r="K89" s="34">
        <v>173.21</v>
      </c>
      <c r="L89" s="47" t="s">
        <v>61</v>
      </c>
      <c r="M89" s="47" t="s">
        <v>61</v>
      </c>
      <c r="N89" s="264">
        <v>40991</v>
      </c>
      <c r="O89" s="257">
        <v>41044</v>
      </c>
      <c r="P89" s="34" t="s">
        <v>303</v>
      </c>
      <c r="Q89" s="34"/>
      <c r="R89" s="34"/>
      <c r="S89" s="34">
        <v>15385</v>
      </c>
      <c r="T89" s="36">
        <f t="shared" ca="1" si="0"/>
        <v>2299</v>
      </c>
      <c r="U89" s="37"/>
      <c r="V89" s="37" t="s">
        <v>304</v>
      </c>
      <c r="W89" s="44"/>
      <c r="X89" s="40"/>
      <c r="Y89" s="39"/>
      <c r="Z89" s="40"/>
      <c r="AA89" s="41"/>
      <c r="AB89" s="40"/>
      <c r="AC89" s="40"/>
      <c r="AD89" s="40"/>
      <c r="AE89" s="40"/>
      <c r="AF89" s="136" t="str">
        <f t="shared" ca="1" si="8"/>
        <v/>
      </c>
      <c r="AG89" s="29"/>
      <c r="AH89" s="29"/>
      <c r="AI89" s="29"/>
      <c r="AJ89" s="29"/>
      <c r="AK89" s="30"/>
      <c r="AL89" s="30"/>
    </row>
    <row r="90" spans="1:38" ht="24.95" customHeight="1" x14ac:dyDescent="0.25">
      <c r="A90" s="70" t="str">
        <f t="shared" si="9"/>
        <v>12SAM014</v>
      </c>
      <c r="B90" s="163">
        <v>14</v>
      </c>
      <c r="C90" s="70" t="s">
        <v>57</v>
      </c>
      <c r="D90" s="71" t="s">
        <v>40</v>
      </c>
      <c r="E90" s="33" t="s">
        <v>305</v>
      </c>
      <c r="F90" s="33" t="s">
        <v>306</v>
      </c>
      <c r="G90" s="248"/>
      <c r="H90" s="34" t="s">
        <v>60</v>
      </c>
      <c r="I90" s="47" t="s">
        <v>61</v>
      </c>
      <c r="J90" s="34" t="s">
        <v>45</v>
      </c>
      <c r="K90" s="34">
        <v>477.6</v>
      </c>
      <c r="L90" s="47" t="s">
        <v>61</v>
      </c>
      <c r="M90" s="47" t="s">
        <v>61</v>
      </c>
      <c r="N90" s="264">
        <v>41058</v>
      </c>
      <c r="O90" s="257">
        <v>41177</v>
      </c>
      <c r="P90" s="34" t="s">
        <v>307</v>
      </c>
      <c r="Q90" s="34" t="s">
        <v>212</v>
      </c>
      <c r="R90" s="34"/>
      <c r="S90" s="34">
        <v>101.1</v>
      </c>
      <c r="T90" s="36">
        <f t="shared" ca="1" si="0"/>
        <v>2169</v>
      </c>
      <c r="U90" s="37"/>
      <c r="V90" s="37" t="s">
        <v>308</v>
      </c>
      <c r="W90" s="44"/>
      <c r="X90" s="40"/>
      <c r="Y90" s="39"/>
      <c r="Z90" s="40"/>
      <c r="AA90" s="41"/>
      <c r="AB90" s="40"/>
      <c r="AC90" s="40"/>
      <c r="AD90" s="40"/>
      <c r="AE90" s="40"/>
      <c r="AF90" s="136" t="str">
        <f t="shared" ca="1" si="8"/>
        <v/>
      </c>
      <c r="AG90" s="29"/>
      <c r="AH90" s="29"/>
      <c r="AI90" s="29"/>
      <c r="AJ90" s="29"/>
      <c r="AK90" s="30"/>
      <c r="AL90" s="30"/>
    </row>
    <row r="91" spans="1:38" ht="24.95" customHeight="1" x14ac:dyDescent="0.25">
      <c r="A91" s="70" t="str">
        <f t="shared" si="9"/>
        <v>12SAM015</v>
      </c>
      <c r="B91" s="163">
        <v>15</v>
      </c>
      <c r="C91" s="70" t="s">
        <v>57</v>
      </c>
      <c r="D91" s="71" t="s">
        <v>40</v>
      </c>
      <c r="E91" s="33" t="s">
        <v>305</v>
      </c>
      <c r="F91" s="33" t="s">
        <v>309</v>
      </c>
      <c r="G91" s="248"/>
      <c r="H91" s="34" t="s">
        <v>60</v>
      </c>
      <c r="I91" s="47" t="s">
        <v>61</v>
      </c>
      <c r="J91" s="34" t="s">
        <v>45</v>
      </c>
      <c r="K91" s="34">
        <v>477.5</v>
      </c>
      <c r="L91" s="47" t="s">
        <v>61</v>
      </c>
      <c r="M91" s="47" t="s">
        <v>61</v>
      </c>
      <c r="N91" s="264">
        <v>41058</v>
      </c>
      <c r="O91" s="257">
        <v>41177</v>
      </c>
      <c r="P91" s="34" t="s">
        <v>310</v>
      </c>
      <c r="Q91" s="34" t="s">
        <v>212</v>
      </c>
      <c r="R91" s="34"/>
      <c r="S91" s="34">
        <v>88.9</v>
      </c>
      <c r="T91" s="36">
        <f t="shared" ca="1" si="0"/>
        <v>2169</v>
      </c>
      <c r="U91" s="37"/>
      <c r="V91" s="37" t="s">
        <v>311</v>
      </c>
      <c r="W91" s="44"/>
      <c r="X91" s="40"/>
      <c r="Y91" s="39"/>
      <c r="Z91" s="40"/>
      <c r="AA91" s="41"/>
      <c r="AB91" s="40"/>
      <c r="AC91" s="40"/>
      <c r="AD91" s="40"/>
      <c r="AE91" s="40"/>
      <c r="AF91" s="136" t="str">
        <f t="shared" ca="1" si="8"/>
        <v/>
      </c>
      <c r="AG91" s="29"/>
      <c r="AH91" s="29"/>
      <c r="AI91" s="29"/>
      <c r="AJ91" s="29"/>
      <c r="AK91" s="30"/>
      <c r="AL91" s="30"/>
    </row>
    <row r="92" spans="1:38" ht="24.95" customHeight="1" x14ac:dyDescent="0.25">
      <c r="A92" s="70" t="str">
        <f t="shared" si="9"/>
        <v>12SAM016</v>
      </c>
      <c r="B92" s="163">
        <v>16</v>
      </c>
      <c r="C92" s="70" t="s">
        <v>57</v>
      </c>
      <c r="D92" s="71" t="s">
        <v>40</v>
      </c>
      <c r="E92" s="33" t="s">
        <v>305</v>
      </c>
      <c r="F92" s="33" t="s">
        <v>312</v>
      </c>
      <c r="G92" s="248"/>
      <c r="H92" s="34" t="s">
        <v>60</v>
      </c>
      <c r="I92" s="47" t="s">
        <v>61</v>
      </c>
      <c r="J92" s="34" t="s">
        <v>45</v>
      </c>
      <c r="K92" s="34">
        <v>363.39</v>
      </c>
      <c r="L92" s="47" t="s">
        <v>61</v>
      </c>
      <c r="M92" s="47" t="s">
        <v>61</v>
      </c>
      <c r="N92" s="264">
        <v>41058</v>
      </c>
      <c r="O92" s="257">
        <v>41383</v>
      </c>
      <c r="P92" s="34" t="s">
        <v>313</v>
      </c>
      <c r="Q92" s="34" t="s">
        <v>212</v>
      </c>
      <c r="R92" s="34"/>
      <c r="S92" s="34">
        <v>276.04000000000002</v>
      </c>
      <c r="T92" s="36">
        <f t="shared" ca="1" si="0"/>
        <v>1965</v>
      </c>
      <c r="U92" s="37"/>
      <c r="V92" s="37" t="s">
        <v>314</v>
      </c>
      <c r="W92" s="44"/>
      <c r="X92" s="40"/>
      <c r="Y92" s="39"/>
      <c r="Z92" s="40"/>
      <c r="AA92" s="41"/>
      <c r="AB92" s="40"/>
      <c r="AC92" s="40"/>
      <c r="AD92" s="40"/>
      <c r="AE92" s="40"/>
      <c r="AF92" s="136" t="str">
        <f t="shared" ca="1" si="8"/>
        <v/>
      </c>
      <c r="AG92" s="29"/>
      <c r="AH92" s="29"/>
      <c r="AI92" s="29"/>
      <c r="AJ92" s="29"/>
      <c r="AK92" s="30"/>
      <c r="AL92" s="30"/>
    </row>
    <row r="93" spans="1:38" ht="24.95" customHeight="1" x14ac:dyDescent="0.25">
      <c r="A93" s="70" t="str">
        <f t="shared" si="9"/>
        <v>12SAM017</v>
      </c>
      <c r="B93" s="163">
        <v>17</v>
      </c>
      <c r="C93" s="70" t="s">
        <v>57</v>
      </c>
      <c r="D93" s="71" t="s">
        <v>40</v>
      </c>
      <c r="E93" s="33" t="s">
        <v>305</v>
      </c>
      <c r="F93" s="33" t="s">
        <v>315</v>
      </c>
      <c r="G93" s="248"/>
      <c r="H93" s="34" t="s">
        <v>60</v>
      </c>
      <c r="I93" s="47" t="s">
        <v>61</v>
      </c>
      <c r="J93" s="34" t="s">
        <v>45</v>
      </c>
      <c r="K93" s="34">
        <v>471</v>
      </c>
      <c r="L93" s="47" t="s">
        <v>61</v>
      </c>
      <c r="M93" s="47" t="s">
        <v>61</v>
      </c>
      <c r="N93" s="264">
        <v>41058</v>
      </c>
      <c r="O93" s="257">
        <v>41408</v>
      </c>
      <c r="P93" s="34" t="s">
        <v>316</v>
      </c>
      <c r="Q93" s="34" t="s">
        <v>212</v>
      </c>
      <c r="R93" s="34"/>
      <c r="S93" s="34">
        <v>148.32</v>
      </c>
      <c r="T93" s="36">
        <f t="shared" ca="1" si="0"/>
        <v>1940</v>
      </c>
      <c r="U93" s="37"/>
      <c r="V93" s="37" t="s">
        <v>317</v>
      </c>
      <c r="W93" s="44"/>
      <c r="X93" s="40"/>
      <c r="Y93" s="39"/>
      <c r="Z93" s="40"/>
      <c r="AA93" s="41"/>
      <c r="AB93" s="40"/>
      <c r="AC93" s="40"/>
      <c r="AD93" s="40"/>
      <c r="AE93" s="40"/>
      <c r="AF93" s="136" t="str">
        <f t="shared" ca="1" si="8"/>
        <v/>
      </c>
      <c r="AG93" s="29"/>
      <c r="AH93" s="29"/>
      <c r="AI93" s="29"/>
      <c r="AJ93" s="29"/>
      <c r="AK93" s="30"/>
      <c r="AL93" s="30"/>
    </row>
    <row r="94" spans="1:38" ht="24.95" customHeight="1" x14ac:dyDescent="0.25">
      <c r="A94" s="70" t="str">
        <f t="shared" si="9"/>
        <v>12SAM018</v>
      </c>
      <c r="B94" s="163">
        <v>18</v>
      </c>
      <c r="C94" s="70" t="s">
        <v>57</v>
      </c>
      <c r="D94" s="71" t="s">
        <v>40</v>
      </c>
      <c r="E94" s="33" t="s">
        <v>305</v>
      </c>
      <c r="F94" s="33" t="s">
        <v>318</v>
      </c>
      <c r="G94" s="248"/>
      <c r="H94" s="34" t="s">
        <v>60</v>
      </c>
      <c r="I94" s="47" t="s">
        <v>61</v>
      </c>
      <c r="J94" s="34" t="s">
        <v>45</v>
      </c>
      <c r="K94" s="34">
        <v>469.47</v>
      </c>
      <c r="L94" s="47" t="s">
        <v>61</v>
      </c>
      <c r="M94" s="47" t="s">
        <v>61</v>
      </c>
      <c r="N94" s="264">
        <v>41058</v>
      </c>
      <c r="O94" s="257">
        <v>41421</v>
      </c>
      <c r="P94" s="34" t="s">
        <v>319</v>
      </c>
      <c r="Q94" s="34" t="s">
        <v>212</v>
      </c>
      <c r="R94" s="34"/>
      <c r="S94" s="34">
        <v>292.67</v>
      </c>
      <c r="T94" s="36">
        <f t="shared" ca="1" si="0"/>
        <v>1927</v>
      </c>
      <c r="U94" s="37"/>
      <c r="V94" s="37" t="s">
        <v>320</v>
      </c>
      <c r="W94" s="44"/>
      <c r="X94" s="40"/>
      <c r="Y94" s="39"/>
      <c r="Z94" s="40"/>
      <c r="AA94" s="41"/>
      <c r="AB94" s="40"/>
      <c r="AC94" s="40"/>
      <c r="AD94" s="40"/>
      <c r="AE94" s="40"/>
      <c r="AF94" s="136" t="str">
        <f t="shared" ca="1" si="8"/>
        <v/>
      </c>
      <c r="AG94" s="29"/>
      <c r="AH94" s="29"/>
      <c r="AI94" s="29"/>
      <c r="AJ94" s="29"/>
      <c r="AK94" s="30"/>
      <c r="AL94" s="30"/>
    </row>
    <row r="95" spans="1:38" ht="24.95" customHeight="1" x14ac:dyDescent="0.25">
      <c r="A95" s="70" t="str">
        <f t="shared" si="9"/>
        <v>12SAM019</v>
      </c>
      <c r="B95" s="163">
        <v>19</v>
      </c>
      <c r="C95" s="70" t="s">
        <v>57</v>
      </c>
      <c r="D95" s="71" t="s">
        <v>40</v>
      </c>
      <c r="E95" s="33" t="s">
        <v>305</v>
      </c>
      <c r="F95" s="33" t="s">
        <v>321</v>
      </c>
      <c r="G95" s="248"/>
      <c r="H95" s="34" t="s">
        <v>60</v>
      </c>
      <c r="I95" s="47" t="s">
        <v>61</v>
      </c>
      <c r="J95" s="34" t="s">
        <v>45</v>
      </c>
      <c r="K95" s="34">
        <v>466.01</v>
      </c>
      <c r="L95" s="47" t="s">
        <v>61</v>
      </c>
      <c r="M95" s="47" t="s">
        <v>61</v>
      </c>
      <c r="N95" s="264">
        <v>41058</v>
      </c>
      <c r="O95" s="257">
        <v>41424</v>
      </c>
      <c r="P95" s="34" t="s">
        <v>322</v>
      </c>
      <c r="Q95" s="34" t="s">
        <v>212</v>
      </c>
      <c r="R95" s="34"/>
      <c r="S95" s="34">
        <v>100.72</v>
      </c>
      <c r="T95" s="36">
        <f t="shared" ca="1" si="0"/>
        <v>1924</v>
      </c>
      <c r="U95" s="37"/>
      <c r="V95" s="37" t="s">
        <v>323</v>
      </c>
      <c r="W95" s="44"/>
      <c r="X95" s="40"/>
      <c r="Y95" s="39"/>
      <c r="Z95" s="40"/>
      <c r="AA95" s="41"/>
      <c r="AB95" s="40"/>
      <c r="AC95" s="40"/>
      <c r="AD95" s="40"/>
      <c r="AE95" s="40"/>
      <c r="AF95" s="136" t="str">
        <f t="shared" ca="1" si="8"/>
        <v/>
      </c>
      <c r="AG95" s="29"/>
      <c r="AH95" s="29"/>
      <c r="AI95" s="29"/>
      <c r="AJ95" s="29"/>
      <c r="AK95" s="30"/>
      <c r="AL95" s="30"/>
    </row>
    <row r="96" spans="1:38" ht="24.95" customHeight="1" thickBot="1" x14ac:dyDescent="0.3">
      <c r="A96" s="367" t="str">
        <f t="shared" si="9"/>
        <v/>
      </c>
      <c r="B96" s="366">
        <v>20</v>
      </c>
      <c r="C96" s="367"/>
      <c r="D96" s="368"/>
      <c r="E96" s="354"/>
      <c r="F96" s="354"/>
      <c r="G96" s="355"/>
      <c r="H96" s="318"/>
      <c r="I96" s="318"/>
      <c r="J96" s="318"/>
      <c r="K96" s="318"/>
      <c r="L96" s="318"/>
      <c r="M96" s="318"/>
      <c r="N96" s="356"/>
      <c r="O96" s="357"/>
      <c r="P96" s="318"/>
      <c r="Q96" s="318"/>
      <c r="R96" s="318"/>
      <c r="S96" s="318"/>
      <c r="T96" s="327" t="str">
        <f t="shared" ca="1" si="0"/>
        <v/>
      </c>
      <c r="U96" s="326"/>
      <c r="V96" s="326"/>
      <c r="W96" s="358"/>
      <c r="X96" s="331"/>
      <c r="Y96" s="329"/>
      <c r="Z96" s="331"/>
      <c r="AA96" s="359"/>
      <c r="AB96" s="331"/>
      <c r="AC96" s="331"/>
      <c r="AD96" s="331"/>
      <c r="AE96" s="331"/>
      <c r="AF96" s="332" t="str">
        <f t="shared" ca="1" si="8"/>
        <v/>
      </c>
      <c r="AG96" s="29"/>
      <c r="AH96" s="29"/>
      <c r="AI96" s="29"/>
      <c r="AJ96" s="29"/>
      <c r="AK96" s="30"/>
      <c r="AL96" s="30"/>
    </row>
    <row r="97" spans="1:38" ht="24.95" customHeight="1" x14ac:dyDescent="0.25">
      <c r="A97" s="74" t="str">
        <f>IF(C97="","",CONCATENATE(13,MID(C97,1,3),IF(B97&lt;10,"00",0),B97))</f>
        <v>13REF001</v>
      </c>
      <c r="B97" s="165">
        <v>1</v>
      </c>
      <c r="C97" s="74" t="s">
        <v>39</v>
      </c>
      <c r="D97" s="75" t="s">
        <v>40</v>
      </c>
      <c r="E97" s="33" t="s">
        <v>41</v>
      </c>
      <c r="F97" s="124" t="s">
        <v>2366</v>
      </c>
      <c r="G97" s="248" t="s">
        <v>324</v>
      </c>
      <c r="H97" s="34" t="s">
        <v>43</v>
      </c>
      <c r="I97" s="34" t="s">
        <v>325</v>
      </c>
      <c r="J97" s="34" t="s">
        <v>45</v>
      </c>
      <c r="K97" s="34">
        <v>198.11</v>
      </c>
      <c r="L97" s="34">
        <v>11140</v>
      </c>
      <c r="M97" s="34" t="s">
        <v>326</v>
      </c>
      <c r="N97" s="264">
        <v>41465</v>
      </c>
      <c r="O97" s="257">
        <v>41835</v>
      </c>
      <c r="P97" s="34" t="s">
        <v>327</v>
      </c>
      <c r="Q97" s="34" t="s">
        <v>328</v>
      </c>
      <c r="R97" s="34"/>
      <c r="S97" s="34">
        <v>0</v>
      </c>
      <c r="T97" s="36" t="str">
        <f t="shared" ca="1" si="0"/>
        <v>Empty</v>
      </c>
      <c r="U97" s="37"/>
      <c r="V97" s="37"/>
      <c r="W97" s="44"/>
      <c r="X97" s="40"/>
      <c r="Y97" s="40"/>
      <c r="Z97" s="40"/>
      <c r="AA97" s="41" t="str">
        <f t="shared" ca="1" si="5"/>
        <v/>
      </c>
      <c r="AB97" s="40"/>
      <c r="AC97" s="40"/>
      <c r="AD97" s="40"/>
      <c r="AE97" s="40"/>
      <c r="AF97" s="309" t="str">
        <f t="shared" ca="1" si="8"/>
        <v/>
      </c>
      <c r="AG97" s="29"/>
      <c r="AH97" s="29"/>
      <c r="AI97" s="29"/>
      <c r="AJ97" s="29"/>
      <c r="AK97" s="30"/>
      <c r="AL97" s="30"/>
    </row>
    <row r="98" spans="1:38" ht="24.95" customHeight="1" x14ac:dyDescent="0.25">
      <c r="A98" s="74" t="str">
        <f>IF(C98="","",CONCATENATE(13,MID(C98,1,3),IF(B98&lt;10,"00",0),B98))</f>
        <v>13REF002</v>
      </c>
      <c r="B98" s="165">
        <v>2</v>
      </c>
      <c r="C98" s="74" t="s">
        <v>39</v>
      </c>
      <c r="D98" s="75" t="s">
        <v>40</v>
      </c>
      <c r="E98" s="33" t="s">
        <v>41</v>
      </c>
      <c r="F98" s="33" t="s">
        <v>723</v>
      </c>
      <c r="G98" s="248" t="s">
        <v>953</v>
      </c>
      <c r="H98" s="34" t="s">
        <v>330</v>
      </c>
      <c r="I98" s="34" t="s">
        <v>954</v>
      </c>
      <c r="J98" s="34" t="s">
        <v>45</v>
      </c>
      <c r="K98" s="34">
        <v>94.12</v>
      </c>
      <c r="L98" s="34" t="s">
        <v>955</v>
      </c>
      <c r="M98" s="34" t="s">
        <v>726</v>
      </c>
      <c r="N98" s="264">
        <v>41298</v>
      </c>
      <c r="O98" s="257">
        <v>41932</v>
      </c>
      <c r="P98" s="34" t="s">
        <v>124</v>
      </c>
      <c r="Q98" s="34" t="s">
        <v>49</v>
      </c>
      <c r="R98" s="34"/>
      <c r="S98" s="34">
        <v>0</v>
      </c>
      <c r="T98" s="36" t="str">
        <f t="shared" ca="1" si="0"/>
        <v>Empty</v>
      </c>
      <c r="U98" s="37"/>
      <c r="V98" s="37"/>
      <c r="W98" s="38"/>
      <c r="X98" s="39"/>
      <c r="Y98" s="39"/>
      <c r="Z98" s="40"/>
      <c r="AA98" s="41" t="str">
        <f t="shared" ca="1" si="5"/>
        <v/>
      </c>
      <c r="AB98" s="40"/>
      <c r="AC98" s="40"/>
      <c r="AD98" s="40"/>
      <c r="AE98" s="40"/>
      <c r="AF98" s="136" t="str">
        <f t="shared" ca="1" si="8"/>
        <v/>
      </c>
      <c r="AG98" s="29"/>
      <c r="AH98" s="29"/>
      <c r="AI98" s="29"/>
      <c r="AJ98" s="29"/>
      <c r="AK98" s="30"/>
      <c r="AL98" s="30"/>
    </row>
    <row r="99" spans="1:38" ht="24.95" customHeight="1" x14ac:dyDescent="0.25">
      <c r="A99" s="74" t="str">
        <f t="shared" ref="A99:A144" si="10">IF(C99="","",CONCATENATE(13,MID(C99,1,3),IF(B99&lt;10,"00",0),B99))</f>
        <v>13REF003</v>
      </c>
      <c r="B99" s="165">
        <v>3</v>
      </c>
      <c r="C99" s="74" t="s">
        <v>39</v>
      </c>
      <c r="D99" s="75" t="s">
        <v>40</v>
      </c>
      <c r="E99" s="33" t="s">
        <v>41</v>
      </c>
      <c r="F99" s="124" t="s">
        <v>3188</v>
      </c>
      <c r="G99" s="251" t="s">
        <v>2201</v>
      </c>
      <c r="H99" s="34" t="s">
        <v>43</v>
      </c>
      <c r="I99" s="34" t="s">
        <v>956</v>
      </c>
      <c r="J99" s="34" t="s">
        <v>180</v>
      </c>
      <c r="K99" s="34">
        <v>509.29</v>
      </c>
      <c r="L99" s="34">
        <v>14343</v>
      </c>
      <c r="M99" s="34" t="s">
        <v>957</v>
      </c>
      <c r="N99" s="264">
        <v>41359</v>
      </c>
      <c r="O99" s="257">
        <v>42313</v>
      </c>
      <c r="P99" s="34" t="s">
        <v>183</v>
      </c>
      <c r="Q99" s="34" t="s">
        <v>125</v>
      </c>
      <c r="R99" s="34"/>
      <c r="S99" s="34">
        <v>0</v>
      </c>
      <c r="T99" s="36" t="str">
        <f t="shared" ca="1" si="0"/>
        <v>Empty</v>
      </c>
      <c r="U99" s="37" t="s">
        <v>958</v>
      </c>
      <c r="V99" s="37"/>
      <c r="W99" s="44">
        <v>42314</v>
      </c>
      <c r="X99" s="40" t="s">
        <v>248</v>
      </c>
      <c r="Y99" s="39" t="s">
        <v>959</v>
      </c>
      <c r="Z99" s="40" t="s">
        <v>49</v>
      </c>
      <c r="AA99" s="41">
        <f t="shared" ca="1" si="5"/>
        <v>1048</v>
      </c>
      <c r="AB99" s="40"/>
      <c r="AC99" s="40"/>
      <c r="AD99" s="40"/>
      <c r="AE99" s="40"/>
      <c r="AF99" s="136" t="str">
        <f t="shared" ca="1" si="8"/>
        <v/>
      </c>
      <c r="AG99" s="29"/>
      <c r="AH99" s="29"/>
      <c r="AI99" s="29"/>
      <c r="AJ99" s="29"/>
      <c r="AK99" s="30"/>
      <c r="AL99" s="30"/>
    </row>
    <row r="100" spans="1:38" ht="24.95" customHeight="1" x14ac:dyDescent="0.25">
      <c r="A100" s="74" t="str">
        <f t="shared" si="10"/>
        <v>13REF004</v>
      </c>
      <c r="B100" s="165">
        <v>4</v>
      </c>
      <c r="C100" s="74" t="s">
        <v>39</v>
      </c>
      <c r="D100" s="75" t="s">
        <v>40</v>
      </c>
      <c r="E100" s="33" t="s">
        <v>41</v>
      </c>
      <c r="F100" s="33" t="s">
        <v>960</v>
      </c>
      <c r="G100" s="248"/>
      <c r="H100" s="34" t="s">
        <v>330</v>
      </c>
      <c r="I100" s="34" t="s">
        <v>961</v>
      </c>
      <c r="J100" s="47" t="s">
        <v>105</v>
      </c>
      <c r="K100" s="34">
        <v>544.99</v>
      </c>
      <c r="L100" s="34" t="s">
        <v>962</v>
      </c>
      <c r="M100" s="34" t="s">
        <v>963</v>
      </c>
      <c r="N100" s="264">
        <v>41450</v>
      </c>
      <c r="O100" s="257"/>
      <c r="P100" s="34" t="s">
        <v>86</v>
      </c>
      <c r="Q100" s="34"/>
      <c r="R100" s="34"/>
      <c r="S100" s="34">
        <v>0</v>
      </c>
      <c r="T100" s="36" t="str">
        <f t="shared" ca="1" si="0"/>
        <v>Empty</v>
      </c>
      <c r="U100" s="37"/>
      <c r="V100" s="37"/>
      <c r="W100" s="44"/>
      <c r="X100" s="40"/>
      <c r="Y100" s="39"/>
      <c r="Z100" s="40"/>
      <c r="AA100" s="41" t="str">
        <f t="shared" ca="1" si="5"/>
        <v/>
      </c>
      <c r="AB100" s="40"/>
      <c r="AC100" s="40"/>
      <c r="AD100" s="40"/>
      <c r="AE100" s="40"/>
      <c r="AF100" s="136" t="str">
        <f t="shared" ca="1" si="8"/>
        <v/>
      </c>
      <c r="AG100" s="29"/>
      <c r="AH100" s="29"/>
      <c r="AI100" s="29"/>
      <c r="AJ100" s="29"/>
      <c r="AK100" s="30"/>
      <c r="AL100" s="30"/>
    </row>
    <row r="101" spans="1:38" ht="24.95" customHeight="1" x14ac:dyDescent="0.25">
      <c r="A101" s="74" t="str">
        <f t="shared" si="10"/>
        <v>13REF005</v>
      </c>
      <c r="B101" s="165">
        <v>5</v>
      </c>
      <c r="C101" s="74" t="s">
        <v>39</v>
      </c>
      <c r="D101" s="75" t="s">
        <v>40</v>
      </c>
      <c r="E101" s="33" t="s">
        <v>41</v>
      </c>
      <c r="F101" s="33" t="s">
        <v>329</v>
      </c>
      <c r="G101" s="248"/>
      <c r="H101" s="34" t="s">
        <v>330</v>
      </c>
      <c r="I101" s="34" t="s">
        <v>331</v>
      </c>
      <c r="J101" s="34" t="s">
        <v>180</v>
      </c>
      <c r="K101" s="34">
        <v>223.59</v>
      </c>
      <c r="L101" s="34" t="s">
        <v>332</v>
      </c>
      <c r="M101" s="47" t="s">
        <v>61</v>
      </c>
      <c r="N101" s="264">
        <v>41466</v>
      </c>
      <c r="O101" s="257"/>
      <c r="P101" s="34" t="s">
        <v>183</v>
      </c>
      <c r="Q101" s="34"/>
      <c r="R101" s="34"/>
      <c r="S101" s="34"/>
      <c r="T101" s="36" t="str">
        <f t="shared" ca="1" si="0"/>
        <v/>
      </c>
      <c r="U101" s="37"/>
      <c r="V101" s="37"/>
      <c r="W101" s="44"/>
      <c r="X101" s="40"/>
      <c r="Y101" s="39"/>
      <c r="Z101" s="40"/>
      <c r="AA101" s="41" t="str">
        <f t="shared" ca="1" si="5"/>
        <v/>
      </c>
      <c r="AB101" s="40"/>
      <c r="AC101" s="40"/>
      <c r="AD101" s="40"/>
      <c r="AE101" s="40"/>
      <c r="AF101" s="136" t="str">
        <f t="shared" ca="1" si="8"/>
        <v/>
      </c>
      <c r="AG101" s="29"/>
      <c r="AH101" s="29"/>
      <c r="AI101" s="29"/>
      <c r="AJ101" s="29"/>
      <c r="AK101" s="30"/>
      <c r="AL101" s="30"/>
    </row>
    <row r="102" spans="1:38" ht="24.95" customHeight="1" x14ac:dyDescent="0.25">
      <c r="A102" s="74" t="str">
        <f t="shared" si="10"/>
        <v>13REF006</v>
      </c>
      <c r="B102" s="165">
        <v>6</v>
      </c>
      <c r="C102" s="74" t="s">
        <v>39</v>
      </c>
      <c r="D102" s="75" t="s">
        <v>40</v>
      </c>
      <c r="E102" s="33" t="s">
        <v>41</v>
      </c>
      <c r="F102" s="33" t="s">
        <v>254</v>
      </c>
      <c r="G102" s="248"/>
      <c r="H102" s="34" t="s">
        <v>43</v>
      </c>
      <c r="I102" s="34" t="s">
        <v>333</v>
      </c>
      <c r="J102" s="34" t="s">
        <v>45</v>
      </c>
      <c r="K102" s="34">
        <v>602.58000000000004</v>
      </c>
      <c r="L102" s="34" t="s">
        <v>256</v>
      </c>
      <c r="M102" s="34" t="s">
        <v>257</v>
      </c>
      <c r="N102" s="264">
        <v>41543</v>
      </c>
      <c r="O102" s="257">
        <v>42793</v>
      </c>
      <c r="P102" s="34" t="s">
        <v>56</v>
      </c>
      <c r="Q102" s="34"/>
      <c r="R102" s="34"/>
      <c r="S102" s="34">
        <v>0</v>
      </c>
      <c r="T102" s="36" t="str">
        <f t="shared" ca="1" si="0"/>
        <v>Empty</v>
      </c>
      <c r="U102" s="37"/>
      <c r="V102" s="379" t="s">
        <v>2449</v>
      </c>
      <c r="W102" s="44">
        <v>42921</v>
      </c>
      <c r="X102" s="40" t="s">
        <v>334</v>
      </c>
      <c r="Y102" s="39" t="s">
        <v>1485</v>
      </c>
      <c r="Z102" s="40" t="s">
        <v>212</v>
      </c>
      <c r="AA102" s="41">
        <f t="shared" ca="1" si="5"/>
        <v>449</v>
      </c>
      <c r="AB102" s="271"/>
      <c r="AC102" s="40"/>
      <c r="AD102" s="40"/>
      <c r="AE102" s="40"/>
      <c r="AF102" s="136" t="str">
        <f t="shared" ca="1" si="8"/>
        <v/>
      </c>
      <c r="AG102" s="369"/>
      <c r="AH102" s="29"/>
      <c r="AI102" s="29"/>
      <c r="AJ102" s="29"/>
      <c r="AK102" s="30"/>
      <c r="AL102" s="30"/>
    </row>
    <row r="103" spans="1:38" ht="24.95" customHeight="1" x14ac:dyDescent="0.25">
      <c r="A103" s="74" t="str">
        <f t="shared" si="10"/>
        <v>13REF007</v>
      </c>
      <c r="B103" s="165">
        <v>7</v>
      </c>
      <c r="C103" s="74" t="s">
        <v>39</v>
      </c>
      <c r="D103" s="75" t="s">
        <v>40</v>
      </c>
      <c r="E103" s="33" t="s">
        <v>41</v>
      </c>
      <c r="F103" s="33" t="s">
        <v>336</v>
      </c>
      <c r="G103" s="248"/>
      <c r="H103" s="34" t="s">
        <v>43</v>
      </c>
      <c r="I103" s="34" t="s">
        <v>337</v>
      </c>
      <c r="J103" s="34" t="s">
        <v>45</v>
      </c>
      <c r="K103" s="34">
        <v>368.23</v>
      </c>
      <c r="L103" s="34" t="s">
        <v>338</v>
      </c>
      <c r="M103" s="34" t="s">
        <v>339</v>
      </c>
      <c r="N103" s="264">
        <v>41506</v>
      </c>
      <c r="O103" s="257">
        <v>42860</v>
      </c>
      <c r="P103" s="34" t="s">
        <v>86</v>
      </c>
      <c r="Q103" s="34" t="s">
        <v>49</v>
      </c>
      <c r="R103" s="34"/>
      <c r="S103" s="34">
        <v>0</v>
      </c>
      <c r="T103" s="36" t="str">
        <f t="shared" ca="1" si="0"/>
        <v>Empty</v>
      </c>
      <c r="U103" s="37" t="s">
        <v>2229</v>
      </c>
      <c r="V103" s="37"/>
      <c r="W103" s="44">
        <v>42860</v>
      </c>
      <c r="X103" s="40" t="s">
        <v>248</v>
      </c>
      <c r="Y103" s="39" t="s">
        <v>2106</v>
      </c>
      <c r="Z103" s="40" t="s">
        <v>49</v>
      </c>
      <c r="AA103" s="41">
        <f t="shared" ca="1" si="5"/>
        <v>509</v>
      </c>
      <c r="AB103" s="40"/>
      <c r="AC103" s="40"/>
      <c r="AD103" s="40"/>
      <c r="AE103" s="40"/>
      <c r="AF103" s="136" t="str">
        <f t="shared" ca="1" si="8"/>
        <v/>
      </c>
      <c r="AG103" s="29"/>
      <c r="AH103" s="29"/>
      <c r="AI103" s="29"/>
      <c r="AJ103" s="29"/>
      <c r="AK103" s="30"/>
      <c r="AL103" s="30"/>
    </row>
    <row r="104" spans="1:38" ht="24.95" customHeight="1" x14ac:dyDescent="0.25">
      <c r="A104" s="74" t="str">
        <f t="shared" si="10"/>
        <v>13REF008</v>
      </c>
      <c r="B104" s="165">
        <v>8</v>
      </c>
      <c r="C104" s="74" t="s">
        <v>39</v>
      </c>
      <c r="D104" s="75" t="s">
        <v>40</v>
      </c>
      <c r="E104" s="33" t="s">
        <v>41</v>
      </c>
      <c r="F104" s="33" t="s">
        <v>340</v>
      </c>
      <c r="G104" s="248"/>
      <c r="H104" s="34" t="s">
        <v>330</v>
      </c>
      <c r="I104" s="34" t="s">
        <v>341</v>
      </c>
      <c r="J104" s="34" t="s">
        <v>45</v>
      </c>
      <c r="K104" s="34">
        <v>338.16</v>
      </c>
      <c r="L104" s="34" t="s">
        <v>342</v>
      </c>
      <c r="M104" s="34">
        <v>52974247</v>
      </c>
      <c r="N104" s="264">
        <v>41450</v>
      </c>
      <c r="O104" s="257"/>
      <c r="P104" s="34" t="s">
        <v>183</v>
      </c>
      <c r="Q104" s="34"/>
      <c r="R104" s="34"/>
      <c r="S104" s="34"/>
      <c r="T104" s="36" t="str">
        <f t="shared" ca="1" si="0"/>
        <v/>
      </c>
      <c r="U104" s="37"/>
      <c r="V104" s="37"/>
      <c r="W104" s="44"/>
      <c r="X104" s="40"/>
      <c r="Y104" s="39"/>
      <c r="Z104" s="40"/>
      <c r="AA104" s="41" t="str">
        <f t="shared" ca="1" si="5"/>
        <v/>
      </c>
      <c r="AB104" s="40"/>
      <c r="AC104" s="40"/>
      <c r="AD104" s="40"/>
      <c r="AE104" s="40"/>
      <c r="AF104" s="136" t="str">
        <f t="shared" ca="1" si="8"/>
        <v/>
      </c>
      <c r="AG104" s="29"/>
      <c r="AH104" s="29"/>
      <c r="AI104" s="29"/>
      <c r="AJ104" s="29"/>
      <c r="AK104" s="30"/>
      <c r="AL104" s="30"/>
    </row>
    <row r="105" spans="1:38" ht="24.95" customHeight="1" x14ac:dyDescent="0.25">
      <c r="A105" s="74" t="str">
        <f t="shared" si="10"/>
        <v>13REF009</v>
      </c>
      <c r="B105" s="165">
        <v>9</v>
      </c>
      <c r="C105" s="74" t="s">
        <v>39</v>
      </c>
      <c r="D105" s="75" t="s">
        <v>40</v>
      </c>
      <c r="E105" s="33" t="s">
        <v>41</v>
      </c>
      <c r="F105" s="33" t="s">
        <v>343</v>
      </c>
      <c r="G105" s="248"/>
      <c r="H105" s="34" t="s">
        <v>330</v>
      </c>
      <c r="I105" s="34" t="s">
        <v>344</v>
      </c>
      <c r="J105" s="34" t="s">
        <v>180</v>
      </c>
      <c r="K105" s="34">
        <v>375.95</v>
      </c>
      <c r="L105" s="34" t="s">
        <v>345</v>
      </c>
      <c r="M105" s="34" t="s">
        <v>346</v>
      </c>
      <c r="N105" s="264">
        <v>41281</v>
      </c>
      <c r="O105" s="257"/>
      <c r="P105" s="34" t="s">
        <v>86</v>
      </c>
      <c r="Q105" s="34"/>
      <c r="R105" s="34"/>
      <c r="S105" s="34"/>
      <c r="T105" s="36" t="str">
        <f t="shared" ca="1" si="0"/>
        <v/>
      </c>
      <c r="U105" s="37"/>
      <c r="V105" s="37"/>
      <c r="W105" s="44"/>
      <c r="X105" s="40"/>
      <c r="Y105" s="39"/>
      <c r="Z105" s="40"/>
      <c r="AA105" s="41" t="str">
        <f t="shared" ca="1" si="5"/>
        <v/>
      </c>
      <c r="AB105" s="40"/>
      <c r="AC105" s="40"/>
      <c r="AD105" s="40"/>
      <c r="AE105" s="40"/>
      <c r="AF105" s="136" t="str">
        <f t="shared" ca="1" si="8"/>
        <v/>
      </c>
      <c r="AG105" s="29"/>
      <c r="AH105" s="29"/>
      <c r="AI105" s="29"/>
      <c r="AJ105" s="29"/>
      <c r="AK105" s="30"/>
      <c r="AL105" s="30"/>
    </row>
    <row r="106" spans="1:38" ht="24.95" customHeight="1" x14ac:dyDescent="0.25">
      <c r="A106" s="74" t="str">
        <f t="shared" si="10"/>
        <v>13REF010</v>
      </c>
      <c r="B106" s="165">
        <v>10</v>
      </c>
      <c r="C106" s="74" t="s">
        <v>39</v>
      </c>
      <c r="D106" s="75" t="s">
        <v>40</v>
      </c>
      <c r="E106" s="33" t="s">
        <v>41</v>
      </c>
      <c r="F106" s="33" t="s">
        <v>347</v>
      </c>
      <c r="G106" s="248"/>
      <c r="H106" s="34" t="s">
        <v>330</v>
      </c>
      <c r="I106" s="34" t="s">
        <v>344</v>
      </c>
      <c r="J106" s="34" t="s">
        <v>45</v>
      </c>
      <c r="K106" s="34">
        <v>337.34</v>
      </c>
      <c r="L106" s="34" t="s">
        <v>348</v>
      </c>
      <c r="M106" s="34" t="s">
        <v>349</v>
      </c>
      <c r="N106" s="264">
        <v>41450</v>
      </c>
      <c r="O106" s="257"/>
      <c r="P106" s="34" t="s">
        <v>86</v>
      </c>
      <c r="Q106" s="34"/>
      <c r="R106" s="34"/>
      <c r="S106" s="34"/>
      <c r="T106" s="36" t="str">
        <f t="shared" ca="1" si="0"/>
        <v/>
      </c>
      <c r="U106" s="37"/>
      <c r="V106" s="37"/>
      <c r="W106" s="44"/>
      <c r="X106" s="40"/>
      <c r="Y106" s="39"/>
      <c r="Z106" s="40"/>
      <c r="AA106" s="41" t="str">
        <f t="shared" ca="1" si="5"/>
        <v/>
      </c>
      <c r="AB106" s="40"/>
      <c r="AC106" s="40"/>
      <c r="AD106" s="40"/>
      <c r="AE106" s="40"/>
      <c r="AF106" s="136" t="str">
        <f t="shared" ca="1" si="8"/>
        <v/>
      </c>
      <c r="AG106" s="29"/>
      <c r="AH106" s="29"/>
      <c r="AI106" s="29"/>
      <c r="AJ106" s="29"/>
      <c r="AK106" s="30"/>
      <c r="AL106" s="30"/>
    </row>
    <row r="107" spans="1:38" ht="24.95" customHeight="1" x14ac:dyDescent="0.25">
      <c r="A107" s="76" t="str">
        <f t="shared" si="10"/>
        <v>13SAM011</v>
      </c>
      <c r="B107" s="166">
        <v>11</v>
      </c>
      <c r="C107" s="76" t="s">
        <v>57</v>
      </c>
      <c r="D107" s="77" t="s">
        <v>40</v>
      </c>
      <c r="E107" s="33" t="s">
        <v>250</v>
      </c>
      <c r="F107" s="33" t="s">
        <v>350</v>
      </c>
      <c r="G107" s="248"/>
      <c r="H107" s="34" t="s">
        <v>60</v>
      </c>
      <c r="I107" s="34" t="s">
        <v>351</v>
      </c>
      <c r="J107" s="34" t="s">
        <v>45</v>
      </c>
      <c r="K107" s="34">
        <v>474.44</v>
      </c>
      <c r="L107" s="47" t="s">
        <v>61</v>
      </c>
      <c r="M107" s="47" t="s">
        <v>61</v>
      </c>
      <c r="N107" s="264">
        <v>41481</v>
      </c>
      <c r="O107" s="257">
        <v>41806</v>
      </c>
      <c r="P107" s="34" t="s">
        <v>352</v>
      </c>
      <c r="Q107" s="34" t="s">
        <v>212</v>
      </c>
      <c r="R107" s="34"/>
      <c r="S107" s="34">
        <v>81.8</v>
      </c>
      <c r="T107" s="36">
        <f t="shared" ca="1" si="0"/>
        <v>1548</v>
      </c>
      <c r="U107" s="37" t="s">
        <v>353</v>
      </c>
      <c r="V107" s="37" t="s">
        <v>354</v>
      </c>
      <c r="W107" s="44"/>
      <c r="X107" s="40"/>
      <c r="Y107" s="39"/>
      <c r="Z107" s="40"/>
      <c r="AA107" s="41" t="str">
        <f t="shared" ca="1" si="5"/>
        <v/>
      </c>
      <c r="AB107" s="40"/>
      <c r="AC107" s="40"/>
      <c r="AD107" s="40"/>
      <c r="AE107" s="40"/>
      <c r="AF107" s="136" t="str">
        <f t="shared" ca="1" si="8"/>
        <v/>
      </c>
      <c r="AG107" s="29"/>
      <c r="AH107" s="29"/>
      <c r="AI107" s="29"/>
      <c r="AJ107" s="29"/>
      <c r="AK107" s="30"/>
      <c r="AL107" s="30"/>
    </row>
    <row r="108" spans="1:38" ht="24.95" customHeight="1" x14ac:dyDescent="0.25">
      <c r="A108" s="76" t="str">
        <f t="shared" si="10"/>
        <v>13SAM012</v>
      </c>
      <c r="B108" s="166">
        <v>12</v>
      </c>
      <c r="C108" s="76" t="s">
        <v>57</v>
      </c>
      <c r="D108" s="77" t="s">
        <v>40</v>
      </c>
      <c r="E108" s="33" t="s">
        <v>250</v>
      </c>
      <c r="F108" s="33" t="s">
        <v>355</v>
      </c>
      <c r="G108" s="248"/>
      <c r="H108" s="34" t="s">
        <v>60</v>
      </c>
      <c r="I108" s="34" t="s">
        <v>356</v>
      </c>
      <c r="J108" s="34" t="s">
        <v>45</v>
      </c>
      <c r="K108" s="34">
        <v>274.36</v>
      </c>
      <c r="L108" s="47" t="s">
        <v>61</v>
      </c>
      <c r="M108" s="47" t="s">
        <v>61</v>
      </c>
      <c r="N108" s="264">
        <v>41481</v>
      </c>
      <c r="O108" s="257">
        <v>41845</v>
      </c>
      <c r="P108" s="34" t="s">
        <v>357</v>
      </c>
      <c r="Q108" s="34" t="s">
        <v>358</v>
      </c>
      <c r="R108" s="34"/>
      <c r="S108" s="34">
        <v>194.4</v>
      </c>
      <c r="T108" s="36">
        <f t="shared" ca="1" si="0"/>
        <v>1509</v>
      </c>
      <c r="U108" s="37" t="s">
        <v>353</v>
      </c>
      <c r="V108" s="37" t="s">
        <v>359</v>
      </c>
      <c r="W108" s="44"/>
      <c r="X108" s="40"/>
      <c r="Y108" s="39"/>
      <c r="Z108" s="40"/>
      <c r="AA108" s="41"/>
      <c r="AB108" s="40"/>
      <c r="AC108" s="40"/>
      <c r="AD108" s="40"/>
      <c r="AE108" s="40"/>
      <c r="AF108" s="136" t="str">
        <f t="shared" ca="1" si="8"/>
        <v/>
      </c>
      <c r="AG108" s="29"/>
      <c r="AH108" s="29"/>
      <c r="AI108" s="29"/>
      <c r="AJ108" s="29"/>
      <c r="AK108" s="30"/>
      <c r="AL108" s="30"/>
    </row>
    <row r="109" spans="1:38" ht="24.95" customHeight="1" x14ac:dyDescent="0.25">
      <c r="A109" s="76" t="str">
        <f t="shared" si="10"/>
        <v>13SAM013</v>
      </c>
      <c r="B109" s="166">
        <v>13</v>
      </c>
      <c r="C109" s="76" t="s">
        <v>57</v>
      </c>
      <c r="D109" s="77" t="s">
        <v>40</v>
      </c>
      <c r="E109" s="33" t="s">
        <v>250</v>
      </c>
      <c r="F109" s="33" t="s">
        <v>360</v>
      </c>
      <c r="G109" s="248"/>
      <c r="H109" s="34" t="s">
        <v>60</v>
      </c>
      <c r="I109" s="34" t="s">
        <v>361</v>
      </c>
      <c r="J109" s="34" t="s">
        <v>45</v>
      </c>
      <c r="K109" s="34">
        <v>478.55</v>
      </c>
      <c r="L109" s="47" t="s">
        <v>61</v>
      </c>
      <c r="M109" s="47" t="s">
        <v>61</v>
      </c>
      <c r="N109" s="264">
        <v>41481</v>
      </c>
      <c r="O109" s="257">
        <v>41845</v>
      </c>
      <c r="P109" s="34" t="s">
        <v>362</v>
      </c>
      <c r="Q109" s="34" t="s">
        <v>363</v>
      </c>
      <c r="R109" s="34"/>
      <c r="S109" s="34">
        <v>232.1</v>
      </c>
      <c r="T109" s="36">
        <f t="shared" ca="1" si="0"/>
        <v>1509</v>
      </c>
      <c r="U109" s="37" t="s">
        <v>353</v>
      </c>
      <c r="V109" s="37" t="s">
        <v>364</v>
      </c>
      <c r="W109" s="44"/>
      <c r="X109" s="40"/>
      <c r="Y109" s="39"/>
      <c r="Z109" s="40"/>
      <c r="AA109" s="41"/>
      <c r="AB109" s="40"/>
      <c r="AC109" s="40"/>
      <c r="AD109" s="40"/>
      <c r="AE109" s="40"/>
      <c r="AF109" s="136" t="str">
        <f t="shared" ca="1" si="8"/>
        <v/>
      </c>
      <c r="AG109" s="29"/>
      <c r="AH109" s="29"/>
      <c r="AI109" s="29"/>
      <c r="AJ109" s="29"/>
      <c r="AK109" s="30"/>
      <c r="AL109" s="30"/>
    </row>
    <row r="110" spans="1:38" ht="24.95" customHeight="1" x14ac:dyDescent="0.25">
      <c r="A110" s="76" t="str">
        <f t="shared" si="10"/>
        <v>13SAM014</v>
      </c>
      <c r="B110" s="166">
        <v>14</v>
      </c>
      <c r="C110" s="76" t="s">
        <v>57</v>
      </c>
      <c r="D110" s="77" t="s">
        <v>40</v>
      </c>
      <c r="E110" s="33" t="s">
        <v>250</v>
      </c>
      <c r="F110" s="33" t="s">
        <v>365</v>
      </c>
      <c r="G110" s="248"/>
      <c r="H110" s="34" t="s">
        <v>60</v>
      </c>
      <c r="I110" s="34" t="s">
        <v>366</v>
      </c>
      <c r="J110" s="34" t="s">
        <v>45</v>
      </c>
      <c r="K110" s="34">
        <v>494.98</v>
      </c>
      <c r="L110" s="47" t="s">
        <v>61</v>
      </c>
      <c r="M110" s="47" t="s">
        <v>61</v>
      </c>
      <c r="N110" s="264">
        <v>41481</v>
      </c>
      <c r="O110" s="257">
        <v>41822</v>
      </c>
      <c r="P110" s="34" t="s">
        <v>367</v>
      </c>
      <c r="Q110" s="34" t="s">
        <v>212</v>
      </c>
      <c r="R110" s="34"/>
      <c r="S110" s="34">
        <v>88.4</v>
      </c>
      <c r="T110" s="36">
        <f t="shared" ca="1" si="0"/>
        <v>1532</v>
      </c>
      <c r="U110" s="37" t="s">
        <v>353</v>
      </c>
      <c r="V110" s="37" t="s">
        <v>368</v>
      </c>
      <c r="W110" s="44"/>
      <c r="X110" s="40"/>
      <c r="Y110" s="39"/>
      <c r="Z110" s="40"/>
      <c r="AA110" s="41"/>
      <c r="AB110" s="40"/>
      <c r="AC110" s="40"/>
      <c r="AD110" s="40"/>
      <c r="AE110" s="40"/>
      <c r="AF110" s="136" t="str">
        <f t="shared" ca="1" si="8"/>
        <v/>
      </c>
      <c r="AG110" s="29"/>
      <c r="AH110" s="29"/>
      <c r="AI110" s="29"/>
      <c r="AJ110" s="29"/>
      <c r="AK110" s="30"/>
      <c r="AL110" s="30"/>
    </row>
    <row r="111" spans="1:38" ht="24.95" customHeight="1" x14ac:dyDescent="0.25">
      <c r="A111" s="76" t="str">
        <f t="shared" si="10"/>
        <v>13SAM015</v>
      </c>
      <c r="B111" s="166">
        <v>15</v>
      </c>
      <c r="C111" s="76" t="s">
        <v>57</v>
      </c>
      <c r="D111" s="77" t="s">
        <v>40</v>
      </c>
      <c r="E111" s="33" t="s">
        <v>250</v>
      </c>
      <c r="F111" s="33" t="s">
        <v>369</v>
      </c>
      <c r="G111" s="248"/>
      <c r="H111" s="34" t="s">
        <v>60</v>
      </c>
      <c r="I111" s="34" t="s">
        <v>370</v>
      </c>
      <c r="J111" s="34" t="s">
        <v>45</v>
      </c>
      <c r="K111" s="34">
        <v>628.6</v>
      </c>
      <c r="L111" s="47" t="s">
        <v>61</v>
      </c>
      <c r="M111" s="47" t="s">
        <v>61</v>
      </c>
      <c r="N111" s="264">
        <v>41481</v>
      </c>
      <c r="O111" s="257">
        <v>41824</v>
      </c>
      <c r="P111" s="34" t="s">
        <v>371</v>
      </c>
      <c r="Q111" s="34" t="s">
        <v>212</v>
      </c>
      <c r="R111" s="34"/>
      <c r="S111" s="34">
        <v>28.8</v>
      </c>
      <c r="T111" s="36">
        <f t="shared" ca="1" si="0"/>
        <v>1530</v>
      </c>
      <c r="U111" s="37" t="s">
        <v>353</v>
      </c>
      <c r="V111" s="37" t="s">
        <v>372</v>
      </c>
      <c r="W111" s="44"/>
      <c r="X111" s="40"/>
      <c r="Y111" s="39"/>
      <c r="Z111" s="40"/>
      <c r="AA111" s="41"/>
      <c r="AB111" s="40"/>
      <c r="AC111" s="40"/>
      <c r="AD111" s="40"/>
      <c r="AE111" s="40"/>
      <c r="AF111" s="136" t="str">
        <f t="shared" ca="1" si="8"/>
        <v/>
      </c>
      <c r="AG111" s="29"/>
      <c r="AH111" s="29"/>
      <c r="AI111" s="29"/>
      <c r="AJ111" s="29"/>
      <c r="AK111" s="30"/>
      <c r="AL111" s="30"/>
    </row>
    <row r="112" spans="1:38" ht="24.95" customHeight="1" x14ac:dyDescent="0.25">
      <c r="A112" s="76" t="str">
        <f t="shared" si="10"/>
        <v>13SAM016</v>
      </c>
      <c r="B112" s="166">
        <v>16</v>
      </c>
      <c r="C112" s="76" t="s">
        <v>57</v>
      </c>
      <c r="D112" s="77" t="s">
        <v>40</v>
      </c>
      <c r="E112" s="33" t="s">
        <v>250</v>
      </c>
      <c r="F112" s="33" t="s">
        <v>373</v>
      </c>
      <c r="G112" s="248"/>
      <c r="H112" s="34" t="s">
        <v>60</v>
      </c>
      <c r="I112" s="34" t="s">
        <v>374</v>
      </c>
      <c r="J112" s="34" t="s">
        <v>45</v>
      </c>
      <c r="K112" s="34">
        <v>327.85</v>
      </c>
      <c r="L112" s="47" t="s">
        <v>61</v>
      </c>
      <c r="M112" s="47" t="s">
        <v>61</v>
      </c>
      <c r="N112" s="264">
        <v>41485</v>
      </c>
      <c r="O112" s="257">
        <v>41809</v>
      </c>
      <c r="P112" s="34" t="s">
        <v>371</v>
      </c>
      <c r="Q112" s="34" t="s">
        <v>212</v>
      </c>
      <c r="R112" s="34"/>
      <c r="S112" s="34">
        <v>143.80000000000001</v>
      </c>
      <c r="T112" s="36">
        <f t="shared" ca="1" si="0"/>
        <v>1545</v>
      </c>
      <c r="U112" s="37" t="s">
        <v>353</v>
      </c>
      <c r="V112" s="37" t="s">
        <v>375</v>
      </c>
      <c r="W112" s="44"/>
      <c r="X112" s="40"/>
      <c r="Y112" s="39"/>
      <c r="Z112" s="40"/>
      <c r="AA112" s="41"/>
      <c r="AB112" s="40"/>
      <c r="AC112" s="40"/>
      <c r="AD112" s="40"/>
      <c r="AE112" s="40"/>
      <c r="AF112" s="136" t="str">
        <f t="shared" ca="1" si="8"/>
        <v/>
      </c>
      <c r="AG112" s="29"/>
      <c r="AH112" s="29"/>
      <c r="AI112" s="29"/>
      <c r="AJ112" s="29"/>
      <c r="AK112" s="30"/>
      <c r="AL112" s="30"/>
    </row>
    <row r="113" spans="1:38" ht="24.95" customHeight="1" x14ac:dyDescent="0.25">
      <c r="A113" s="76" t="str">
        <f t="shared" si="10"/>
        <v>13SAM017</v>
      </c>
      <c r="B113" s="166">
        <v>17</v>
      </c>
      <c r="C113" s="76" t="s">
        <v>57</v>
      </c>
      <c r="D113" s="77" t="s">
        <v>40</v>
      </c>
      <c r="E113" s="33" t="s">
        <v>376</v>
      </c>
      <c r="F113" s="33" t="s">
        <v>377</v>
      </c>
      <c r="G113" s="248"/>
      <c r="H113" s="34" t="s">
        <v>60</v>
      </c>
      <c r="I113" s="34">
        <v>21395</v>
      </c>
      <c r="J113" s="34" t="s">
        <v>45</v>
      </c>
      <c r="K113" s="34">
        <v>337.73</v>
      </c>
      <c r="L113" s="47" t="s">
        <v>61</v>
      </c>
      <c r="M113" s="47" t="s">
        <v>61</v>
      </c>
      <c r="N113" s="264">
        <v>41554</v>
      </c>
      <c r="O113" s="257">
        <v>41562</v>
      </c>
      <c r="P113" s="34" t="s">
        <v>183</v>
      </c>
      <c r="Q113" s="34" t="s">
        <v>212</v>
      </c>
      <c r="R113" s="34"/>
      <c r="S113" s="34">
        <v>40.369999999999997</v>
      </c>
      <c r="T113" s="36">
        <f t="shared" ca="1" si="0"/>
        <v>1789</v>
      </c>
      <c r="U113" s="37" t="s">
        <v>378</v>
      </c>
      <c r="V113" s="37" t="s">
        <v>379</v>
      </c>
      <c r="W113" s="44"/>
      <c r="X113" s="40"/>
      <c r="Y113" s="39"/>
      <c r="Z113" s="40"/>
      <c r="AA113" s="41"/>
      <c r="AB113" s="40"/>
      <c r="AC113" s="40"/>
      <c r="AD113" s="40"/>
      <c r="AE113" s="40"/>
      <c r="AF113" s="136" t="str">
        <f t="shared" ca="1" si="8"/>
        <v/>
      </c>
      <c r="AG113" s="29"/>
      <c r="AH113" s="29"/>
      <c r="AI113" s="29"/>
      <c r="AJ113" s="29"/>
      <c r="AK113" s="30"/>
      <c r="AL113" s="30"/>
    </row>
    <row r="114" spans="1:38" ht="24.95" customHeight="1" x14ac:dyDescent="0.25">
      <c r="A114" s="76" t="str">
        <f t="shared" si="10"/>
        <v>13SAM018</v>
      </c>
      <c r="B114" s="166">
        <v>18</v>
      </c>
      <c r="C114" s="76" t="s">
        <v>57</v>
      </c>
      <c r="D114" s="77" t="s">
        <v>40</v>
      </c>
      <c r="E114" s="33" t="s">
        <v>376</v>
      </c>
      <c r="F114" s="33" t="s">
        <v>380</v>
      </c>
      <c r="G114" s="248"/>
      <c r="H114" s="34" t="s">
        <v>60</v>
      </c>
      <c r="I114" s="34">
        <v>21396</v>
      </c>
      <c r="J114" s="34" t="s">
        <v>45</v>
      </c>
      <c r="K114" s="34">
        <v>337.73</v>
      </c>
      <c r="L114" s="47" t="s">
        <v>61</v>
      </c>
      <c r="M114" s="47" t="s">
        <v>61</v>
      </c>
      <c r="N114" s="264">
        <v>41554</v>
      </c>
      <c r="O114" s="257">
        <v>41562</v>
      </c>
      <c r="P114" s="34" t="s">
        <v>381</v>
      </c>
      <c r="Q114" s="34" t="s">
        <v>212</v>
      </c>
      <c r="R114" s="34"/>
      <c r="S114" s="34">
        <v>38.659999999999997</v>
      </c>
      <c r="T114" s="36">
        <f t="shared" ca="1" si="0"/>
        <v>1789</v>
      </c>
      <c r="U114" s="37" t="s">
        <v>378</v>
      </c>
      <c r="V114" s="37" t="s">
        <v>382</v>
      </c>
      <c r="W114" s="44"/>
      <c r="X114" s="40"/>
      <c r="Y114" s="39"/>
      <c r="Z114" s="40"/>
      <c r="AA114" s="41"/>
      <c r="AB114" s="40"/>
      <c r="AC114" s="40"/>
      <c r="AD114" s="40"/>
      <c r="AE114" s="40"/>
      <c r="AF114" s="136" t="str">
        <f t="shared" ca="1" si="8"/>
        <v/>
      </c>
      <c r="AG114" s="29"/>
      <c r="AH114" s="29"/>
      <c r="AI114" s="29"/>
      <c r="AJ114" s="29"/>
      <c r="AK114" s="30"/>
      <c r="AL114" s="30"/>
    </row>
    <row r="115" spans="1:38" ht="24.95" customHeight="1" x14ac:dyDescent="0.25">
      <c r="A115" s="76" t="str">
        <f t="shared" si="10"/>
        <v>13SAM019</v>
      </c>
      <c r="B115" s="166">
        <v>19</v>
      </c>
      <c r="C115" s="76" t="s">
        <v>57</v>
      </c>
      <c r="D115" s="77" t="s">
        <v>40</v>
      </c>
      <c r="E115" s="33" t="s">
        <v>376</v>
      </c>
      <c r="F115" s="33" t="s">
        <v>383</v>
      </c>
      <c r="G115" s="248"/>
      <c r="H115" s="34" t="s">
        <v>60</v>
      </c>
      <c r="I115" s="34">
        <v>21399</v>
      </c>
      <c r="J115" s="34" t="s">
        <v>45</v>
      </c>
      <c r="K115" s="34">
        <v>299.76</v>
      </c>
      <c r="L115" s="47" t="s">
        <v>61</v>
      </c>
      <c r="M115" s="47" t="s">
        <v>61</v>
      </c>
      <c r="N115" s="264">
        <v>41554</v>
      </c>
      <c r="O115" s="257">
        <v>41562</v>
      </c>
      <c r="P115" s="34" t="s">
        <v>183</v>
      </c>
      <c r="Q115" s="34" t="s">
        <v>212</v>
      </c>
      <c r="R115" s="34"/>
      <c r="S115" s="34">
        <v>40.090000000000003</v>
      </c>
      <c r="T115" s="36">
        <f t="shared" ca="1" si="0"/>
        <v>1789</v>
      </c>
      <c r="U115" s="37" t="s">
        <v>378</v>
      </c>
      <c r="V115" s="37" t="s">
        <v>384</v>
      </c>
      <c r="W115" s="44"/>
      <c r="X115" s="40"/>
      <c r="Y115" s="39"/>
      <c r="Z115" s="40"/>
      <c r="AA115" s="41"/>
      <c r="AB115" s="40"/>
      <c r="AC115" s="40"/>
      <c r="AD115" s="40"/>
      <c r="AE115" s="40"/>
      <c r="AF115" s="136" t="str">
        <f t="shared" ca="1" si="8"/>
        <v/>
      </c>
      <c r="AG115" s="29"/>
      <c r="AH115" s="29"/>
      <c r="AI115" s="29"/>
      <c r="AJ115" s="29"/>
      <c r="AK115" s="30"/>
      <c r="AL115" s="30"/>
    </row>
    <row r="116" spans="1:38" ht="24.95" customHeight="1" x14ac:dyDescent="0.25">
      <c r="A116" s="76" t="str">
        <f t="shared" si="10"/>
        <v>13SAM020</v>
      </c>
      <c r="B116" s="166">
        <v>20</v>
      </c>
      <c r="C116" s="76" t="s">
        <v>57</v>
      </c>
      <c r="D116" s="77" t="s">
        <v>40</v>
      </c>
      <c r="E116" s="33" t="s">
        <v>376</v>
      </c>
      <c r="F116" s="33" t="s">
        <v>385</v>
      </c>
      <c r="G116" s="248"/>
      <c r="H116" s="34" t="s">
        <v>60</v>
      </c>
      <c r="I116" s="47" t="s">
        <v>61</v>
      </c>
      <c r="J116" s="34" t="s">
        <v>45</v>
      </c>
      <c r="K116" s="34">
        <v>395.5</v>
      </c>
      <c r="L116" s="47" t="s">
        <v>61</v>
      </c>
      <c r="M116" s="47" t="s">
        <v>61</v>
      </c>
      <c r="N116" s="264">
        <v>41555</v>
      </c>
      <c r="O116" s="257">
        <v>41562</v>
      </c>
      <c r="P116" s="34" t="s">
        <v>183</v>
      </c>
      <c r="Q116" s="34" t="s">
        <v>212</v>
      </c>
      <c r="R116" s="34"/>
      <c r="S116" s="34">
        <v>41.45</v>
      </c>
      <c r="T116" s="36">
        <f t="shared" ca="1" si="0"/>
        <v>1789</v>
      </c>
      <c r="U116" s="37" t="s">
        <v>378</v>
      </c>
      <c r="V116" s="37" t="s">
        <v>386</v>
      </c>
      <c r="W116" s="44"/>
      <c r="X116" s="40"/>
      <c r="Y116" s="39"/>
      <c r="Z116" s="40"/>
      <c r="AA116" s="41" t="str">
        <f t="shared" ca="1" si="5"/>
        <v/>
      </c>
      <c r="AB116" s="40"/>
      <c r="AC116" s="40"/>
      <c r="AD116" s="40"/>
      <c r="AE116" s="40"/>
      <c r="AF116" s="136" t="str">
        <f t="shared" ca="1" si="8"/>
        <v/>
      </c>
      <c r="AG116" s="29"/>
      <c r="AH116" s="29"/>
      <c r="AI116" s="29"/>
      <c r="AJ116" s="29"/>
      <c r="AK116" s="30"/>
      <c r="AL116" s="30"/>
    </row>
    <row r="117" spans="1:38" ht="24.95" customHeight="1" x14ac:dyDescent="0.25">
      <c r="A117" s="76" t="str">
        <f t="shared" si="10"/>
        <v>13SAM021</v>
      </c>
      <c r="B117" s="166">
        <v>21</v>
      </c>
      <c r="C117" s="76" t="s">
        <v>57</v>
      </c>
      <c r="D117" s="77" t="s">
        <v>40</v>
      </c>
      <c r="E117" s="33" t="s">
        <v>376</v>
      </c>
      <c r="F117" s="33" t="s">
        <v>387</v>
      </c>
      <c r="G117" s="248"/>
      <c r="H117" s="34" t="s">
        <v>60</v>
      </c>
      <c r="I117" s="47" t="s">
        <v>61</v>
      </c>
      <c r="J117" s="34" t="s">
        <v>45</v>
      </c>
      <c r="K117" s="34">
        <v>365.5</v>
      </c>
      <c r="L117" s="47" t="s">
        <v>61</v>
      </c>
      <c r="M117" s="47" t="s">
        <v>61</v>
      </c>
      <c r="N117" s="264">
        <v>41556</v>
      </c>
      <c r="O117" s="257">
        <v>41563</v>
      </c>
      <c r="P117" s="34" t="s">
        <v>388</v>
      </c>
      <c r="Q117" s="34" t="s">
        <v>212</v>
      </c>
      <c r="R117" s="34"/>
      <c r="S117" s="34">
        <v>26.55</v>
      </c>
      <c r="T117" s="36">
        <f t="shared" ca="1" si="0"/>
        <v>1788</v>
      </c>
      <c r="U117" s="37" t="s">
        <v>378</v>
      </c>
      <c r="V117" s="37" t="s">
        <v>389</v>
      </c>
      <c r="W117" s="44"/>
      <c r="X117" s="40"/>
      <c r="Y117" s="39"/>
      <c r="Z117" s="40"/>
      <c r="AA117" s="41" t="str">
        <f t="shared" ca="1" si="5"/>
        <v/>
      </c>
      <c r="AB117" s="40"/>
      <c r="AC117" s="40"/>
      <c r="AD117" s="40"/>
      <c r="AE117" s="40"/>
      <c r="AF117" s="136" t="str">
        <f t="shared" ca="1" si="8"/>
        <v/>
      </c>
      <c r="AG117" s="29"/>
      <c r="AH117" s="29"/>
      <c r="AI117" s="29"/>
      <c r="AJ117" s="29"/>
      <c r="AK117" s="30"/>
      <c r="AL117" s="30"/>
    </row>
    <row r="118" spans="1:38" ht="24.95" customHeight="1" x14ac:dyDescent="0.25">
      <c r="A118" s="76" t="str">
        <f t="shared" si="10"/>
        <v>13SAM022</v>
      </c>
      <c r="B118" s="166">
        <v>22</v>
      </c>
      <c r="C118" s="76" t="s">
        <v>57</v>
      </c>
      <c r="D118" s="77" t="s">
        <v>40</v>
      </c>
      <c r="E118" s="33" t="s">
        <v>376</v>
      </c>
      <c r="F118" s="33" t="s">
        <v>390</v>
      </c>
      <c r="G118" s="248"/>
      <c r="H118" s="34" t="s">
        <v>60</v>
      </c>
      <c r="I118" s="47" t="s">
        <v>61</v>
      </c>
      <c r="J118" s="34" t="s">
        <v>45</v>
      </c>
      <c r="K118" s="34">
        <v>352.01</v>
      </c>
      <c r="L118" s="47" t="s">
        <v>61</v>
      </c>
      <c r="M118" s="47" t="s">
        <v>61</v>
      </c>
      <c r="N118" s="264">
        <v>41562</v>
      </c>
      <c r="O118" s="257">
        <v>41563</v>
      </c>
      <c r="P118" s="34" t="s">
        <v>183</v>
      </c>
      <c r="Q118" s="34" t="s">
        <v>212</v>
      </c>
      <c r="R118" s="34"/>
      <c r="S118" s="34">
        <v>352.01</v>
      </c>
      <c r="T118" s="36">
        <f t="shared" ca="1" si="0"/>
        <v>1788</v>
      </c>
      <c r="U118" s="37" t="s">
        <v>378</v>
      </c>
      <c r="V118" s="37" t="s">
        <v>391</v>
      </c>
      <c r="W118" s="44"/>
      <c r="X118" s="40"/>
      <c r="Y118" s="39"/>
      <c r="Z118" s="40"/>
      <c r="AA118" s="41" t="str">
        <f t="shared" ca="1" si="5"/>
        <v/>
      </c>
      <c r="AB118" s="40"/>
      <c r="AC118" s="40"/>
      <c r="AD118" s="40"/>
      <c r="AE118" s="40"/>
      <c r="AF118" s="136" t="str">
        <f t="shared" ca="1" si="8"/>
        <v/>
      </c>
      <c r="AG118" s="29"/>
      <c r="AH118" s="29"/>
      <c r="AI118" s="29"/>
      <c r="AJ118" s="29"/>
      <c r="AK118" s="30"/>
      <c r="AL118" s="30"/>
    </row>
    <row r="119" spans="1:38" ht="24.95" customHeight="1" x14ac:dyDescent="0.25">
      <c r="A119" s="76" t="str">
        <f t="shared" si="10"/>
        <v>13SAM023</v>
      </c>
      <c r="B119" s="166">
        <v>23</v>
      </c>
      <c r="C119" s="76" t="s">
        <v>57</v>
      </c>
      <c r="D119" s="77" t="s">
        <v>40</v>
      </c>
      <c r="E119" s="33" t="s">
        <v>392</v>
      </c>
      <c r="F119" s="33" t="s">
        <v>393</v>
      </c>
      <c r="G119" s="248"/>
      <c r="H119" s="34" t="s">
        <v>60</v>
      </c>
      <c r="I119" s="47" t="s">
        <v>61</v>
      </c>
      <c r="J119" s="47" t="s">
        <v>394</v>
      </c>
      <c r="K119" s="47" t="s">
        <v>61</v>
      </c>
      <c r="L119" s="47" t="s">
        <v>61</v>
      </c>
      <c r="M119" s="47" t="s">
        <v>61</v>
      </c>
      <c r="N119" s="264">
        <v>41401</v>
      </c>
      <c r="O119" s="257"/>
      <c r="P119" s="34" t="s">
        <v>395</v>
      </c>
      <c r="Q119" s="34"/>
      <c r="R119" s="34"/>
      <c r="S119" s="34"/>
      <c r="T119" s="36" t="str">
        <f t="shared" ca="1" si="0"/>
        <v/>
      </c>
      <c r="U119" s="37"/>
      <c r="V119" s="37" t="s">
        <v>396</v>
      </c>
      <c r="W119" s="44"/>
      <c r="X119" s="40"/>
      <c r="Y119" s="39"/>
      <c r="Z119" s="40"/>
      <c r="AA119" s="41" t="str">
        <f t="shared" ca="1" si="5"/>
        <v/>
      </c>
      <c r="AB119" s="40"/>
      <c r="AC119" s="40"/>
      <c r="AD119" s="40"/>
      <c r="AE119" s="40"/>
      <c r="AF119" s="136" t="str">
        <f t="shared" ca="1" si="8"/>
        <v/>
      </c>
      <c r="AG119" s="29"/>
      <c r="AH119" s="29"/>
      <c r="AI119" s="29"/>
      <c r="AJ119" s="29"/>
      <c r="AK119" s="30"/>
      <c r="AL119" s="30"/>
    </row>
    <row r="120" spans="1:38" ht="24.95" customHeight="1" x14ac:dyDescent="0.25">
      <c r="A120" s="76" t="str">
        <f t="shared" si="10"/>
        <v>13SAM024</v>
      </c>
      <c r="B120" s="166">
        <v>24</v>
      </c>
      <c r="C120" s="76" t="s">
        <v>57</v>
      </c>
      <c r="D120" s="77" t="s">
        <v>40</v>
      </c>
      <c r="E120" s="33" t="s">
        <v>392</v>
      </c>
      <c r="F120" s="33" t="s">
        <v>397</v>
      </c>
      <c r="G120" s="248"/>
      <c r="H120" s="34" t="s">
        <v>60</v>
      </c>
      <c r="I120" s="47" t="s">
        <v>61</v>
      </c>
      <c r="J120" s="47" t="s">
        <v>105</v>
      </c>
      <c r="K120" s="47" t="s">
        <v>61</v>
      </c>
      <c r="L120" s="47" t="s">
        <v>61</v>
      </c>
      <c r="M120" s="47" t="s">
        <v>61</v>
      </c>
      <c r="N120" s="264">
        <v>41401</v>
      </c>
      <c r="O120" s="257"/>
      <c r="P120" s="34" t="s">
        <v>398</v>
      </c>
      <c r="Q120" s="34"/>
      <c r="R120" s="34"/>
      <c r="S120" s="34"/>
      <c r="T120" s="36" t="str">
        <f t="shared" ca="1" si="0"/>
        <v/>
      </c>
      <c r="U120" s="37"/>
      <c r="V120" s="37" t="s">
        <v>399</v>
      </c>
      <c r="W120" s="44"/>
      <c r="X120" s="40"/>
      <c r="Y120" s="39"/>
      <c r="Z120" s="40"/>
      <c r="AA120" s="41" t="str">
        <f t="shared" ca="1" si="5"/>
        <v/>
      </c>
      <c r="AB120" s="40"/>
      <c r="AC120" s="40"/>
      <c r="AD120" s="40"/>
      <c r="AE120" s="40"/>
      <c r="AF120" s="136" t="str">
        <f t="shared" ca="1" si="8"/>
        <v/>
      </c>
      <c r="AG120" s="29"/>
      <c r="AH120" s="29"/>
      <c r="AI120" s="29"/>
      <c r="AJ120" s="29"/>
      <c r="AK120" s="30"/>
      <c r="AL120" s="30"/>
    </row>
    <row r="121" spans="1:38" ht="24.95" customHeight="1" x14ac:dyDescent="0.25">
      <c r="A121" s="76" t="str">
        <f t="shared" si="10"/>
        <v>13SAM025</v>
      </c>
      <c r="B121" s="166">
        <v>25</v>
      </c>
      <c r="C121" s="76" t="s">
        <v>57</v>
      </c>
      <c r="D121" s="77" t="s">
        <v>40</v>
      </c>
      <c r="E121" s="33" t="s">
        <v>88</v>
      </c>
      <c r="F121" s="33" t="s">
        <v>400</v>
      </c>
      <c r="G121" s="248"/>
      <c r="H121" s="34" t="s">
        <v>60</v>
      </c>
      <c r="I121" s="47" t="s">
        <v>61</v>
      </c>
      <c r="J121" s="34" t="s">
        <v>45</v>
      </c>
      <c r="K121" s="34">
        <v>298.44</v>
      </c>
      <c r="L121" s="47" t="s">
        <v>61</v>
      </c>
      <c r="M121" s="47" t="s">
        <v>61</v>
      </c>
      <c r="N121" s="264">
        <v>41599</v>
      </c>
      <c r="O121" s="257">
        <v>41606</v>
      </c>
      <c r="P121" s="34" t="s">
        <v>401</v>
      </c>
      <c r="Q121" s="34" t="s">
        <v>212</v>
      </c>
      <c r="R121" s="34"/>
      <c r="S121" s="34">
        <v>30.3</v>
      </c>
      <c r="T121" s="36">
        <f t="shared" ca="1" si="0"/>
        <v>1746</v>
      </c>
      <c r="U121" s="37" t="s">
        <v>402</v>
      </c>
      <c r="V121" s="37" t="s">
        <v>403</v>
      </c>
      <c r="W121" s="44"/>
      <c r="X121" s="40"/>
      <c r="Y121" s="39"/>
      <c r="Z121" s="40"/>
      <c r="AA121" s="41" t="str">
        <f t="shared" ca="1" si="5"/>
        <v/>
      </c>
      <c r="AB121" s="40"/>
      <c r="AC121" s="40"/>
      <c r="AD121" s="40"/>
      <c r="AE121" s="40"/>
      <c r="AF121" s="136" t="str">
        <f t="shared" ca="1" si="8"/>
        <v/>
      </c>
      <c r="AG121" s="29"/>
      <c r="AH121" s="29"/>
      <c r="AI121" s="29"/>
      <c r="AJ121" s="29"/>
      <c r="AK121" s="30"/>
      <c r="AL121" s="30"/>
    </row>
    <row r="122" spans="1:38" ht="24.95" customHeight="1" x14ac:dyDescent="0.25">
      <c r="A122" s="76" t="str">
        <f t="shared" si="10"/>
        <v>13SAM026</v>
      </c>
      <c r="B122" s="166">
        <v>26</v>
      </c>
      <c r="C122" s="76" t="s">
        <v>57</v>
      </c>
      <c r="D122" s="77" t="s">
        <v>40</v>
      </c>
      <c r="E122" s="33" t="s">
        <v>404</v>
      </c>
      <c r="F122" s="33" t="s">
        <v>405</v>
      </c>
      <c r="G122" s="248"/>
      <c r="H122" s="34" t="s">
        <v>60</v>
      </c>
      <c r="I122" s="47" t="s">
        <v>61</v>
      </c>
      <c r="J122" s="34" t="s">
        <v>45</v>
      </c>
      <c r="K122" s="34">
        <v>477.6</v>
      </c>
      <c r="L122" s="47" t="s">
        <v>61</v>
      </c>
      <c r="M122" s="47" t="s">
        <v>61</v>
      </c>
      <c r="N122" s="264">
        <v>41561</v>
      </c>
      <c r="O122" s="257"/>
      <c r="P122" s="34" t="s">
        <v>406</v>
      </c>
      <c r="Q122" s="34"/>
      <c r="R122" s="34"/>
      <c r="S122" s="34"/>
      <c r="T122" s="36" t="str">
        <f t="shared" ca="1" si="0"/>
        <v/>
      </c>
      <c r="U122" s="37"/>
      <c r="V122" s="37" t="s">
        <v>407</v>
      </c>
      <c r="W122" s="44"/>
      <c r="X122" s="40"/>
      <c r="Y122" s="39"/>
      <c r="Z122" s="40"/>
      <c r="AA122" s="41" t="str">
        <f t="shared" ca="1" si="5"/>
        <v/>
      </c>
      <c r="AB122" s="40"/>
      <c r="AC122" s="40"/>
      <c r="AD122" s="40"/>
      <c r="AE122" s="40"/>
      <c r="AF122" s="136" t="str">
        <f t="shared" ca="1" si="8"/>
        <v/>
      </c>
      <c r="AG122" s="29"/>
      <c r="AH122" s="29"/>
      <c r="AI122" s="29"/>
      <c r="AJ122" s="29"/>
      <c r="AK122" s="30"/>
      <c r="AL122" s="30"/>
    </row>
    <row r="123" spans="1:38" ht="24.95" customHeight="1" x14ac:dyDescent="0.25">
      <c r="A123" s="76" t="str">
        <f t="shared" si="10"/>
        <v>13SAM027</v>
      </c>
      <c r="B123" s="166">
        <v>27</v>
      </c>
      <c r="C123" s="76" t="s">
        <v>57</v>
      </c>
      <c r="D123" s="77" t="s">
        <v>40</v>
      </c>
      <c r="E123" s="33" t="s">
        <v>404</v>
      </c>
      <c r="F123" s="33" t="s">
        <v>408</v>
      </c>
      <c r="G123" s="248"/>
      <c r="H123" s="34" t="s">
        <v>60</v>
      </c>
      <c r="I123" s="47" t="s">
        <v>61</v>
      </c>
      <c r="J123" s="34" t="s">
        <v>45</v>
      </c>
      <c r="K123" s="34">
        <v>353.5</v>
      </c>
      <c r="L123" s="47" t="s">
        <v>61</v>
      </c>
      <c r="M123" s="47" t="s">
        <v>61</v>
      </c>
      <c r="N123" s="264">
        <v>41561</v>
      </c>
      <c r="O123" s="257">
        <v>41564</v>
      </c>
      <c r="P123" s="34" t="s">
        <v>409</v>
      </c>
      <c r="Q123" s="34" t="s">
        <v>212</v>
      </c>
      <c r="R123" s="34"/>
      <c r="S123" s="34">
        <f>8.7-2.54</f>
        <v>6.1599999999999993</v>
      </c>
      <c r="T123" s="36">
        <f t="shared" ca="1" si="0"/>
        <v>1787</v>
      </c>
      <c r="U123" s="37" t="s">
        <v>402</v>
      </c>
      <c r="V123" s="37" t="s">
        <v>410</v>
      </c>
      <c r="W123" s="44"/>
      <c r="X123" s="40"/>
      <c r="Y123" s="39"/>
      <c r="Z123" s="40"/>
      <c r="AA123" s="41" t="str">
        <f t="shared" ca="1" si="5"/>
        <v/>
      </c>
      <c r="AB123" s="40"/>
      <c r="AC123" s="40"/>
      <c r="AD123" s="40"/>
      <c r="AE123" s="40"/>
      <c r="AF123" s="136" t="str">
        <f t="shared" ca="1" si="8"/>
        <v/>
      </c>
      <c r="AG123" s="29"/>
      <c r="AH123" s="29"/>
      <c r="AI123" s="29"/>
      <c r="AJ123" s="29"/>
      <c r="AK123" s="30"/>
      <c r="AL123" s="30"/>
    </row>
    <row r="124" spans="1:38" ht="24.95" customHeight="1" x14ac:dyDescent="0.25">
      <c r="A124" s="76" t="str">
        <f t="shared" si="10"/>
        <v>13SAM028</v>
      </c>
      <c r="B124" s="166">
        <v>28</v>
      </c>
      <c r="C124" s="76" t="s">
        <v>57</v>
      </c>
      <c r="D124" s="77" t="s">
        <v>40</v>
      </c>
      <c r="E124" s="33" t="s">
        <v>294</v>
      </c>
      <c r="F124" s="33" t="s">
        <v>411</v>
      </c>
      <c r="G124" s="248"/>
      <c r="H124" s="34" t="s">
        <v>60</v>
      </c>
      <c r="I124" s="34" t="s">
        <v>412</v>
      </c>
      <c r="J124" s="34" t="s">
        <v>45</v>
      </c>
      <c r="K124" s="34">
        <v>282.81</v>
      </c>
      <c r="L124" s="47" t="s">
        <v>61</v>
      </c>
      <c r="M124" s="47" t="s">
        <v>61</v>
      </c>
      <c r="N124" s="264">
        <v>41628</v>
      </c>
      <c r="O124" s="257">
        <v>41710</v>
      </c>
      <c r="P124" s="34" t="s">
        <v>297</v>
      </c>
      <c r="Q124" s="34" t="s">
        <v>49</v>
      </c>
      <c r="R124" s="34"/>
      <c r="S124" s="34">
        <v>903.7</v>
      </c>
      <c r="T124" s="36">
        <f t="shared" ca="1" si="0"/>
        <v>1642</v>
      </c>
      <c r="U124" s="37"/>
      <c r="V124" s="37" t="s">
        <v>413</v>
      </c>
      <c r="W124" s="44"/>
      <c r="X124" s="40"/>
      <c r="Y124" s="39"/>
      <c r="Z124" s="40"/>
      <c r="AA124" s="41" t="str">
        <f t="shared" ca="1" si="5"/>
        <v/>
      </c>
      <c r="AB124" s="40"/>
      <c r="AC124" s="40"/>
      <c r="AD124" s="40"/>
      <c r="AE124" s="40"/>
      <c r="AF124" s="136" t="str">
        <f t="shared" ca="1" si="8"/>
        <v/>
      </c>
      <c r="AG124" s="29"/>
      <c r="AH124" s="29"/>
      <c r="AI124" s="29"/>
      <c r="AJ124" s="29"/>
      <c r="AK124" s="30"/>
      <c r="AL124" s="30"/>
    </row>
    <row r="125" spans="1:38" ht="24.95" customHeight="1" x14ac:dyDescent="0.25">
      <c r="A125" s="76" t="str">
        <f t="shared" si="10"/>
        <v>13SAM029</v>
      </c>
      <c r="B125" s="166">
        <v>29</v>
      </c>
      <c r="C125" s="76" t="s">
        <v>57</v>
      </c>
      <c r="D125" s="77" t="s">
        <v>40</v>
      </c>
      <c r="E125" s="33" t="s">
        <v>294</v>
      </c>
      <c r="F125" s="33" t="s">
        <v>411</v>
      </c>
      <c r="G125" s="248"/>
      <c r="H125" s="34" t="s">
        <v>60</v>
      </c>
      <c r="I125" s="34" t="s">
        <v>412</v>
      </c>
      <c r="J125" s="34" t="s">
        <v>45</v>
      </c>
      <c r="K125" s="34">
        <v>282.81</v>
      </c>
      <c r="L125" s="47" t="s">
        <v>61</v>
      </c>
      <c r="M125" s="47" t="s">
        <v>61</v>
      </c>
      <c r="N125" s="264">
        <v>41628</v>
      </c>
      <c r="O125" s="258"/>
      <c r="P125" s="34" t="s">
        <v>414</v>
      </c>
      <c r="Q125" s="34"/>
      <c r="R125" s="34"/>
      <c r="S125" s="34"/>
      <c r="T125" s="36" t="str">
        <f t="shared" ca="1" si="0"/>
        <v/>
      </c>
      <c r="U125" s="37"/>
      <c r="V125" s="37" t="s">
        <v>413</v>
      </c>
      <c r="W125" s="44"/>
      <c r="X125" s="40"/>
      <c r="Y125" s="39"/>
      <c r="Z125" s="40"/>
      <c r="AA125" s="41" t="str">
        <f t="shared" ca="1" si="5"/>
        <v/>
      </c>
      <c r="AB125" s="40"/>
      <c r="AC125" s="40"/>
      <c r="AD125" s="40"/>
      <c r="AE125" s="40"/>
      <c r="AF125" s="136" t="str">
        <f t="shared" ca="1" si="8"/>
        <v/>
      </c>
      <c r="AG125" s="29"/>
      <c r="AH125" s="29"/>
      <c r="AI125" s="29"/>
      <c r="AJ125" s="29"/>
      <c r="AK125" s="30"/>
      <c r="AL125" s="30"/>
    </row>
    <row r="126" spans="1:38" ht="24.95" customHeight="1" x14ac:dyDescent="0.25">
      <c r="A126" s="76" t="str">
        <f t="shared" si="10"/>
        <v>13SAM030</v>
      </c>
      <c r="B126" s="166">
        <v>30</v>
      </c>
      <c r="C126" s="76" t="s">
        <v>57</v>
      </c>
      <c r="D126" s="77" t="s">
        <v>40</v>
      </c>
      <c r="E126" s="33" t="s">
        <v>294</v>
      </c>
      <c r="F126" s="33" t="s">
        <v>411</v>
      </c>
      <c r="G126" s="248"/>
      <c r="H126" s="34" t="s">
        <v>60</v>
      </c>
      <c r="I126" s="34" t="s">
        <v>412</v>
      </c>
      <c r="J126" s="34" t="s">
        <v>45</v>
      </c>
      <c r="K126" s="34">
        <v>282.81</v>
      </c>
      <c r="L126" s="47" t="s">
        <v>61</v>
      </c>
      <c r="M126" s="47" t="s">
        <v>61</v>
      </c>
      <c r="N126" s="264">
        <v>41628</v>
      </c>
      <c r="O126" s="257"/>
      <c r="P126" s="34" t="s">
        <v>415</v>
      </c>
      <c r="Q126" s="34"/>
      <c r="R126" s="34"/>
      <c r="S126" s="34"/>
      <c r="T126" s="36" t="str">
        <f t="shared" ca="1" si="0"/>
        <v/>
      </c>
      <c r="U126" s="37"/>
      <c r="V126" s="37" t="s">
        <v>413</v>
      </c>
      <c r="W126" s="78"/>
      <c r="X126" s="40"/>
      <c r="Y126" s="39"/>
      <c r="Z126" s="40"/>
      <c r="AA126" s="41" t="str">
        <f t="shared" ca="1" si="5"/>
        <v/>
      </c>
      <c r="AB126" s="40"/>
      <c r="AC126" s="40"/>
      <c r="AD126" s="40"/>
      <c r="AE126" s="40"/>
      <c r="AF126" s="136" t="str">
        <f t="shared" ca="1" si="8"/>
        <v/>
      </c>
      <c r="AG126" s="29"/>
      <c r="AH126" s="29"/>
      <c r="AI126" s="29"/>
      <c r="AJ126" s="29"/>
      <c r="AK126" s="30"/>
      <c r="AL126" s="30"/>
    </row>
    <row r="127" spans="1:38" ht="24.95" customHeight="1" x14ac:dyDescent="0.25">
      <c r="A127" s="76" t="str">
        <f t="shared" si="10"/>
        <v>13SAM031</v>
      </c>
      <c r="B127" s="166">
        <v>31</v>
      </c>
      <c r="C127" s="76" t="s">
        <v>57</v>
      </c>
      <c r="D127" s="77" t="s">
        <v>40</v>
      </c>
      <c r="E127" s="33" t="s">
        <v>416</v>
      </c>
      <c r="F127" s="33" t="s">
        <v>417</v>
      </c>
      <c r="G127" s="248"/>
      <c r="H127" s="34" t="s">
        <v>60</v>
      </c>
      <c r="I127" s="47" t="s">
        <v>61</v>
      </c>
      <c r="J127" s="34" t="s">
        <v>180</v>
      </c>
      <c r="K127" s="34">
        <v>543.46</v>
      </c>
      <c r="L127" s="47" t="s">
        <v>61</v>
      </c>
      <c r="M127" s="47" t="s">
        <v>61</v>
      </c>
      <c r="N127" s="264">
        <v>41423</v>
      </c>
      <c r="O127" s="257"/>
      <c r="P127" s="34" t="s">
        <v>418</v>
      </c>
      <c r="Q127" s="34"/>
      <c r="R127" s="34"/>
      <c r="S127" s="34"/>
      <c r="T127" s="36" t="str">
        <f t="shared" ca="1" si="0"/>
        <v/>
      </c>
      <c r="U127" s="37"/>
      <c r="V127" s="37" t="s">
        <v>413</v>
      </c>
      <c r="W127" s="44"/>
      <c r="X127" s="40"/>
      <c r="Y127" s="39"/>
      <c r="Z127" s="40"/>
      <c r="AA127" s="41" t="str">
        <f t="shared" ca="1" si="5"/>
        <v/>
      </c>
      <c r="AB127" s="40"/>
      <c r="AC127" s="40"/>
      <c r="AD127" s="40"/>
      <c r="AE127" s="40"/>
      <c r="AF127" s="136" t="str">
        <f t="shared" ca="1" si="8"/>
        <v/>
      </c>
      <c r="AG127" s="29"/>
      <c r="AH127" s="29"/>
      <c r="AI127" s="29"/>
      <c r="AJ127" s="29"/>
      <c r="AK127" s="30"/>
      <c r="AL127" s="30"/>
    </row>
    <row r="128" spans="1:38" ht="24.95" customHeight="1" x14ac:dyDescent="0.25">
      <c r="A128" s="76" t="str">
        <f t="shared" si="10"/>
        <v>13SAM032</v>
      </c>
      <c r="B128" s="166">
        <v>32</v>
      </c>
      <c r="C128" s="76" t="s">
        <v>57</v>
      </c>
      <c r="D128" s="77" t="s">
        <v>40</v>
      </c>
      <c r="E128" s="33" t="s">
        <v>416</v>
      </c>
      <c r="F128" s="33" t="s">
        <v>419</v>
      </c>
      <c r="G128" s="34" t="s">
        <v>420</v>
      </c>
      <c r="H128" s="34" t="s">
        <v>60</v>
      </c>
      <c r="I128" s="34" t="s">
        <v>421</v>
      </c>
      <c r="J128" s="34" t="s">
        <v>180</v>
      </c>
      <c r="K128" s="34">
        <v>954.5</v>
      </c>
      <c r="L128" s="47" t="s">
        <v>61</v>
      </c>
      <c r="M128" s="47" t="s">
        <v>61</v>
      </c>
      <c r="N128" s="264">
        <v>41423</v>
      </c>
      <c r="O128" s="257">
        <v>41431</v>
      </c>
      <c r="P128" s="34" t="s">
        <v>422</v>
      </c>
      <c r="Q128" s="34" t="s">
        <v>212</v>
      </c>
      <c r="R128" s="34"/>
      <c r="S128" s="34">
        <v>4.5999999999999996</v>
      </c>
      <c r="T128" s="36">
        <f t="shared" ca="1" si="0"/>
        <v>1918</v>
      </c>
      <c r="U128" s="37"/>
      <c r="V128" s="78" t="s">
        <v>423</v>
      </c>
      <c r="W128" s="44"/>
      <c r="X128" s="40"/>
      <c r="Y128" s="39"/>
      <c r="Z128" s="40"/>
      <c r="AA128" s="41" t="str">
        <f t="shared" ca="1" si="5"/>
        <v/>
      </c>
      <c r="AB128" s="40"/>
      <c r="AC128" s="40"/>
      <c r="AD128" s="40"/>
      <c r="AE128" s="40"/>
      <c r="AF128" s="136" t="str">
        <f t="shared" ca="1" si="8"/>
        <v/>
      </c>
      <c r="AG128" s="29"/>
      <c r="AH128" s="29"/>
      <c r="AI128" s="29"/>
      <c r="AJ128" s="29"/>
      <c r="AK128" s="30"/>
      <c r="AL128" s="30"/>
    </row>
    <row r="129" spans="1:38" ht="24.95" customHeight="1" x14ac:dyDescent="0.25">
      <c r="A129" s="76" t="str">
        <f t="shared" si="10"/>
        <v>13SAM033</v>
      </c>
      <c r="B129" s="166">
        <v>33</v>
      </c>
      <c r="C129" s="76" t="s">
        <v>57</v>
      </c>
      <c r="D129" s="77" t="s">
        <v>40</v>
      </c>
      <c r="E129" s="33" t="s">
        <v>416</v>
      </c>
      <c r="F129" s="33" t="s">
        <v>424</v>
      </c>
      <c r="G129" s="248" t="s">
        <v>425</v>
      </c>
      <c r="H129" s="34" t="s">
        <v>60</v>
      </c>
      <c r="I129" s="34" t="s">
        <v>426</v>
      </c>
      <c r="J129" s="34" t="s">
        <v>180</v>
      </c>
      <c r="K129" s="34">
        <v>838.5</v>
      </c>
      <c r="L129" s="47" t="s">
        <v>61</v>
      </c>
      <c r="M129" s="47" t="s">
        <v>61</v>
      </c>
      <c r="N129" s="264">
        <v>41423</v>
      </c>
      <c r="O129" s="257">
        <v>41436</v>
      </c>
      <c r="P129" s="34" t="s">
        <v>422</v>
      </c>
      <c r="Q129" s="34" t="s">
        <v>212</v>
      </c>
      <c r="R129" s="34"/>
      <c r="S129" s="34">
        <v>4.3</v>
      </c>
      <c r="T129" s="36">
        <f t="shared" ca="1" si="0"/>
        <v>1913</v>
      </c>
      <c r="U129" s="37"/>
      <c r="V129" s="37" t="s">
        <v>427</v>
      </c>
      <c r="W129" s="44"/>
      <c r="X129" s="40"/>
      <c r="Y129" s="39"/>
      <c r="Z129" s="40"/>
      <c r="AA129" s="41" t="str">
        <f t="shared" ca="1" si="5"/>
        <v/>
      </c>
      <c r="AB129" s="40"/>
      <c r="AC129" s="40"/>
      <c r="AD129" s="40"/>
      <c r="AE129" s="40"/>
      <c r="AF129" s="136" t="str">
        <f t="shared" ca="1" si="8"/>
        <v/>
      </c>
      <c r="AG129" s="29"/>
      <c r="AH129" s="29"/>
      <c r="AI129" s="29"/>
      <c r="AJ129" s="29"/>
      <c r="AK129" s="30"/>
      <c r="AL129" s="30"/>
    </row>
    <row r="130" spans="1:38" ht="24.95" customHeight="1" x14ac:dyDescent="0.25">
      <c r="A130" s="74" t="str">
        <f t="shared" si="10"/>
        <v>13REF034</v>
      </c>
      <c r="B130" s="165">
        <v>34</v>
      </c>
      <c r="C130" s="74" t="s">
        <v>39</v>
      </c>
      <c r="D130" s="75" t="s">
        <v>40</v>
      </c>
      <c r="E130" s="33" t="s">
        <v>41</v>
      </c>
      <c r="F130" s="33" t="s">
        <v>254</v>
      </c>
      <c r="G130" s="248"/>
      <c r="H130" s="34" t="s">
        <v>43</v>
      </c>
      <c r="I130" s="34" t="s">
        <v>333</v>
      </c>
      <c r="J130" s="34" t="s">
        <v>45</v>
      </c>
      <c r="K130" s="34">
        <v>602.58000000000004</v>
      </c>
      <c r="L130" s="34" t="s">
        <v>256</v>
      </c>
      <c r="M130" s="34" t="s">
        <v>257</v>
      </c>
      <c r="N130" s="264">
        <v>41396</v>
      </c>
      <c r="O130" s="257">
        <v>41542</v>
      </c>
      <c r="P130" s="34" t="s">
        <v>56</v>
      </c>
      <c r="Q130" s="34" t="s">
        <v>212</v>
      </c>
      <c r="R130" s="34"/>
      <c r="S130" s="34">
        <v>0</v>
      </c>
      <c r="T130" s="36" t="str">
        <f t="shared" ca="1" si="0"/>
        <v>Empty</v>
      </c>
      <c r="U130" s="37"/>
      <c r="V130" s="37"/>
      <c r="W130" s="44"/>
      <c r="X130" s="40"/>
      <c r="Y130" s="39"/>
      <c r="Z130" s="40"/>
      <c r="AA130" s="41"/>
      <c r="AB130" s="44"/>
      <c r="AC130" s="40"/>
      <c r="AD130" s="39"/>
      <c r="AE130" s="40"/>
      <c r="AF130" s="136"/>
      <c r="AG130" s="29"/>
      <c r="AH130" s="29"/>
      <c r="AI130" s="29"/>
      <c r="AJ130" s="29"/>
      <c r="AK130" s="30"/>
      <c r="AL130" s="30"/>
    </row>
    <row r="131" spans="1:38" ht="24.95" customHeight="1" x14ac:dyDescent="0.25">
      <c r="A131" s="76" t="str">
        <f t="shared" si="10"/>
        <v>13SAM035</v>
      </c>
      <c r="B131" s="166">
        <v>35</v>
      </c>
      <c r="C131" s="76" t="s">
        <v>57</v>
      </c>
      <c r="D131" s="77" t="s">
        <v>40</v>
      </c>
      <c r="E131" s="33" t="s">
        <v>416</v>
      </c>
      <c r="F131" s="33" t="s">
        <v>424</v>
      </c>
      <c r="G131" s="248" t="s">
        <v>425</v>
      </c>
      <c r="H131" s="34" t="s">
        <v>60</v>
      </c>
      <c r="I131" s="47" t="s">
        <v>61</v>
      </c>
      <c r="J131" s="34" t="s">
        <v>180</v>
      </c>
      <c r="K131" s="34">
        <v>838.5</v>
      </c>
      <c r="L131" s="47" t="s">
        <v>61</v>
      </c>
      <c r="M131" s="47" t="s">
        <v>61</v>
      </c>
      <c r="N131" s="264">
        <v>41585</v>
      </c>
      <c r="O131" s="257"/>
      <c r="P131" s="34" t="s">
        <v>428</v>
      </c>
      <c r="Q131" s="34"/>
      <c r="R131" s="34"/>
      <c r="S131" s="34"/>
      <c r="T131" s="36" t="str">
        <f t="shared" ca="1" si="0"/>
        <v/>
      </c>
      <c r="U131" s="37"/>
      <c r="V131" s="37" t="s">
        <v>427</v>
      </c>
      <c r="W131" s="44"/>
      <c r="X131" s="40"/>
      <c r="Y131" s="39"/>
      <c r="Z131" s="40"/>
      <c r="AA131" s="41" t="str">
        <f t="shared" ca="1" si="5"/>
        <v/>
      </c>
      <c r="AB131" s="40"/>
      <c r="AC131" s="40"/>
      <c r="AD131" s="40"/>
      <c r="AE131" s="40"/>
      <c r="AF131" s="136" t="str">
        <f t="shared" ca="1" si="8"/>
        <v/>
      </c>
      <c r="AG131" s="29"/>
      <c r="AH131" s="29"/>
      <c r="AI131" s="29"/>
      <c r="AJ131" s="29"/>
      <c r="AK131" s="30"/>
      <c r="AL131" s="30"/>
    </row>
    <row r="132" spans="1:38" ht="32.25" customHeight="1" x14ac:dyDescent="0.25">
      <c r="A132" s="74" t="str">
        <f t="shared" si="10"/>
        <v>13REF036</v>
      </c>
      <c r="B132" s="165">
        <v>36</v>
      </c>
      <c r="C132" s="74" t="s">
        <v>39</v>
      </c>
      <c r="D132" s="75" t="s">
        <v>40</v>
      </c>
      <c r="E132" s="33" t="s">
        <v>41</v>
      </c>
      <c r="F132" s="33" t="s">
        <v>429</v>
      </c>
      <c r="G132" s="248" t="s">
        <v>430</v>
      </c>
      <c r="H132" s="34" t="s">
        <v>43</v>
      </c>
      <c r="I132" s="443" t="s">
        <v>3303</v>
      </c>
      <c r="J132" s="34" t="s">
        <v>180</v>
      </c>
      <c r="K132" s="34">
        <v>213.66</v>
      </c>
      <c r="L132" s="34" t="s">
        <v>431</v>
      </c>
      <c r="M132" s="34" t="s">
        <v>432</v>
      </c>
      <c r="N132" s="264">
        <v>41477</v>
      </c>
      <c r="O132" s="257">
        <v>41480</v>
      </c>
      <c r="P132" s="34" t="s">
        <v>133</v>
      </c>
      <c r="Q132" s="34" t="s">
        <v>49</v>
      </c>
      <c r="R132" s="403">
        <v>1</v>
      </c>
      <c r="S132" s="34">
        <f>466.3-2.48-10.5-3.44-13.7-6.78-5.55-4.57-6.682</f>
        <v>412.59800000000001</v>
      </c>
      <c r="T132" s="36">
        <f t="shared" ca="1" si="0"/>
        <v>1869</v>
      </c>
      <c r="U132" s="37"/>
      <c r="V132" s="37"/>
      <c r="W132" s="44"/>
      <c r="X132" s="40"/>
      <c r="Y132" s="39"/>
      <c r="Z132" s="40"/>
      <c r="AA132" s="41" t="str">
        <f t="shared" ca="1" si="5"/>
        <v/>
      </c>
      <c r="AB132" s="40"/>
      <c r="AC132" s="40"/>
      <c r="AD132" s="40"/>
      <c r="AE132" s="40"/>
      <c r="AF132" s="136" t="str">
        <f t="shared" ca="1" si="8"/>
        <v/>
      </c>
      <c r="AG132" s="29"/>
      <c r="AH132" s="29"/>
      <c r="AI132" s="29"/>
      <c r="AJ132" s="29"/>
      <c r="AK132" s="30"/>
      <c r="AL132" s="30"/>
    </row>
    <row r="133" spans="1:38" ht="23.25" x14ac:dyDescent="0.25">
      <c r="A133" s="74" t="str">
        <f t="shared" si="10"/>
        <v>13REF037</v>
      </c>
      <c r="B133" s="165">
        <v>37</v>
      </c>
      <c r="C133" s="74" t="s">
        <v>39</v>
      </c>
      <c r="D133" s="75" t="s">
        <v>40</v>
      </c>
      <c r="E133" s="33" t="s">
        <v>41</v>
      </c>
      <c r="F133" s="33" t="s">
        <v>433</v>
      </c>
      <c r="G133" s="248"/>
      <c r="H133" s="34" t="s">
        <v>43</v>
      </c>
      <c r="I133" s="34" t="s">
        <v>434</v>
      </c>
      <c r="J133" s="47" t="s">
        <v>105</v>
      </c>
      <c r="K133" s="34">
        <v>310.51</v>
      </c>
      <c r="L133" s="47">
        <v>2681011</v>
      </c>
      <c r="M133" s="34" t="s">
        <v>435</v>
      </c>
      <c r="N133" s="264">
        <v>41323</v>
      </c>
      <c r="O133" s="257">
        <v>41325</v>
      </c>
      <c r="P133" s="34" t="s">
        <v>56</v>
      </c>
      <c r="Q133" s="34" t="s">
        <v>212</v>
      </c>
      <c r="R133" s="34"/>
      <c r="S133" s="34">
        <v>5.649</v>
      </c>
      <c r="T133" s="36">
        <f t="shared" ca="1" si="0"/>
        <v>2024</v>
      </c>
      <c r="U133" s="37"/>
      <c r="V133" s="37"/>
      <c r="W133" s="44"/>
      <c r="X133" s="40"/>
      <c r="Y133" s="39"/>
      <c r="Z133" s="40"/>
      <c r="AA133" s="41" t="str">
        <f t="shared" ca="1" si="5"/>
        <v/>
      </c>
      <c r="AB133" s="40"/>
      <c r="AC133" s="40"/>
      <c r="AD133" s="40"/>
      <c r="AE133" s="40"/>
      <c r="AF133" s="136" t="str">
        <f t="shared" ca="1" si="8"/>
        <v/>
      </c>
      <c r="AG133" s="29"/>
      <c r="AH133" s="29"/>
      <c r="AI133" s="29"/>
      <c r="AJ133" s="29"/>
      <c r="AK133" s="30"/>
      <c r="AL133" s="30"/>
    </row>
    <row r="134" spans="1:38" ht="24.95" customHeight="1" x14ac:dyDescent="0.25">
      <c r="A134" s="74" t="str">
        <f t="shared" si="10"/>
        <v>13REF038</v>
      </c>
      <c r="B134" s="165">
        <v>38</v>
      </c>
      <c r="C134" s="74" t="s">
        <v>39</v>
      </c>
      <c r="D134" s="75" t="s">
        <v>40</v>
      </c>
      <c r="E134" s="33" t="s">
        <v>41</v>
      </c>
      <c r="F134" s="33" t="s">
        <v>436</v>
      </c>
      <c r="G134" s="248"/>
      <c r="H134" s="34" t="s">
        <v>43</v>
      </c>
      <c r="I134" s="34" t="s">
        <v>437</v>
      </c>
      <c r="J134" s="34" t="s">
        <v>180</v>
      </c>
      <c r="K134" s="34">
        <v>322.19</v>
      </c>
      <c r="L134" s="34" t="s">
        <v>438</v>
      </c>
      <c r="M134" s="34" t="s">
        <v>439</v>
      </c>
      <c r="N134" s="264">
        <v>41506</v>
      </c>
      <c r="O134" s="257">
        <v>41526</v>
      </c>
      <c r="P134" s="34" t="s">
        <v>124</v>
      </c>
      <c r="Q134" s="34" t="s">
        <v>49</v>
      </c>
      <c r="R134" s="34"/>
      <c r="S134" s="34">
        <v>90.1</v>
      </c>
      <c r="T134" s="36">
        <f t="shared" ca="1" si="0"/>
        <v>1825</v>
      </c>
      <c r="U134" s="37"/>
      <c r="V134" s="37"/>
      <c r="W134" s="44"/>
      <c r="X134" s="40"/>
      <c r="Y134" s="39"/>
      <c r="Z134" s="40"/>
      <c r="AA134" s="41" t="str">
        <f t="shared" ca="1" si="5"/>
        <v/>
      </c>
      <c r="AB134" s="40"/>
      <c r="AC134" s="40"/>
      <c r="AD134" s="40"/>
      <c r="AE134" s="40"/>
      <c r="AF134" s="136" t="str">
        <f t="shared" ca="1" si="8"/>
        <v/>
      </c>
      <c r="AG134" s="29"/>
      <c r="AH134" s="29"/>
      <c r="AI134" s="29"/>
      <c r="AJ134" s="29"/>
      <c r="AK134" s="30"/>
      <c r="AL134" s="30"/>
    </row>
    <row r="135" spans="1:38" ht="24.95" customHeight="1" x14ac:dyDescent="0.25">
      <c r="A135" s="79" t="str">
        <f t="shared" si="10"/>
        <v>13REF039</v>
      </c>
      <c r="B135" s="165">
        <v>39</v>
      </c>
      <c r="C135" s="79" t="s">
        <v>39</v>
      </c>
      <c r="D135" s="80" t="s">
        <v>40</v>
      </c>
      <c r="E135" s="33" t="s">
        <v>41</v>
      </c>
      <c r="F135" s="33" t="s">
        <v>630</v>
      </c>
      <c r="G135" s="248"/>
      <c r="H135" s="34" t="s">
        <v>43</v>
      </c>
      <c r="I135" s="34" t="s">
        <v>440</v>
      </c>
      <c r="J135" s="34" t="s">
        <v>45</v>
      </c>
      <c r="K135" s="34">
        <v>254.22</v>
      </c>
      <c r="L135" s="34" t="s">
        <v>441</v>
      </c>
      <c r="M135" s="34" t="s">
        <v>442</v>
      </c>
      <c r="N135" s="264">
        <v>41549</v>
      </c>
      <c r="O135" s="257">
        <v>42254</v>
      </c>
      <c r="P135" s="34" t="s">
        <v>48</v>
      </c>
      <c r="Q135" s="34" t="s">
        <v>49</v>
      </c>
      <c r="R135" s="34"/>
      <c r="S135" s="34">
        <f>25000-445.5-21.9</f>
        <v>24532.6</v>
      </c>
      <c r="T135" s="36">
        <f t="shared" ca="1" si="0"/>
        <v>1107</v>
      </c>
      <c r="U135" s="37"/>
      <c r="V135" s="37"/>
      <c r="W135" s="44"/>
      <c r="X135" s="40"/>
      <c r="Y135" s="39"/>
      <c r="Z135" s="40"/>
      <c r="AA135" s="41" t="str">
        <f t="shared" ca="1" si="5"/>
        <v/>
      </c>
      <c r="AB135" s="40"/>
      <c r="AC135" s="40"/>
      <c r="AD135" s="40"/>
      <c r="AE135" s="40"/>
      <c r="AF135" s="136" t="str">
        <f t="shared" ca="1" si="8"/>
        <v/>
      </c>
      <c r="AG135" s="29"/>
      <c r="AH135" s="29"/>
      <c r="AI135" s="29"/>
      <c r="AJ135" s="29"/>
      <c r="AK135" s="30"/>
      <c r="AL135" s="30"/>
    </row>
    <row r="136" spans="1:38" ht="24.95" customHeight="1" x14ac:dyDescent="0.25">
      <c r="A136" s="74" t="str">
        <f t="shared" si="10"/>
        <v>13REF040</v>
      </c>
      <c r="B136" s="165">
        <v>40</v>
      </c>
      <c r="C136" s="74" t="s">
        <v>39</v>
      </c>
      <c r="D136" s="75" t="s">
        <v>40</v>
      </c>
      <c r="E136" s="33" t="s">
        <v>41</v>
      </c>
      <c r="F136" s="33" t="s">
        <v>443</v>
      </c>
      <c r="G136" s="248"/>
      <c r="H136" s="34" t="s">
        <v>43</v>
      </c>
      <c r="I136" s="34" t="s">
        <v>444</v>
      </c>
      <c r="J136" s="47" t="s">
        <v>105</v>
      </c>
      <c r="K136" s="34">
        <v>282.24599999999998</v>
      </c>
      <c r="L136" s="34" t="s">
        <v>445</v>
      </c>
      <c r="M136" s="34" t="s">
        <v>446</v>
      </c>
      <c r="N136" s="264">
        <v>41312</v>
      </c>
      <c r="O136" s="257">
        <v>41325</v>
      </c>
      <c r="P136" s="34" t="s">
        <v>56</v>
      </c>
      <c r="Q136" s="34" t="s">
        <v>212</v>
      </c>
      <c r="R136" s="34"/>
      <c r="S136" s="34" t="s">
        <v>60</v>
      </c>
      <c r="T136" s="36">
        <f t="shared" ca="1" si="0"/>
        <v>2024</v>
      </c>
      <c r="U136" s="37"/>
      <c r="V136" s="37"/>
      <c r="W136" s="44"/>
      <c r="X136" s="40"/>
      <c r="Y136" s="39"/>
      <c r="Z136" s="40"/>
      <c r="AA136" s="41" t="str">
        <f t="shared" ca="1" si="5"/>
        <v/>
      </c>
      <c r="AB136" s="40"/>
      <c r="AC136" s="40"/>
      <c r="AD136" s="40"/>
      <c r="AE136" s="40"/>
      <c r="AF136" s="136" t="str">
        <f t="shared" ref="AF136:AF205" ca="1" si="11">IF(AB136="","",IF(AB136,DAYS360(AB136,TODAY())))</f>
        <v/>
      </c>
      <c r="AG136" s="29"/>
      <c r="AH136" s="29"/>
      <c r="AI136" s="29"/>
      <c r="AJ136" s="29"/>
      <c r="AK136" s="30"/>
      <c r="AL136" s="30"/>
    </row>
    <row r="137" spans="1:38" ht="24.95" customHeight="1" x14ac:dyDescent="0.25">
      <c r="A137" s="74" t="str">
        <f t="shared" ref="A137:A139" si="12">IF(C137="","",CONCATENATE(13,MID(C137,1,3),IF(B137&lt;10,"00",0),B137))</f>
        <v>13REF041</v>
      </c>
      <c r="B137" s="165">
        <v>41</v>
      </c>
      <c r="C137" s="74" t="s">
        <v>39</v>
      </c>
      <c r="D137" s="75" t="s">
        <v>744</v>
      </c>
      <c r="E137" s="33" t="s">
        <v>41</v>
      </c>
      <c r="F137" s="33" t="s">
        <v>2619</v>
      </c>
      <c r="G137" s="248"/>
      <c r="H137" s="34" t="s">
        <v>330</v>
      </c>
      <c r="I137" s="34" t="s">
        <v>2613</v>
      </c>
      <c r="J137" s="47" t="s">
        <v>45</v>
      </c>
      <c r="K137" s="34">
        <v>213.66</v>
      </c>
      <c r="L137" s="34" t="s">
        <v>2614</v>
      </c>
      <c r="M137" s="398" t="s">
        <v>2615</v>
      </c>
      <c r="N137" s="264">
        <v>41399</v>
      </c>
      <c r="O137" s="257">
        <v>43188</v>
      </c>
      <c r="P137" s="34" t="s">
        <v>183</v>
      </c>
      <c r="Q137" s="398" t="s">
        <v>2620</v>
      </c>
      <c r="R137" s="403">
        <v>1</v>
      </c>
      <c r="S137" s="34">
        <f>50-2.93-4.17</f>
        <v>42.9</v>
      </c>
      <c r="T137" s="36">
        <f t="shared" ca="1" si="0"/>
        <v>185</v>
      </c>
      <c r="U137" s="37"/>
      <c r="V137" s="37"/>
      <c r="W137" s="44"/>
      <c r="X137" s="40"/>
      <c r="Y137" s="39"/>
      <c r="Z137" s="40"/>
      <c r="AA137" s="41" t="str">
        <f t="shared" ca="1" si="5"/>
        <v/>
      </c>
      <c r="AB137" s="40"/>
      <c r="AC137" s="40"/>
      <c r="AD137" s="40"/>
      <c r="AE137" s="40"/>
      <c r="AF137" s="136" t="str">
        <f t="shared" ca="1" si="11"/>
        <v/>
      </c>
      <c r="AG137" s="29"/>
      <c r="AH137" s="29"/>
      <c r="AI137" s="29"/>
      <c r="AJ137" s="29"/>
      <c r="AK137" s="30"/>
      <c r="AL137" s="30"/>
    </row>
    <row r="138" spans="1:38" ht="24.95" customHeight="1" x14ac:dyDescent="0.25">
      <c r="A138" s="74" t="str">
        <f t="shared" si="12"/>
        <v>13REF042</v>
      </c>
      <c r="B138" s="165">
        <v>42</v>
      </c>
      <c r="C138" s="74" t="s">
        <v>39</v>
      </c>
      <c r="D138" s="75" t="s">
        <v>744</v>
      </c>
      <c r="E138" s="33" t="s">
        <v>41</v>
      </c>
      <c r="F138" s="33" t="s">
        <v>2619</v>
      </c>
      <c r="G138" s="248"/>
      <c r="H138" s="398" t="s">
        <v>330</v>
      </c>
      <c r="I138" s="398" t="s">
        <v>2613</v>
      </c>
      <c r="J138" s="47" t="s">
        <v>45</v>
      </c>
      <c r="K138" s="398">
        <v>213.66</v>
      </c>
      <c r="L138" s="398" t="s">
        <v>2614</v>
      </c>
      <c r="M138" s="398" t="s">
        <v>2615</v>
      </c>
      <c r="N138" s="264">
        <v>41399</v>
      </c>
      <c r="O138" s="257"/>
      <c r="P138" s="398" t="s">
        <v>183</v>
      </c>
      <c r="Q138" s="398" t="s">
        <v>2620</v>
      </c>
      <c r="R138" s="403">
        <v>1</v>
      </c>
      <c r="S138" s="34"/>
      <c r="T138" s="36" t="str">
        <f t="shared" ca="1" si="0"/>
        <v/>
      </c>
      <c r="U138" s="37"/>
      <c r="V138" s="37"/>
      <c r="W138" s="44"/>
      <c r="X138" s="40"/>
      <c r="Y138" s="39"/>
      <c r="Z138" s="40"/>
      <c r="AA138" s="41" t="str">
        <f t="shared" ca="1" si="5"/>
        <v/>
      </c>
      <c r="AB138" s="40"/>
      <c r="AC138" s="40"/>
      <c r="AD138" s="40"/>
      <c r="AE138" s="40"/>
      <c r="AF138" s="136" t="str">
        <f t="shared" ca="1" si="11"/>
        <v/>
      </c>
      <c r="AG138" s="29"/>
      <c r="AH138" s="29"/>
      <c r="AI138" s="29"/>
      <c r="AJ138" s="29"/>
      <c r="AK138" s="30"/>
      <c r="AL138" s="30"/>
    </row>
    <row r="139" spans="1:38" ht="24.95" customHeight="1" x14ac:dyDescent="0.25">
      <c r="A139" s="74" t="str">
        <f t="shared" si="12"/>
        <v>13REF043</v>
      </c>
      <c r="B139" s="165">
        <v>43</v>
      </c>
      <c r="C139" s="74" t="s">
        <v>39</v>
      </c>
      <c r="D139" s="75" t="s">
        <v>744</v>
      </c>
      <c r="E139" s="33" t="s">
        <v>41</v>
      </c>
      <c r="F139" s="33" t="s">
        <v>2621</v>
      </c>
      <c r="G139" s="248"/>
      <c r="H139" s="34" t="s">
        <v>112</v>
      </c>
      <c r="I139" s="34" t="s">
        <v>2622</v>
      </c>
      <c r="J139" s="47" t="s">
        <v>45</v>
      </c>
      <c r="K139" s="34">
        <v>305.42</v>
      </c>
      <c r="L139" s="47" t="s">
        <v>2623</v>
      </c>
      <c r="M139" s="34" t="s">
        <v>1479</v>
      </c>
      <c r="N139" s="264">
        <v>43073</v>
      </c>
      <c r="O139" s="257">
        <v>43125</v>
      </c>
      <c r="P139" s="34" t="s">
        <v>124</v>
      </c>
      <c r="Q139" s="34" t="s">
        <v>2624</v>
      </c>
      <c r="R139" s="352">
        <v>0.98399999999999999</v>
      </c>
      <c r="S139" s="34">
        <f>100-5.89-11.6-11.3-3.01</f>
        <v>68.2</v>
      </c>
      <c r="T139" s="36">
        <f t="shared" ca="1" si="0"/>
        <v>249</v>
      </c>
      <c r="U139" s="37"/>
      <c r="V139" s="37" t="s">
        <v>2625</v>
      </c>
      <c r="W139" s="44"/>
      <c r="X139" s="40"/>
      <c r="Y139" s="39"/>
      <c r="Z139" s="40"/>
      <c r="AA139" s="41" t="str">
        <f t="shared" ca="1" si="5"/>
        <v/>
      </c>
      <c r="AB139" s="40"/>
      <c r="AC139" s="40"/>
      <c r="AD139" s="40"/>
      <c r="AE139" s="40"/>
      <c r="AF139" s="136" t="str">
        <f t="shared" ca="1" si="11"/>
        <v/>
      </c>
      <c r="AG139" s="29"/>
      <c r="AH139" s="29"/>
      <c r="AI139" s="29"/>
      <c r="AJ139" s="29"/>
      <c r="AK139" s="30"/>
      <c r="AL139" s="30"/>
    </row>
    <row r="140" spans="1:38" ht="24.95" customHeight="1" x14ac:dyDescent="0.25">
      <c r="A140" s="74" t="str">
        <f>IF(C140="","",CONCATENATE(13,MID(C140,1,3),IF(B140&lt;10,"00",0),B140))</f>
        <v>13REF044</v>
      </c>
      <c r="B140" s="165">
        <v>44</v>
      </c>
      <c r="C140" s="74" t="s">
        <v>39</v>
      </c>
      <c r="D140" s="75" t="s">
        <v>744</v>
      </c>
      <c r="E140" s="33" t="s">
        <v>41</v>
      </c>
      <c r="F140" s="33" t="s">
        <v>2621</v>
      </c>
      <c r="G140" s="248"/>
      <c r="H140" s="398" t="s">
        <v>112</v>
      </c>
      <c r="I140" s="398" t="s">
        <v>2622</v>
      </c>
      <c r="J140" s="47" t="s">
        <v>45</v>
      </c>
      <c r="K140" s="398">
        <v>305.42</v>
      </c>
      <c r="L140" s="47" t="s">
        <v>2623</v>
      </c>
      <c r="M140" s="398" t="s">
        <v>1479</v>
      </c>
      <c r="N140" s="264">
        <v>43073</v>
      </c>
      <c r="O140" s="257"/>
      <c r="P140" s="398" t="s">
        <v>124</v>
      </c>
      <c r="Q140" s="398" t="s">
        <v>2624</v>
      </c>
      <c r="R140" s="352">
        <v>0.98399999999999999</v>
      </c>
      <c r="S140" s="398"/>
      <c r="T140" s="36" t="str">
        <f t="shared" ref="T140" ca="1" si="13">IF(S140="","",IF(S140=0,"Empty",IF(O140="","",IF(O140,DAYS360(O140,TODAY())))))</f>
        <v/>
      </c>
      <c r="U140" s="37"/>
      <c r="V140" s="37" t="s">
        <v>2625</v>
      </c>
      <c r="W140" s="44"/>
      <c r="X140" s="40"/>
      <c r="Y140" s="39"/>
      <c r="Z140" s="40"/>
      <c r="AA140" s="41" t="str">
        <f t="shared" ca="1" si="5"/>
        <v/>
      </c>
      <c r="AB140" s="40"/>
      <c r="AC140" s="40"/>
      <c r="AD140" s="40"/>
      <c r="AE140" s="40"/>
      <c r="AF140" s="136" t="str">
        <f t="shared" ca="1" si="11"/>
        <v/>
      </c>
      <c r="AG140" s="29"/>
      <c r="AH140" s="29"/>
      <c r="AI140" s="29"/>
      <c r="AJ140" s="29"/>
      <c r="AK140" s="30"/>
      <c r="AL140" s="30"/>
    </row>
    <row r="141" spans="1:38" s="388" customFormat="1" ht="24.95" customHeight="1" x14ac:dyDescent="0.25">
      <c r="A141" s="74" t="s">
        <v>3322</v>
      </c>
      <c r="B141" s="165"/>
      <c r="C141" s="74" t="s">
        <v>39</v>
      </c>
      <c r="D141" s="75" t="s">
        <v>3317</v>
      </c>
      <c r="E141" s="33" t="s">
        <v>41</v>
      </c>
      <c r="F141" s="33" t="s">
        <v>3321</v>
      </c>
      <c r="G141" s="248"/>
      <c r="H141" s="443" t="s">
        <v>43</v>
      </c>
      <c r="I141" s="443" t="s">
        <v>3318</v>
      </c>
      <c r="J141" s="443" t="s">
        <v>45</v>
      </c>
      <c r="K141" s="443">
        <v>292.24</v>
      </c>
      <c r="L141" s="443" t="s">
        <v>3319</v>
      </c>
      <c r="M141" s="443" t="s">
        <v>3320</v>
      </c>
      <c r="N141" s="264" t="s">
        <v>168</v>
      </c>
      <c r="O141" s="257">
        <v>41466</v>
      </c>
      <c r="P141" s="443" t="s">
        <v>271</v>
      </c>
      <c r="Q141" s="443" t="s">
        <v>3331</v>
      </c>
      <c r="R141" s="352">
        <v>0.99099999999999999</v>
      </c>
      <c r="S141" s="443"/>
      <c r="T141" s="36"/>
      <c r="U141" s="37"/>
      <c r="V141" s="37" t="s">
        <v>3333</v>
      </c>
      <c r="W141" s="44"/>
      <c r="X141" s="40"/>
      <c r="Y141" s="39"/>
      <c r="Z141" s="40"/>
      <c r="AA141" s="41"/>
      <c r="AB141" s="40"/>
      <c r="AC141" s="40"/>
      <c r="AD141" s="40"/>
      <c r="AE141" s="40"/>
      <c r="AF141" s="136"/>
      <c r="AG141" s="29"/>
      <c r="AH141" s="29"/>
      <c r="AI141" s="29"/>
      <c r="AJ141" s="29"/>
      <c r="AK141" s="30"/>
      <c r="AL141" s="30"/>
    </row>
    <row r="142" spans="1:38" s="388" customFormat="1" ht="24.95" customHeight="1" x14ac:dyDescent="0.25">
      <c r="A142" s="74" t="s">
        <v>3323</v>
      </c>
      <c r="B142" s="165"/>
      <c r="C142" s="74" t="s">
        <v>39</v>
      </c>
      <c r="D142" s="75" t="s">
        <v>3317</v>
      </c>
      <c r="E142" s="33" t="s">
        <v>41</v>
      </c>
      <c r="F142" s="33" t="s">
        <v>3324</v>
      </c>
      <c r="G142" s="248"/>
      <c r="H142" s="443" t="s">
        <v>43</v>
      </c>
      <c r="I142" s="443" t="s">
        <v>3325</v>
      </c>
      <c r="J142" s="443" t="s">
        <v>45</v>
      </c>
      <c r="K142" s="443">
        <v>157.6</v>
      </c>
      <c r="L142" s="443" t="s">
        <v>3326</v>
      </c>
      <c r="M142" s="443" t="s">
        <v>3327</v>
      </c>
      <c r="N142" s="264" t="s">
        <v>168</v>
      </c>
      <c r="O142" s="257">
        <v>41485</v>
      </c>
      <c r="P142" s="443" t="s">
        <v>1295</v>
      </c>
      <c r="Q142" s="443" t="s">
        <v>3332</v>
      </c>
      <c r="R142" s="352">
        <v>0.998</v>
      </c>
      <c r="S142" s="443"/>
      <c r="T142" s="36"/>
      <c r="U142" s="37"/>
      <c r="V142" s="37" t="s">
        <v>3333</v>
      </c>
      <c r="W142" s="44"/>
      <c r="X142" s="40"/>
      <c r="Y142" s="39"/>
      <c r="Z142" s="40"/>
      <c r="AA142" s="41"/>
      <c r="AB142" s="40"/>
      <c r="AC142" s="40"/>
      <c r="AD142" s="40"/>
      <c r="AE142" s="40"/>
      <c r="AF142" s="136"/>
      <c r="AG142" s="29"/>
      <c r="AH142" s="29"/>
      <c r="AI142" s="29"/>
      <c r="AJ142" s="29"/>
      <c r="AK142" s="30"/>
      <c r="AL142" s="30"/>
    </row>
    <row r="143" spans="1:38" ht="24.95" customHeight="1" x14ac:dyDescent="0.25">
      <c r="A143" s="74"/>
      <c r="B143" s="165">
        <v>45</v>
      </c>
      <c r="C143" s="74"/>
      <c r="D143" s="75"/>
      <c r="E143" s="33"/>
      <c r="F143" s="33"/>
      <c r="G143" s="248"/>
      <c r="H143" s="34"/>
      <c r="I143" s="34"/>
      <c r="J143" s="47"/>
      <c r="K143" s="34"/>
      <c r="L143" s="34"/>
      <c r="M143" s="34"/>
      <c r="N143" s="264"/>
      <c r="O143" s="257"/>
      <c r="P143" s="34"/>
      <c r="Q143" s="34"/>
      <c r="R143" s="34"/>
      <c r="S143" s="34"/>
      <c r="T143" s="36" t="str">
        <f t="shared" ca="1" si="0"/>
        <v/>
      </c>
      <c r="U143" s="37"/>
      <c r="V143" s="37"/>
      <c r="W143" s="44"/>
      <c r="X143" s="40"/>
      <c r="Y143" s="39"/>
      <c r="Z143" s="40"/>
      <c r="AA143" s="41" t="str">
        <f t="shared" ca="1" si="5"/>
        <v/>
      </c>
      <c r="AB143" s="40"/>
      <c r="AC143" s="40"/>
      <c r="AD143" s="40"/>
      <c r="AE143" s="40"/>
      <c r="AF143" s="136" t="str">
        <f t="shared" ca="1" si="11"/>
        <v/>
      </c>
      <c r="AG143" s="29"/>
      <c r="AH143" s="29"/>
      <c r="AI143" s="29"/>
      <c r="AJ143" s="29"/>
      <c r="AK143" s="30"/>
      <c r="AL143" s="30"/>
    </row>
    <row r="144" spans="1:38" ht="24.95" customHeight="1" thickBot="1" x14ac:dyDescent="0.3">
      <c r="A144" s="364" t="str">
        <f t="shared" si="10"/>
        <v/>
      </c>
      <c r="B144" s="363">
        <v>46</v>
      </c>
      <c r="C144" s="364"/>
      <c r="D144" s="365"/>
      <c r="E144" s="354"/>
      <c r="F144" s="354"/>
      <c r="G144" s="355"/>
      <c r="H144" s="318"/>
      <c r="I144" s="341"/>
      <c r="J144" s="318"/>
      <c r="K144" s="318"/>
      <c r="L144" s="341"/>
      <c r="M144" s="341"/>
      <c r="N144" s="356"/>
      <c r="O144" s="357"/>
      <c r="P144" s="318"/>
      <c r="Q144" s="318"/>
      <c r="R144" s="318"/>
      <c r="S144" s="318"/>
      <c r="T144" s="327" t="str">
        <f t="shared" ca="1" si="0"/>
        <v/>
      </c>
      <c r="U144" s="326"/>
      <c r="V144" s="326"/>
      <c r="W144" s="358"/>
      <c r="X144" s="331"/>
      <c r="Y144" s="329"/>
      <c r="Z144" s="331"/>
      <c r="AA144" s="359" t="str">
        <f t="shared" ca="1" si="5"/>
        <v/>
      </c>
      <c r="AB144" s="331"/>
      <c r="AC144" s="331"/>
      <c r="AD144" s="331"/>
      <c r="AE144" s="331"/>
      <c r="AF144" s="332" t="str">
        <f t="shared" ca="1" si="11"/>
        <v/>
      </c>
      <c r="AG144" s="29"/>
      <c r="AH144" s="29"/>
      <c r="AI144" s="29"/>
      <c r="AJ144" s="29"/>
      <c r="AK144" s="30"/>
      <c r="AL144" s="30"/>
    </row>
    <row r="145" spans="1:38" ht="24.95" customHeight="1" x14ac:dyDescent="0.25">
      <c r="A145" s="81" t="str">
        <f>IF(C145="","",CONCATENATE(14,MID(C145,1,3),IF(B145&lt;10,"00",0),B145))</f>
        <v>14REF001</v>
      </c>
      <c r="B145" s="167">
        <v>1</v>
      </c>
      <c r="C145" s="81" t="s">
        <v>39</v>
      </c>
      <c r="D145" s="82" t="s">
        <v>40</v>
      </c>
      <c r="E145" s="33" t="s">
        <v>41</v>
      </c>
      <c r="F145" s="124" t="s">
        <v>656</v>
      </c>
      <c r="G145" s="248"/>
      <c r="H145" s="34" t="s">
        <v>43</v>
      </c>
      <c r="I145" s="34" t="s">
        <v>657</v>
      </c>
      <c r="J145" s="34" t="s">
        <v>180</v>
      </c>
      <c r="K145" s="34">
        <v>110.04</v>
      </c>
      <c r="L145" s="34" t="s">
        <v>658</v>
      </c>
      <c r="M145" s="34" t="s">
        <v>659</v>
      </c>
      <c r="N145" s="264">
        <v>41974</v>
      </c>
      <c r="O145" s="257">
        <v>42009</v>
      </c>
      <c r="P145" s="34" t="s">
        <v>48</v>
      </c>
      <c r="Q145" s="34" t="s">
        <v>328</v>
      </c>
      <c r="R145" s="34"/>
      <c r="S145" s="34">
        <v>0</v>
      </c>
      <c r="T145" s="36" t="str">
        <f t="shared" ca="1" si="0"/>
        <v>Empty</v>
      </c>
      <c r="U145" s="37"/>
      <c r="V145" s="362"/>
      <c r="W145" s="168"/>
      <c r="X145" s="168"/>
      <c r="Y145" s="168"/>
      <c r="Z145" s="168"/>
      <c r="AA145" s="41" t="str">
        <f t="shared" ca="1" si="5"/>
        <v/>
      </c>
      <c r="AB145" s="40"/>
      <c r="AC145" s="40"/>
      <c r="AD145" s="40"/>
      <c r="AE145" s="40"/>
      <c r="AF145" s="309" t="str">
        <f t="shared" ca="1" si="11"/>
        <v/>
      </c>
      <c r="AG145" s="29"/>
      <c r="AH145" s="29"/>
      <c r="AI145" s="29"/>
      <c r="AJ145" s="29"/>
      <c r="AK145" s="30"/>
      <c r="AL145" s="30"/>
    </row>
    <row r="146" spans="1:38" ht="24.95" customHeight="1" x14ac:dyDescent="0.25">
      <c r="A146" s="81" t="str">
        <f>IF(C146="","",CONCATENATE(14,MID(C146,1,3),IF(B146&lt;10,"00",0),B146))</f>
        <v>14REF002</v>
      </c>
      <c r="B146" s="167">
        <v>2</v>
      </c>
      <c r="C146" s="81" t="s">
        <v>39</v>
      </c>
      <c r="D146" s="82" t="s">
        <v>40</v>
      </c>
      <c r="E146" s="33" t="s">
        <v>41</v>
      </c>
      <c r="F146" s="33" t="s">
        <v>447</v>
      </c>
      <c r="G146" s="248" t="s">
        <v>448</v>
      </c>
      <c r="H146" s="34" t="s">
        <v>330</v>
      </c>
      <c r="I146" s="34" t="s">
        <v>449</v>
      </c>
      <c r="J146" s="47" t="s">
        <v>105</v>
      </c>
      <c r="K146" s="34">
        <v>291.77999999999997</v>
      </c>
      <c r="L146" s="34" t="s">
        <v>450</v>
      </c>
      <c r="M146" s="34" t="s">
        <v>451</v>
      </c>
      <c r="N146" s="264">
        <v>41967</v>
      </c>
      <c r="O146" s="257">
        <v>42047</v>
      </c>
      <c r="P146" s="34" t="s">
        <v>124</v>
      </c>
      <c r="Q146" s="83" t="s">
        <v>452</v>
      </c>
      <c r="R146" s="83"/>
      <c r="S146" s="34">
        <v>87.95</v>
      </c>
      <c r="T146" s="36">
        <f t="shared" ca="1" si="0"/>
        <v>1312</v>
      </c>
      <c r="U146" s="37"/>
      <c r="V146" s="37"/>
      <c r="W146" s="44">
        <v>42047</v>
      </c>
      <c r="X146" s="40" t="s">
        <v>248</v>
      </c>
      <c r="Y146" s="39" t="s">
        <v>453</v>
      </c>
      <c r="Z146" s="40" t="s">
        <v>49</v>
      </c>
      <c r="AA146" s="41">
        <f ca="1">IF(W146="","",IF(W146,DAYS360(W146,TODAY())))</f>
        <v>1312</v>
      </c>
      <c r="AB146" s="40"/>
      <c r="AC146" s="40"/>
      <c r="AD146" s="40"/>
      <c r="AE146" s="40"/>
      <c r="AF146" s="136" t="str">
        <f t="shared" ca="1" si="11"/>
        <v/>
      </c>
      <c r="AG146" s="29"/>
      <c r="AH146" s="29"/>
      <c r="AI146" s="29"/>
      <c r="AJ146" s="29"/>
      <c r="AK146" s="30"/>
      <c r="AL146" s="30"/>
    </row>
    <row r="147" spans="1:38" ht="24.95" customHeight="1" x14ac:dyDescent="0.25">
      <c r="A147" s="81" t="str">
        <f t="shared" ref="A147:A196" si="14">IF(C147="","",CONCATENATE(14,MID(C147,1,3),IF(B147&lt;10,"00",0),B147))</f>
        <v>14REF003</v>
      </c>
      <c r="B147" s="167">
        <v>3</v>
      </c>
      <c r="C147" s="81" t="s">
        <v>39</v>
      </c>
      <c r="D147" s="82" t="s">
        <v>40</v>
      </c>
      <c r="E147" s="33" t="s">
        <v>41</v>
      </c>
      <c r="F147" s="33" t="s">
        <v>779</v>
      </c>
      <c r="G147" s="248" t="s">
        <v>964</v>
      </c>
      <c r="H147" s="34" t="s">
        <v>330</v>
      </c>
      <c r="I147" s="34" t="s">
        <v>965</v>
      </c>
      <c r="J147" s="34" t="s">
        <v>180</v>
      </c>
      <c r="K147" s="34">
        <v>197.13</v>
      </c>
      <c r="L147" s="34" t="s">
        <v>966</v>
      </c>
      <c r="M147" s="34" t="s">
        <v>457</v>
      </c>
      <c r="N147" s="264">
        <v>41848</v>
      </c>
      <c r="O147" s="257">
        <v>42122</v>
      </c>
      <c r="P147" s="34" t="s">
        <v>183</v>
      </c>
      <c r="Q147" s="34" t="s">
        <v>49</v>
      </c>
      <c r="R147" s="34"/>
      <c r="S147" s="34">
        <v>0</v>
      </c>
      <c r="T147" s="36" t="str">
        <f t="shared" ref="T147:T219" ca="1" si="15">IF(S147="","",IF(S147=0,"Empty",IF(O147="","",IF(O147,DAYS360(O147,TODAY())))))</f>
        <v>Empty</v>
      </c>
      <c r="U147" s="37"/>
      <c r="V147" s="37"/>
      <c r="W147" s="44">
        <v>42314</v>
      </c>
      <c r="X147" s="40" t="s">
        <v>898</v>
      </c>
      <c r="Y147" s="39" t="s">
        <v>959</v>
      </c>
      <c r="Z147" s="40" t="s">
        <v>49</v>
      </c>
      <c r="AA147" s="41">
        <f ca="1">IF(W147="","",IF(W147,DAYS360(W147,TODAY())))</f>
        <v>1048</v>
      </c>
      <c r="AB147" s="40"/>
      <c r="AC147" s="40"/>
      <c r="AD147" s="40"/>
      <c r="AE147" s="40"/>
      <c r="AF147" s="136" t="str">
        <f t="shared" ca="1" si="11"/>
        <v/>
      </c>
      <c r="AG147" s="29"/>
      <c r="AH147" s="29"/>
      <c r="AI147" s="29"/>
      <c r="AJ147" s="29"/>
      <c r="AK147" s="30"/>
      <c r="AL147" s="30"/>
    </row>
    <row r="148" spans="1:38" ht="24.95" customHeight="1" x14ac:dyDescent="0.25">
      <c r="A148" s="81" t="str">
        <f t="shared" si="14"/>
        <v>14REF004</v>
      </c>
      <c r="B148" s="167">
        <v>4</v>
      </c>
      <c r="C148" s="81" t="s">
        <v>39</v>
      </c>
      <c r="D148" s="82" t="s">
        <v>40</v>
      </c>
      <c r="E148" s="33" t="s">
        <v>41</v>
      </c>
      <c r="F148" s="33" t="s">
        <v>454</v>
      </c>
      <c r="G148" s="248"/>
      <c r="H148" s="34" t="s">
        <v>330</v>
      </c>
      <c r="I148" s="34" t="s">
        <v>455</v>
      </c>
      <c r="J148" s="47" t="s">
        <v>105</v>
      </c>
      <c r="K148" s="34">
        <v>236.3</v>
      </c>
      <c r="L148" s="34" t="s">
        <v>456</v>
      </c>
      <c r="M148" s="34" t="s">
        <v>457</v>
      </c>
      <c r="N148" s="264">
        <v>41928</v>
      </c>
      <c r="O148" s="257">
        <v>41932</v>
      </c>
      <c r="P148" s="34" t="s">
        <v>48</v>
      </c>
      <c r="Q148" s="34" t="s">
        <v>458</v>
      </c>
      <c r="R148" s="34"/>
      <c r="S148" s="34">
        <f>24638.1-134.4-20-40-600.9</f>
        <v>23842.799999999996</v>
      </c>
      <c r="T148" s="36">
        <f t="shared" ca="1" si="15"/>
        <v>1424</v>
      </c>
      <c r="U148" s="37"/>
      <c r="V148" s="37"/>
      <c r="W148" s="44"/>
      <c r="X148" s="40"/>
      <c r="Y148" s="39"/>
      <c r="Z148" s="40"/>
      <c r="AA148" s="41" t="str">
        <f t="shared" ref="AA148:AA178" ca="1" si="16">IF(W148="","",IF(W148,DAYS360(W148,TODAY())))</f>
        <v/>
      </c>
      <c r="AB148" s="40"/>
      <c r="AC148" s="40"/>
      <c r="AD148" s="40"/>
      <c r="AE148" s="40"/>
      <c r="AF148" s="136" t="str">
        <f t="shared" ca="1" si="11"/>
        <v/>
      </c>
      <c r="AG148" s="29"/>
      <c r="AH148" s="29"/>
      <c r="AI148" s="29"/>
      <c r="AJ148" s="29"/>
      <c r="AK148" s="30"/>
      <c r="AL148" s="30"/>
    </row>
    <row r="149" spans="1:38" ht="24.95" customHeight="1" x14ac:dyDescent="0.25">
      <c r="A149" s="81" t="str">
        <f t="shared" si="14"/>
        <v>14REF005</v>
      </c>
      <c r="B149" s="167">
        <v>5</v>
      </c>
      <c r="C149" s="81" t="s">
        <v>39</v>
      </c>
      <c r="D149" s="82" t="s">
        <v>40</v>
      </c>
      <c r="E149" s="33" t="s">
        <v>41</v>
      </c>
      <c r="F149" s="33" t="s">
        <v>967</v>
      </c>
      <c r="G149" s="248"/>
      <c r="H149" s="34" t="s">
        <v>43</v>
      </c>
      <c r="I149" s="34" t="s">
        <v>968</v>
      </c>
      <c r="J149" s="34" t="s">
        <v>45</v>
      </c>
      <c r="K149" s="34">
        <v>252.74</v>
      </c>
      <c r="L149" s="34" t="s">
        <v>969</v>
      </c>
      <c r="M149" s="34" t="s">
        <v>970</v>
      </c>
      <c r="N149" s="264">
        <v>41859</v>
      </c>
      <c r="O149" s="257">
        <v>41880</v>
      </c>
      <c r="P149" s="34" t="s">
        <v>86</v>
      </c>
      <c r="Q149" s="34" t="s">
        <v>49</v>
      </c>
      <c r="R149" s="34"/>
      <c r="S149" s="34">
        <v>0</v>
      </c>
      <c r="T149" s="36" t="str">
        <f t="shared" ca="1" si="15"/>
        <v>Empty</v>
      </c>
      <c r="U149" s="37"/>
      <c r="V149" s="37"/>
      <c r="W149" s="44"/>
      <c r="X149" s="40"/>
      <c r="Y149" s="39"/>
      <c r="Z149" s="40"/>
      <c r="AA149" s="41" t="str">
        <f t="shared" ca="1" si="16"/>
        <v/>
      </c>
      <c r="AB149" s="40"/>
      <c r="AC149" s="40"/>
      <c r="AD149" s="40"/>
      <c r="AE149" s="40"/>
      <c r="AF149" s="136" t="str">
        <f t="shared" ca="1" si="11"/>
        <v/>
      </c>
      <c r="AG149" s="29"/>
      <c r="AH149" s="29"/>
      <c r="AI149" s="29"/>
      <c r="AJ149" s="29"/>
      <c r="AK149" s="30"/>
      <c r="AL149" s="30"/>
    </row>
    <row r="150" spans="1:38" ht="24.95" customHeight="1" x14ac:dyDescent="0.25">
      <c r="A150" s="81" t="str">
        <f t="shared" si="14"/>
        <v>14REF006</v>
      </c>
      <c r="B150" s="167">
        <v>6</v>
      </c>
      <c r="C150" s="81" t="s">
        <v>39</v>
      </c>
      <c r="D150" s="82" t="s">
        <v>40</v>
      </c>
      <c r="E150" s="33" t="s">
        <v>41</v>
      </c>
      <c r="F150" s="33" t="s">
        <v>459</v>
      </c>
      <c r="G150" s="248"/>
      <c r="H150" s="34" t="s">
        <v>330</v>
      </c>
      <c r="I150" s="34" t="s">
        <v>460</v>
      </c>
      <c r="J150" s="34" t="s">
        <v>180</v>
      </c>
      <c r="K150" s="34">
        <v>326.83</v>
      </c>
      <c r="L150" s="34" t="s">
        <v>461</v>
      </c>
      <c r="M150" s="34" t="s">
        <v>462</v>
      </c>
      <c r="N150" s="264">
        <v>41848</v>
      </c>
      <c r="O150" s="257">
        <v>41870</v>
      </c>
      <c r="P150" s="34" t="s">
        <v>183</v>
      </c>
      <c r="Q150" s="34" t="s">
        <v>463</v>
      </c>
      <c r="R150" s="34"/>
      <c r="S150" s="34">
        <v>9.5</v>
      </c>
      <c r="T150" s="36">
        <f t="shared" ca="1" si="15"/>
        <v>1485</v>
      </c>
      <c r="U150" s="37"/>
      <c r="V150" s="37"/>
      <c r="W150" s="44"/>
      <c r="X150" s="40"/>
      <c r="Y150" s="39"/>
      <c r="Z150" s="40"/>
      <c r="AA150" s="41" t="str">
        <f t="shared" ca="1" si="16"/>
        <v/>
      </c>
      <c r="AB150" s="40"/>
      <c r="AC150" s="40"/>
      <c r="AD150" s="40"/>
      <c r="AE150" s="40"/>
      <c r="AF150" s="136" t="str">
        <f t="shared" ca="1" si="11"/>
        <v/>
      </c>
      <c r="AG150" s="29"/>
      <c r="AH150" s="29"/>
      <c r="AI150" s="29"/>
      <c r="AJ150" s="29"/>
      <c r="AK150" s="30"/>
      <c r="AL150" s="30"/>
    </row>
    <row r="151" spans="1:38" ht="24.95" customHeight="1" x14ac:dyDescent="0.25">
      <c r="A151" s="81" t="str">
        <f t="shared" si="14"/>
        <v>14REF007</v>
      </c>
      <c r="B151" s="167">
        <v>7</v>
      </c>
      <c r="C151" s="81" t="s">
        <v>39</v>
      </c>
      <c r="D151" s="82" t="s">
        <v>40</v>
      </c>
      <c r="E151" s="33" t="s">
        <v>41</v>
      </c>
      <c r="F151" s="33" t="s">
        <v>459</v>
      </c>
      <c r="G151" s="248"/>
      <c r="H151" s="34" t="s">
        <v>330</v>
      </c>
      <c r="I151" s="34" t="s">
        <v>460</v>
      </c>
      <c r="J151" s="34" t="s">
        <v>180</v>
      </c>
      <c r="K151" s="34">
        <v>326.83</v>
      </c>
      <c r="L151" s="34" t="s">
        <v>461</v>
      </c>
      <c r="M151" s="34" t="s">
        <v>462</v>
      </c>
      <c r="N151" s="264">
        <v>41899</v>
      </c>
      <c r="O151" s="257"/>
      <c r="P151" s="34" t="s">
        <v>183</v>
      </c>
      <c r="Q151" s="34" t="s">
        <v>463</v>
      </c>
      <c r="R151" s="34"/>
      <c r="S151" s="34"/>
      <c r="T151" s="36" t="str">
        <f t="shared" ca="1" si="15"/>
        <v/>
      </c>
      <c r="U151" s="37"/>
      <c r="V151" s="37"/>
      <c r="W151" s="44"/>
      <c r="X151" s="40"/>
      <c r="Y151" s="39"/>
      <c r="Z151" s="40"/>
      <c r="AA151" s="41" t="str">
        <f t="shared" ca="1" si="16"/>
        <v/>
      </c>
      <c r="AB151" s="40"/>
      <c r="AC151" s="40"/>
      <c r="AD151" s="40"/>
      <c r="AE151" s="40"/>
      <c r="AF151" s="136" t="str">
        <f t="shared" ca="1" si="11"/>
        <v/>
      </c>
      <c r="AG151" s="29"/>
      <c r="AH151" s="29"/>
      <c r="AI151" s="29"/>
      <c r="AJ151" s="29"/>
      <c r="AK151" s="30"/>
      <c r="AL151" s="30"/>
    </row>
    <row r="152" spans="1:38" ht="24.95" customHeight="1" x14ac:dyDescent="0.25">
      <c r="A152" s="81" t="str">
        <f t="shared" si="14"/>
        <v>14REF008</v>
      </c>
      <c r="B152" s="167">
        <v>8</v>
      </c>
      <c r="C152" s="81" t="s">
        <v>39</v>
      </c>
      <c r="D152" s="82" t="s">
        <v>40</v>
      </c>
      <c r="E152" s="33" t="s">
        <v>41</v>
      </c>
      <c r="F152" s="33" t="s">
        <v>464</v>
      </c>
      <c r="G152" s="248"/>
      <c r="H152" s="34" t="s">
        <v>112</v>
      </c>
      <c r="I152" s="34" t="s">
        <v>465</v>
      </c>
      <c r="J152" s="34" t="s">
        <v>45</v>
      </c>
      <c r="K152" s="34">
        <v>144.13</v>
      </c>
      <c r="L152" s="34">
        <v>4512</v>
      </c>
      <c r="M152" s="34" t="s">
        <v>466</v>
      </c>
      <c r="N152" s="264">
        <v>41892</v>
      </c>
      <c r="O152" s="257"/>
      <c r="P152" s="34" t="s">
        <v>183</v>
      </c>
      <c r="Q152" s="34" t="s">
        <v>458</v>
      </c>
      <c r="R152" s="34"/>
      <c r="S152" s="34"/>
      <c r="T152" s="36" t="str">
        <f t="shared" ca="1" si="15"/>
        <v/>
      </c>
      <c r="U152" s="37"/>
      <c r="V152" s="37"/>
      <c r="W152" s="44"/>
      <c r="X152" s="40"/>
      <c r="Y152" s="39"/>
      <c r="Z152" s="40"/>
      <c r="AA152" s="41" t="str">
        <f t="shared" ca="1" si="16"/>
        <v/>
      </c>
      <c r="AB152" s="40"/>
      <c r="AC152" s="40"/>
      <c r="AD152" s="40"/>
      <c r="AE152" s="40"/>
      <c r="AF152" s="136" t="str">
        <f t="shared" ca="1" si="11"/>
        <v/>
      </c>
      <c r="AG152" s="29"/>
      <c r="AH152" s="29"/>
      <c r="AI152" s="29"/>
      <c r="AJ152" s="29"/>
      <c r="AK152" s="30"/>
      <c r="AL152" s="30"/>
    </row>
    <row r="153" spans="1:38" ht="24.95" customHeight="1" x14ac:dyDescent="0.25">
      <c r="A153" s="81" t="str">
        <f t="shared" si="14"/>
        <v>14REF009</v>
      </c>
      <c r="B153" s="167">
        <v>9</v>
      </c>
      <c r="C153" s="81" t="s">
        <v>39</v>
      </c>
      <c r="D153" s="82" t="s">
        <v>40</v>
      </c>
      <c r="E153" s="33" t="s">
        <v>41</v>
      </c>
      <c r="F153" s="33" t="s">
        <v>467</v>
      </c>
      <c r="G153" s="248" t="s">
        <v>468</v>
      </c>
      <c r="H153" s="34" t="s">
        <v>330</v>
      </c>
      <c r="I153" s="34" t="s">
        <v>469</v>
      </c>
      <c r="J153" s="34" t="s">
        <v>180</v>
      </c>
      <c r="K153" s="34">
        <v>147.13</v>
      </c>
      <c r="L153" s="34" t="s">
        <v>470</v>
      </c>
      <c r="M153" s="34" t="s">
        <v>471</v>
      </c>
      <c r="N153" s="264">
        <v>41899</v>
      </c>
      <c r="O153" s="257">
        <v>41880</v>
      </c>
      <c r="P153" s="34" t="s">
        <v>160</v>
      </c>
      <c r="Q153" s="34" t="s">
        <v>472</v>
      </c>
      <c r="R153" s="34"/>
      <c r="S153" s="34">
        <f>924.8-147.73-34.7-42.9</f>
        <v>699.46999999999991</v>
      </c>
      <c r="T153" s="36">
        <f t="shared" ca="1" si="15"/>
        <v>1475</v>
      </c>
      <c r="U153" s="37"/>
      <c r="V153" s="37"/>
      <c r="W153" s="44"/>
      <c r="X153" s="40"/>
      <c r="Y153" s="39"/>
      <c r="Z153" s="40"/>
      <c r="AA153" s="41" t="str">
        <f t="shared" ca="1" si="16"/>
        <v/>
      </c>
      <c r="AB153" s="40"/>
      <c r="AC153" s="40"/>
      <c r="AD153" s="40"/>
      <c r="AE153" s="40"/>
      <c r="AF153" s="136" t="str">
        <f t="shared" ca="1" si="11"/>
        <v/>
      </c>
      <c r="AG153" s="29"/>
      <c r="AH153" s="29"/>
      <c r="AI153" s="29"/>
      <c r="AJ153" s="29"/>
      <c r="AK153" s="30"/>
      <c r="AL153" s="30"/>
    </row>
    <row r="154" spans="1:38" ht="24.95" customHeight="1" x14ac:dyDescent="0.25">
      <c r="A154" s="81" t="str">
        <f t="shared" si="14"/>
        <v>14REF010</v>
      </c>
      <c r="B154" s="167">
        <v>10</v>
      </c>
      <c r="C154" s="81" t="s">
        <v>39</v>
      </c>
      <c r="D154" s="82" t="s">
        <v>40</v>
      </c>
      <c r="E154" s="33" t="s">
        <v>41</v>
      </c>
      <c r="F154" s="33" t="s">
        <v>467</v>
      </c>
      <c r="G154" s="248" t="s">
        <v>468</v>
      </c>
      <c r="H154" s="34" t="s">
        <v>330</v>
      </c>
      <c r="I154" s="34" t="s">
        <v>469</v>
      </c>
      <c r="J154" s="34" t="s">
        <v>180</v>
      </c>
      <c r="K154" s="34">
        <v>147.13</v>
      </c>
      <c r="L154" s="34" t="s">
        <v>470</v>
      </c>
      <c r="M154" s="34" t="s">
        <v>471</v>
      </c>
      <c r="N154" s="264">
        <v>41915</v>
      </c>
      <c r="O154" s="257"/>
      <c r="P154" s="34" t="s">
        <v>160</v>
      </c>
      <c r="Q154" s="34" t="s">
        <v>472</v>
      </c>
      <c r="R154" s="84"/>
      <c r="S154" s="84"/>
      <c r="T154" s="36" t="str">
        <f t="shared" ca="1" si="15"/>
        <v/>
      </c>
      <c r="U154" s="37"/>
      <c r="V154" s="37"/>
      <c r="W154" s="44"/>
      <c r="X154" s="40"/>
      <c r="Y154" s="39"/>
      <c r="Z154" s="40"/>
      <c r="AA154" s="41" t="str">
        <f t="shared" ca="1" si="16"/>
        <v/>
      </c>
      <c r="AB154" s="40"/>
      <c r="AC154" s="40"/>
      <c r="AD154" s="40"/>
      <c r="AE154" s="40"/>
      <c r="AF154" s="136" t="str">
        <f t="shared" ca="1" si="11"/>
        <v/>
      </c>
      <c r="AG154" s="29"/>
      <c r="AH154" s="29"/>
      <c r="AI154" s="29"/>
      <c r="AJ154" s="29"/>
      <c r="AK154" s="30"/>
      <c r="AL154" s="30"/>
    </row>
    <row r="155" spans="1:38" ht="24.95" customHeight="1" x14ac:dyDescent="0.25">
      <c r="A155" s="81" t="str">
        <f>IF(C155="","",CONCATENATE(14,MID(C155,1,3),IF(B155&lt;10,"00",0),B155))</f>
        <v>14REF011</v>
      </c>
      <c r="B155" s="167">
        <v>11</v>
      </c>
      <c r="C155" s="81" t="s">
        <v>39</v>
      </c>
      <c r="D155" s="82" t="s">
        <v>40</v>
      </c>
      <c r="E155" s="33" t="s">
        <v>41</v>
      </c>
      <c r="F155" s="33" t="s">
        <v>473</v>
      </c>
      <c r="G155" s="248" t="s">
        <v>474</v>
      </c>
      <c r="H155" s="34" t="s">
        <v>330</v>
      </c>
      <c r="I155" s="34" t="s">
        <v>475</v>
      </c>
      <c r="J155" s="34" t="s">
        <v>180</v>
      </c>
      <c r="K155" s="34">
        <v>375.86</v>
      </c>
      <c r="L155" s="34" t="s">
        <v>476</v>
      </c>
      <c r="M155" s="34" t="s">
        <v>477</v>
      </c>
      <c r="N155" s="264">
        <v>41695</v>
      </c>
      <c r="O155" s="257">
        <v>41843</v>
      </c>
      <c r="P155" s="34" t="s">
        <v>124</v>
      </c>
      <c r="Q155" s="34" t="s">
        <v>478</v>
      </c>
      <c r="R155" s="84"/>
      <c r="S155" s="84">
        <v>77.2</v>
      </c>
      <c r="T155" s="36">
        <f t="shared" ca="1" si="15"/>
        <v>1511</v>
      </c>
      <c r="U155" s="37"/>
      <c r="V155" s="37"/>
      <c r="W155" s="44"/>
      <c r="X155" s="40"/>
      <c r="Y155" s="39"/>
      <c r="Z155" s="40"/>
      <c r="AA155" s="41" t="str">
        <f t="shared" ca="1" si="16"/>
        <v/>
      </c>
      <c r="AB155" s="40"/>
      <c r="AC155" s="40"/>
      <c r="AD155" s="40"/>
      <c r="AE155" s="40"/>
      <c r="AF155" s="136" t="str">
        <f t="shared" ca="1" si="11"/>
        <v/>
      </c>
      <c r="AG155" s="29"/>
      <c r="AH155" s="29"/>
      <c r="AI155" s="29"/>
      <c r="AJ155" s="29"/>
      <c r="AK155" s="30"/>
      <c r="AL155" s="30"/>
    </row>
    <row r="156" spans="1:38" ht="24.95" customHeight="1" x14ac:dyDescent="0.25">
      <c r="A156" s="81" t="str">
        <f t="shared" si="14"/>
        <v>14REF012</v>
      </c>
      <c r="B156" s="167">
        <v>12</v>
      </c>
      <c r="C156" s="81" t="s">
        <v>39</v>
      </c>
      <c r="D156" s="82" t="s">
        <v>40</v>
      </c>
      <c r="E156" s="33" t="s">
        <v>41</v>
      </c>
      <c r="F156" s="33" t="s">
        <v>479</v>
      </c>
      <c r="G156" s="248" t="s">
        <v>480</v>
      </c>
      <c r="H156" s="34" t="s">
        <v>330</v>
      </c>
      <c r="I156" s="34" t="s">
        <v>481</v>
      </c>
      <c r="J156" s="34" t="s">
        <v>180</v>
      </c>
      <c r="K156" s="34">
        <v>371.39</v>
      </c>
      <c r="L156" s="34" t="s">
        <v>482</v>
      </c>
      <c r="M156" s="34" t="s">
        <v>483</v>
      </c>
      <c r="N156" s="264">
        <v>41915</v>
      </c>
      <c r="O156" s="257">
        <v>41922</v>
      </c>
      <c r="P156" s="34" t="s">
        <v>183</v>
      </c>
      <c r="Q156" s="34" t="s">
        <v>484</v>
      </c>
      <c r="R156" s="84"/>
      <c r="S156" s="84">
        <v>32.32</v>
      </c>
      <c r="T156" s="36">
        <f t="shared" ca="1" si="15"/>
        <v>1434</v>
      </c>
      <c r="U156" s="37"/>
      <c r="V156" s="37"/>
      <c r="W156" s="44"/>
      <c r="X156" s="40"/>
      <c r="Y156" s="39"/>
      <c r="Z156" s="40"/>
      <c r="AA156" s="41" t="str">
        <f t="shared" ca="1" si="16"/>
        <v/>
      </c>
      <c r="AB156" s="40"/>
      <c r="AC156" s="40"/>
      <c r="AD156" s="40"/>
      <c r="AE156" s="40"/>
      <c r="AF156" s="136" t="str">
        <f t="shared" ca="1" si="11"/>
        <v/>
      </c>
      <c r="AG156" s="29"/>
      <c r="AH156" s="29"/>
      <c r="AI156" s="29"/>
      <c r="AJ156" s="29"/>
      <c r="AK156" s="30"/>
      <c r="AL156" s="30"/>
    </row>
    <row r="157" spans="1:38" ht="24.95" customHeight="1" x14ac:dyDescent="0.25">
      <c r="A157" s="81" t="str">
        <f t="shared" si="14"/>
        <v>14REF013</v>
      </c>
      <c r="B157" s="167">
        <v>13</v>
      </c>
      <c r="C157" s="81" t="s">
        <v>39</v>
      </c>
      <c r="D157" s="82" t="s">
        <v>40</v>
      </c>
      <c r="E157" s="33" t="s">
        <v>41</v>
      </c>
      <c r="F157" s="33" t="s">
        <v>485</v>
      </c>
      <c r="G157" s="248"/>
      <c r="H157" s="34" t="s">
        <v>112</v>
      </c>
      <c r="I157" s="34" t="s">
        <v>486</v>
      </c>
      <c r="J157" s="34" t="s">
        <v>45</v>
      </c>
      <c r="K157" s="34">
        <v>362.38</v>
      </c>
      <c r="L157" s="34">
        <v>1209</v>
      </c>
      <c r="M157" s="34" t="s">
        <v>487</v>
      </c>
      <c r="N157" s="264">
        <v>41648</v>
      </c>
      <c r="O157" s="257"/>
      <c r="P157" s="34" t="s">
        <v>86</v>
      </c>
      <c r="Q157" s="34" t="s">
        <v>212</v>
      </c>
      <c r="R157" s="84"/>
      <c r="S157" s="84"/>
      <c r="T157" s="36" t="str">
        <f t="shared" ca="1" si="15"/>
        <v/>
      </c>
      <c r="U157" s="37"/>
      <c r="V157" s="37"/>
      <c r="W157" s="44"/>
      <c r="X157" s="40"/>
      <c r="Y157" s="39"/>
      <c r="Z157" s="40"/>
      <c r="AA157" s="41" t="str">
        <f t="shared" ca="1" si="16"/>
        <v/>
      </c>
      <c r="AB157" s="40"/>
      <c r="AC157" s="40"/>
      <c r="AD157" s="40"/>
      <c r="AE157" s="40"/>
      <c r="AF157" s="136" t="str">
        <f t="shared" ca="1" si="11"/>
        <v/>
      </c>
      <c r="AG157" s="29"/>
      <c r="AH157" s="29"/>
      <c r="AI157" s="29"/>
      <c r="AJ157" s="29"/>
      <c r="AK157" s="30"/>
      <c r="AL157" s="30"/>
    </row>
    <row r="158" spans="1:38" ht="24.95" customHeight="1" x14ac:dyDescent="0.25">
      <c r="A158" s="81" t="str">
        <f t="shared" si="14"/>
        <v>14REF014</v>
      </c>
      <c r="B158" s="167">
        <v>14</v>
      </c>
      <c r="C158" s="81" t="s">
        <v>39</v>
      </c>
      <c r="D158" s="82" t="s">
        <v>40</v>
      </c>
      <c r="E158" s="33" t="s">
        <v>41</v>
      </c>
      <c r="F158" s="33" t="s">
        <v>488</v>
      </c>
      <c r="G158" s="248"/>
      <c r="H158" s="34" t="s">
        <v>112</v>
      </c>
      <c r="I158" s="34" t="s">
        <v>489</v>
      </c>
      <c r="J158" s="34" t="s">
        <v>45</v>
      </c>
      <c r="K158" s="34">
        <v>215.77</v>
      </c>
      <c r="L158" s="34" t="s">
        <v>490</v>
      </c>
      <c r="M158" s="34" t="s">
        <v>491</v>
      </c>
      <c r="N158" s="264">
        <v>41885</v>
      </c>
      <c r="O158" s="257">
        <v>42625</v>
      </c>
      <c r="P158" s="34" t="s">
        <v>183</v>
      </c>
      <c r="Q158" s="34" t="s">
        <v>49</v>
      </c>
      <c r="R158" s="84"/>
      <c r="S158" s="84">
        <f>34.25-25.53</f>
        <v>8.7199999999999989</v>
      </c>
      <c r="T158" s="36">
        <f t="shared" ca="1" si="15"/>
        <v>742</v>
      </c>
      <c r="U158" s="37"/>
      <c r="V158" s="37"/>
      <c r="W158" s="44">
        <v>42724</v>
      </c>
      <c r="X158" s="40" t="s">
        <v>248</v>
      </c>
      <c r="Y158" s="39" t="s">
        <v>1994</v>
      </c>
      <c r="Z158" s="40" t="s">
        <v>49</v>
      </c>
      <c r="AA158" s="41">
        <f ca="1">IF(W158="","",IF(W158,DAYS360(W158,TODAY())))</f>
        <v>644</v>
      </c>
      <c r="AB158" s="40"/>
      <c r="AC158" s="40"/>
      <c r="AD158" s="40"/>
      <c r="AE158" s="40"/>
      <c r="AF158" s="136" t="str">
        <f t="shared" ca="1" si="11"/>
        <v/>
      </c>
      <c r="AG158" s="29"/>
      <c r="AH158" s="29"/>
      <c r="AI158" s="29"/>
      <c r="AJ158" s="29"/>
      <c r="AK158" s="30"/>
      <c r="AL158" s="30"/>
    </row>
    <row r="159" spans="1:38" ht="24.95" customHeight="1" x14ac:dyDescent="0.25">
      <c r="A159" s="81" t="str">
        <f t="shared" si="14"/>
        <v>14REF015</v>
      </c>
      <c r="B159" s="167">
        <v>15</v>
      </c>
      <c r="C159" s="81" t="s">
        <v>39</v>
      </c>
      <c r="D159" s="82" t="s">
        <v>40</v>
      </c>
      <c r="E159" s="33" t="s">
        <v>41</v>
      </c>
      <c r="F159" s="33" t="s">
        <v>492</v>
      </c>
      <c r="G159" s="248" t="s">
        <v>493</v>
      </c>
      <c r="H159" s="34" t="s">
        <v>330</v>
      </c>
      <c r="I159" s="34" t="s">
        <v>494</v>
      </c>
      <c r="J159" s="47" t="s">
        <v>105</v>
      </c>
      <c r="K159" s="34">
        <v>897.45</v>
      </c>
      <c r="L159" s="34" t="s">
        <v>495</v>
      </c>
      <c r="M159" s="34" t="s">
        <v>496</v>
      </c>
      <c r="N159" s="264">
        <v>41915</v>
      </c>
      <c r="O159" s="257">
        <v>42030</v>
      </c>
      <c r="P159" s="34" t="s">
        <v>497</v>
      </c>
      <c r="Q159" s="34" t="s">
        <v>498</v>
      </c>
      <c r="R159" s="84"/>
      <c r="S159" s="84">
        <f>49.15-2.34</f>
        <v>46.81</v>
      </c>
      <c r="T159" s="36">
        <f t="shared" ca="1" si="15"/>
        <v>1328</v>
      </c>
      <c r="U159" s="37"/>
      <c r="V159" s="37"/>
      <c r="W159" s="44"/>
      <c r="X159" s="40"/>
      <c r="Y159" s="39"/>
      <c r="Z159" s="40"/>
      <c r="AA159" s="41" t="str">
        <f t="shared" ca="1" si="16"/>
        <v/>
      </c>
      <c r="AB159" s="40"/>
      <c r="AC159" s="40"/>
      <c r="AD159" s="40"/>
      <c r="AE159" s="40"/>
      <c r="AF159" s="136" t="str">
        <f t="shared" ca="1" si="11"/>
        <v/>
      </c>
      <c r="AG159" s="29"/>
      <c r="AH159" s="29"/>
      <c r="AI159" s="29"/>
      <c r="AJ159" s="29"/>
      <c r="AK159" s="30"/>
      <c r="AL159" s="30"/>
    </row>
    <row r="160" spans="1:38" ht="24.95" customHeight="1" x14ac:dyDescent="0.25">
      <c r="A160" s="81" t="str">
        <f t="shared" si="14"/>
        <v>14REF016</v>
      </c>
      <c r="B160" s="167">
        <v>16</v>
      </c>
      <c r="C160" s="81" t="s">
        <v>39</v>
      </c>
      <c r="D160" s="82" t="s">
        <v>40</v>
      </c>
      <c r="E160" s="33" t="s">
        <v>41</v>
      </c>
      <c r="F160" s="33" t="s">
        <v>860</v>
      </c>
      <c r="G160" s="248" t="s">
        <v>802</v>
      </c>
      <c r="H160" s="34" t="s">
        <v>330</v>
      </c>
      <c r="I160" s="34" t="s">
        <v>971</v>
      </c>
      <c r="J160" s="34" t="s">
        <v>180</v>
      </c>
      <c r="K160" s="34">
        <v>340.78</v>
      </c>
      <c r="L160" s="34" t="s">
        <v>862</v>
      </c>
      <c r="M160" s="34" t="s">
        <v>863</v>
      </c>
      <c r="N160" s="264">
        <v>41848</v>
      </c>
      <c r="O160" s="257">
        <v>42121</v>
      </c>
      <c r="P160" s="34" t="s">
        <v>183</v>
      </c>
      <c r="Q160" s="34" t="s">
        <v>212</v>
      </c>
      <c r="R160" s="84"/>
      <c r="S160" s="84">
        <v>0</v>
      </c>
      <c r="T160" s="36" t="str">
        <f t="shared" ca="1" si="15"/>
        <v>Empty</v>
      </c>
      <c r="U160" s="37"/>
      <c r="V160" s="37"/>
      <c r="W160" s="44"/>
      <c r="X160" s="40"/>
      <c r="Y160" s="39"/>
      <c r="Z160" s="40"/>
      <c r="AA160" s="41" t="str">
        <f t="shared" ca="1" si="16"/>
        <v/>
      </c>
      <c r="AB160" s="40"/>
      <c r="AC160" s="40"/>
      <c r="AD160" s="40"/>
      <c r="AE160" s="40"/>
      <c r="AF160" s="136" t="str">
        <f t="shared" ca="1" si="11"/>
        <v/>
      </c>
      <c r="AG160" s="29"/>
      <c r="AH160" s="29"/>
      <c r="AI160" s="29"/>
      <c r="AJ160" s="29"/>
      <c r="AK160" s="30"/>
      <c r="AL160" s="30"/>
    </row>
    <row r="161" spans="1:38" ht="24.95" customHeight="1" x14ac:dyDescent="0.25">
      <c r="A161" s="81" t="str">
        <f t="shared" si="14"/>
        <v>14REF017</v>
      </c>
      <c r="B161" s="167">
        <v>17</v>
      </c>
      <c r="C161" s="81" t="s">
        <v>39</v>
      </c>
      <c r="D161" s="82" t="s">
        <v>40</v>
      </c>
      <c r="E161" s="33" t="s">
        <v>41</v>
      </c>
      <c r="F161" s="33" t="s">
        <v>499</v>
      </c>
      <c r="G161" s="248" t="s">
        <v>500</v>
      </c>
      <c r="H161" s="34" t="s">
        <v>330</v>
      </c>
      <c r="I161" s="34" t="s">
        <v>501</v>
      </c>
      <c r="J161" s="47" t="s">
        <v>105</v>
      </c>
      <c r="K161" s="34">
        <v>450.19</v>
      </c>
      <c r="L161" s="34" t="s">
        <v>502</v>
      </c>
      <c r="M161" s="34" t="s">
        <v>503</v>
      </c>
      <c r="N161" s="264">
        <v>41858</v>
      </c>
      <c r="O161" s="257">
        <v>41873</v>
      </c>
      <c r="P161" s="34" t="s">
        <v>124</v>
      </c>
      <c r="Q161" s="34" t="s">
        <v>504</v>
      </c>
      <c r="R161" s="84"/>
      <c r="S161" s="84">
        <v>98.49</v>
      </c>
      <c r="T161" s="36">
        <f t="shared" ca="1" si="15"/>
        <v>1482</v>
      </c>
      <c r="U161" s="37"/>
      <c r="V161" s="37"/>
      <c r="W161" s="44"/>
      <c r="X161" s="40"/>
      <c r="Y161" s="39"/>
      <c r="Z161" s="40"/>
      <c r="AA161" s="41" t="str">
        <f t="shared" ca="1" si="16"/>
        <v/>
      </c>
      <c r="AB161" s="40"/>
      <c r="AC161" s="40"/>
      <c r="AD161" s="40"/>
      <c r="AE161" s="40"/>
      <c r="AF161" s="136" t="str">
        <f t="shared" ca="1" si="11"/>
        <v/>
      </c>
      <c r="AG161" s="29"/>
      <c r="AH161" s="29"/>
      <c r="AI161" s="29"/>
      <c r="AJ161" s="29"/>
      <c r="AK161" s="30"/>
      <c r="AL161" s="30"/>
    </row>
    <row r="162" spans="1:38" ht="24.95" customHeight="1" x14ac:dyDescent="0.25">
      <c r="A162" s="81" t="str">
        <f t="shared" si="14"/>
        <v>14REF018</v>
      </c>
      <c r="B162" s="167">
        <v>18</v>
      </c>
      <c r="C162" s="81" t="s">
        <v>39</v>
      </c>
      <c r="D162" s="82" t="s">
        <v>40</v>
      </c>
      <c r="E162" s="33" t="s">
        <v>41</v>
      </c>
      <c r="F162" s="33" t="s">
        <v>505</v>
      </c>
      <c r="G162" s="248" t="s">
        <v>506</v>
      </c>
      <c r="H162" s="34" t="s">
        <v>330</v>
      </c>
      <c r="I162" s="34" t="s">
        <v>507</v>
      </c>
      <c r="J162" s="34" t="s">
        <v>45</v>
      </c>
      <c r="K162" s="34">
        <v>305.72000000000003</v>
      </c>
      <c r="L162" s="34" t="s">
        <v>508</v>
      </c>
      <c r="M162" s="34" t="s">
        <v>509</v>
      </c>
      <c r="N162" s="264">
        <v>41890</v>
      </c>
      <c r="O162" s="257">
        <v>41891</v>
      </c>
      <c r="P162" s="34" t="s">
        <v>183</v>
      </c>
      <c r="Q162" s="34" t="s">
        <v>510</v>
      </c>
      <c r="R162" s="84"/>
      <c r="S162" s="84">
        <v>15.8</v>
      </c>
      <c r="T162" s="36">
        <f t="shared" ca="1" si="15"/>
        <v>1465</v>
      </c>
      <c r="U162" s="37"/>
      <c r="V162" s="37"/>
      <c r="W162" s="44"/>
      <c r="X162" s="40"/>
      <c r="Y162" s="39"/>
      <c r="Z162" s="40"/>
      <c r="AA162" s="41" t="str">
        <f t="shared" ca="1" si="16"/>
        <v/>
      </c>
      <c r="AB162" s="40"/>
      <c r="AC162" s="40"/>
      <c r="AD162" s="40"/>
      <c r="AE162" s="40"/>
      <c r="AF162" s="136" t="str">
        <f t="shared" ca="1" si="11"/>
        <v/>
      </c>
      <c r="AG162" s="29"/>
      <c r="AH162" s="29"/>
      <c r="AI162" s="29"/>
      <c r="AJ162" s="29"/>
      <c r="AK162" s="30"/>
      <c r="AL162" s="30"/>
    </row>
    <row r="163" spans="1:38" ht="24.95" customHeight="1" x14ac:dyDescent="0.25">
      <c r="A163" s="81" t="str">
        <f t="shared" si="14"/>
        <v>14REF019</v>
      </c>
      <c r="B163" s="167">
        <v>19</v>
      </c>
      <c r="C163" s="81" t="s">
        <v>39</v>
      </c>
      <c r="D163" s="82" t="s">
        <v>40</v>
      </c>
      <c r="E163" s="33" t="s">
        <v>41</v>
      </c>
      <c r="F163" s="33" t="s">
        <v>505</v>
      </c>
      <c r="G163" s="248" t="s">
        <v>506</v>
      </c>
      <c r="H163" s="34" t="s">
        <v>330</v>
      </c>
      <c r="I163" s="34" t="s">
        <v>507</v>
      </c>
      <c r="J163" s="34" t="s">
        <v>45</v>
      </c>
      <c r="K163" s="34">
        <v>305.72000000000003</v>
      </c>
      <c r="L163" s="34" t="s">
        <v>508</v>
      </c>
      <c r="M163" s="34" t="s">
        <v>509</v>
      </c>
      <c r="N163" s="264">
        <v>41915</v>
      </c>
      <c r="O163" s="257"/>
      <c r="P163" s="34" t="s">
        <v>86</v>
      </c>
      <c r="Q163" s="34" t="s">
        <v>510</v>
      </c>
      <c r="R163" s="84"/>
      <c r="S163" s="84"/>
      <c r="T163" s="36" t="str">
        <f t="shared" ca="1" si="15"/>
        <v/>
      </c>
      <c r="U163" s="37"/>
      <c r="V163" s="37"/>
      <c r="W163" s="44"/>
      <c r="X163" s="40"/>
      <c r="Y163" s="39"/>
      <c r="Z163" s="40"/>
      <c r="AA163" s="41" t="str">
        <f t="shared" ca="1" si="16"/>
        <v/>
      </c>
      <c r="AB163" s="40"/>
      <c r="AC163" s="40"/>
      <c r="AD163" s="40"/>
      <c r="AE163" s="40"/>
      <c r="AF163" s="136" t="str">
        <f t="shared" ca="1" si="11"/>
        <v/>
      </c>
      <c r="AG163" s="29"/>
      <c r="AH163" s="29"/>
      <c r="AI163" s="29"/>
      <c r="AJ163" s="29"/>
      <c r="AK163" s="30"/>
      <c r="AL163" s="30"/>
    </row>
    <row r="164" spans="1:38" ht="23.25" x14ac:dyDescent="0.25">
      <c r="A164" s="85" t="str">
        <f t="shared" si="14"/>
        <v>14SAM020</v>
      </c>
      <c r="B164" s="169">
        <v>20</v>
      </c>
      <c r="C164" s="85" t="s">
        <v>57</v>
      </c>
      <c r="D164" s="86" t="s">
        <v>40</v>
      </c>
      <c r="E164" s="33" t="s">
        <v>511</v>
      </c>
      <c r="F164" s="33" t="s">
        <v>512</v>
      </c>
      <c r="G164" s="248"/>
      <c r="H164" s="34" t="s">
        <v>60</v>
      </c>
      <c r="I164" s="34" t="s">
        <v>513</v>
      </c>
      <c r="J164" s="34" t="s">
        <v>45</v>
      </c>
      <c r="K164" s="34">
        <v>298.29000000000002</v>
      </c>
      <c r="L164" s="47" t="s">
        <v>61</v>
      </c>
      <c r="M164" s="47" t="s">
        <v>61</v>
      </c>
      <c r="N164" s="264">
        <v>41808</v>
      </c>
      <c r="O164" s="257">
        <v>41810</v>
      </c>
      <c r="P164" s="34" t="s">
        <v>514</v>
      </c>
      <c r="Q164" s="34" t="s">
        <v>49</v>
      </c>
      <c r="R164" s="84"/>
      <c r="S164" s="84">
        <v>9858.2999999999993</v>
      </c>
      <c r="T164" s="36">
        <f t="shared" ca="1" si="15"/>
        <v>1544</v>
      </c>
      <c r="U164" s="37" t="s">
        <v>515</v>
      </c>
      <c r="V164" s="255" t="s">
        <v>1345</v>
      </c>
      <c r="W164" s="44"/>
      <c r="X164" s="40"/>
      <c r="Y164" s="39"/>
      <c r="Z164" s="40"/>
      <c r="AA164" s="41" t="str">
        <f t="shared" ca="1" si="16"/>
        <v/>
      </c>
      <c r="AB164" s="40"/>
      <c r="AC164" s="40"/>
      <c r="AD164" s="40"/>
      <c r="AE164" s="40"/>
      <c r="AF164" s="136" t="str">
        <f t="shared" ca="1" si="11"/>
        <v/>
      </c>
      <c r="AG164" s="29"/>
      <c r="AH164" s="29"/>
      <c r="AI164" s="29"/>
      <c r="AJ164" s="29"/>
      <c r="AK164" s="30"/>
      <c r="AL164" s="30"/>
    </row>
    <row r="165" spans="1:38" ht="24.95" customHeight="1" x14ac:dyDescent="0.25">
      <c r="A165" s="85" t="str">
        <f t="shared" si="14"/>
        <v>14SAM021</v>
      </c>
      <c r="B165" s="169">
        <v>21</v>
      </c>
      <c r="C165" s="85" t="s">
        <v>57</v>
      </c>
      <c r="D165" s="86" t="s">
        <v>40</v>
      </c>
      <c r="E165" s="33" t="s">
        <v>516</v>
      </c>
      <c r="F165" s="33" t="s">
        <v>517</v>
      </c>
      <c r="G165" s="248"/>
      <c r="H165" s="34" t="s">
        <v>60</v>
      </c>
      <c r="I165" s="47" t="s">
        <v>61</v>
      </c>
      <c r="J165" s="34" t="s">
        <v>45</v>
      </c>
      <c r="K165" s="34">
        <v>336.76</v>
      </c>
      <c r="L165" s="47" t="s">
        <v>61</v>
      </c>
      <c r="M165" s="47" t="s">
        <v>61</v>
      </c>
      <c r="N165" s="264">
        <v>41950</v>
      </c>
      <c r="O165" s="257">
        <v>41956</v>
      </c>
      <c r="P165" s="34" t="s">
        <v>518</v>
      </c>
      <c r="Q165" s="34"/>
      <c r="R165" s="84"/>
      <c r="S165" s="84">
        <v>194.21</v>
      </c>
      <c r="T165" s="36">
        <f t="shared" ca="1" si="15"/>
        <v>1401</v>
      </c>
      <c r="U165" s="37" t="s">
        <v>519</v>
      </c>
      <c r="V165" s="37" t="s">
        <v>520</v>
      </c>
      <c r="W165" s="44"/>
      <c r="X165" s="40"/>
      <c r="Y165" s="39"/>
      <c r="Z165" s="40"/>
      <c r="AA165" s="41" t="str">
        <f t="shared" ca="1" si="16"/>
        <v/>
      </c>
      <c r="AB165" s="40"/>
      <c r="AC165" s="40"/>
      <c r="AD165" s="40"/>
      <c r="AE165" s="40"/>
      <c r="AF165" s="136" t="str">
        <f t="shared" ca="1" si="11"/>
        <v/>
      </c>
      <c r="AG165" s="29"/>
      <c r="AH165" s="29"/>
      <c r="AI165" s="29"/>
      <c r="AJ165" s="29"/>
      <c r="AK165" s="30"/>
      <c r="AL165" s="30"/>
    </row>
    <row r="166" spans="1:38" ht="24.95" customHeight="1" x14ac:dyDescent="0.25">
      <c r="A166" s="85" t="str">
        <f t="shared" si="14"/>
        <v>14SAM022</v>
      </c>
      <c r="B166" s="169">
        <v>22</v>
      </c>
      <c r="C166" s="85" t="s">
        <v>57</v>
      </c>
      <c r="D166" s="86" t="s">
        <v>40</v>
      </c>
      <c r="E166" s="33" t="s">
        <v>416</v>
      </c>
      <c r="F166" s="33" t="s">
        <v>521</v>
      </c>
      <c r="G166" s="248"/>
      <c r="H166" s="34" t="s">
        <v>60</v>
      </c>
      <c r="I166" s="47" t="s">
        <v>61</v>
      </c>
      <c r="J166" s="34" t="s">
        <v>45</v>
      </c>
      <c r="K166" s="34">
        <v>352.14</v>
      </c>
      <c r="L166" s="47" t="s">
        <v>61</v>
      </c>
      <c r="M166" s="47" t="s">
        <v>61</v>
      </c>
      <c r="N166" s="264">
        <v>41824</v>
      </c>
      <c r="O166" s="257">
        <v>41837</v>
      </c>
      <c r="P166" s="34" t="s">
        <v>522</v>
      </c>
      <c r="Q166" s="34" t="s">
        <v>212</v>
      </c>
      <c r="R166" s="84"/>
      <c r="S166" s="84">
        <f>45.02-10.3</f>
        <v>34.72</v>
      </c>
      <c r="T166" s="36">
        <f t="shared" ca="1" si="15"/>
        <v>1517</v>
      </c>
      <c r="U166" s="37"/>
      <c r="V166" s="37" t="s">
        <v>523</v>
      </c>
      <c r="W166" s="44"/>
      <c r="X166" s="40"/>
      <c r="Y166" s="39"/>
      <c r="Z166" s="40"/>
      <c r="AA166" s="41" t="str">
        <f t="shared" ca="1" si="16"/>
        <v/>
      </c>
      <c r="AB166" s="40"/>
      <c r="AC166" s="40"/>
      <c r="AD166" s="40"/>
      <c r="AE166" s="40"/>
      <c r="AF166" s="136" t="str">
        <f t="shared" ca="1" si="11"/>
        <v/>
      </c>
      <c r="AG166" s="29"/>
      <c r="AH166" s="29"/>
      <c r="AI166" s="29"/>
      <c r="AJ166" s="29"/>
      <c r="AK166" s="30"/>
      <c r="AL166" s="30"/>
    </row>
    <row r="167" spans="1:38" ht="23.25" x14ac:dyDescent="0.25">
      <c r="A167" s="87" t="str">
        <f t="shared" si="14"/>
        <v>14SAM023</v>
      </c>
      <c r="B167" s="170">
        <v>23</v>
      </c>
      <c r="C167" s="87" t="s">
        <v>57</v>
      </c>
      <c r="D167" s="86" t="s">
        <v>40</v>
      </c>
      <c r="E167" s="33" t="s">
        <v>416</v>
      </c>
      <c r="F167" s="33" t="s">
        <v>524</v>
      </c>
      <c r="G167" s="248" t="s">
        <v>525</v>
      </c>
      <c r="H167" s="34" t="s">
        <v>60</v>
      </c>
      <c r="I167" s="34" t="s">
        <v>526</v>
      </c>
      <c r="J167" s="34" t="s">
        <v>180</v>
      </c>
      <c r="K167" s="34">
        <v>412.02</v>
      </c>
      <c r="L167" s="47" t="s">
        <v>61</v>
      </c>
      <c r="M167" s="47" t="s">
        <v>61</v>
      </c>
      <c r="N167" s="264">
        <v>41853</v>
      </c>
      <c r="O167" s="257"/>
      <c r="P167" s="34" t="s">
        <v>139</v>
      </c>
      <c r="Q167" s="34"/>
      <c r="R167" s="84"/>
      <c r="S167" s="84"/>
      <c r="T167" s="36" t="str">
        <f t="shared" ca="1" si="15"/>
        <v/>
      </c>
      <c r="U167" s="37"/>
      <c r="V167" s="37" t="s">
        <v>527</v>
      </c>
      <c r="W167" s="44"/>
      <c r="X167" s="40"/>
      <c r="Y167" s="39"/>
      <c r="Z167" s="40"/>
      <c r="AA167" s="41" t="str">
        <f t="shared" ca="1" si="16"/>
        <v/>
      </c>
      <c r="AB167" s="40"/>
      <c r="AC167" s="40"/>
      <c r="AD167" s="40"/>
      <c r="AE167" s="40"/>
      <c r="AF167" s="136" t="str">
        <f t="shared" ca="1" si="11"/>
        <v/>
      </c>
      <c r="AG167" s="29"/>
      <c r="AH167" s="29"/>
      <c r="AI167" s="29"/>
      <c r="AJ167" s="29"/>
      <c r="AK167" s="30"/>
      <c r="AL167" s="30"/>
    </row>
    <row r="168" spans="1:38" ht="24.95" customHeight="1" x14ac:dyDescent="0.25">
      <c r="A168" s="87" t="str">
        <f t="shared" si="14"/>
        <v>14SAM024</v>
      </c>
      <c r="B168" s="170">
        <v>24</v>
      </c>
      <c r="C168" s="87" t="s">
        <v>57</v>
      </c>
      <c r="D168" s="86" t="s">
        <v>40</v>
      </c>
      <c r="E168" s="33" t="s">
        <v>416</v>
      </c>
      <c r="F168" s="33" t="s">
        <v>528</v>
      </c>
      <c r="G168" s="248"/>
      <c r="H168" s="34" t="s">
        <v>43</v>
      </c>
      <c r="I168" s="34" t="s">
        <v>529</v>
      </c>
      <c r="J168" s="34" t="s">
        <v>180</v>
      </c>
      <c r="K168" s="34">
        <v>256.08999999999997</v>
      </c>
      <c r="L168" s="47" t="s">
        <v>61</v>
      </c>
      <c r="M168" s="47" t="s">
        <v>61</v>
      </c>
      <c r="N168" s="264">
        <v>41879</v>
      </c>
      <c r="O168" s="257"/>
      <c r="P168" s="34" t="s">
        <v>86</v>
      </c>
      <c r="Q168" s="34"/>
      <c r="R168" s="84"/>
      <c r="S168" s="84"/>
      <c r="T168" s="36" t="str">
        <f t="shared" ca="1" si="15"/>
        <v/>
      </c>
      <c r="U168" s="37"/>
      <c r="V168" s="37" t="s">
        <v>530</v>
      </c>
      <c r="W168" s="44"/>
      <c r="X168" s="40"/>
      <c r="Y168" s="39"/>
      <c r="Z168" s="40"/>
      <c r="AA168" s="41" t="str">
        <f t="shared" ca="1" si="16"/>
        <v/>
      </c>
      <c r="AB168" s="40"/>
      <c r="AC168" s="40"/>
      <c r="AD168" s="40"/>
      <c r="AE168" s="40"/>
      <c r="AF168" s="136" t="str">
        <f t="shared" ca="1" si="11"/>
        <v/>
      </c>
      <c r="AG168" s="29"/>
      <c r="AH168" s="29"/>
      <c r="AI168" s="29"/>
      <c r="AJ168" s="29"/>
      <c r="AK168" s="30"/>
      <c r="AL168" s="30"/>
    </row>
    <row r="169" spans="1:38" ht="24.95" customHeight="1" x14ac:dyDescent="0.25">
      <c r="A169" s="87" t="str">
        <f t="shared" si="14"/>
        <v>14SAM025</v>
      </c>
      <c r="B169" s="170">
        <v>25</v>
      </c>
      <c r="C169" s="87" t="s">
        <v>57</v>
      </c>
      <c r="D169" s="86" t="s">
        <v>40</v>
      </c>
      <c r="E169" s="33" t="s">
        <v>416</v>
      </c>
      <c r="F169" s="33" t="s">
        <v>531</v>
      </c>
      <c r="G169" s="248"/>
      <c r="H169" s="34" t="s">
        <v>112</v>
      </c>
      <c r="I169" s="34" t="s">
        <v>532</v>
      </c>
      <c r="J169" s="34" t="s">
        <v>180</v>
      </c>
      <c r="K169" s="34">
        <v>171.24</v>
      </c>
      <c r="L169" s="47" t="s">
        <v>61</v>
      </c>
      <c r="M169" s="47" t="s">
        <v>61</v>
      </c>
      <c r="N169" s="264">
        <v>41879</v>
      </c>
      <c r="O169" s="257">
        <v>43013</v>
      </c>
      <c r="P169" s="34" t="s">
        <v>86</v>
      </c>
      <c r="Q169" s="34"/>
      <c r="R169" s="84"/>
      <c r="S169" s="84">
        <v>0</v>
      </c>
      <c r="T169" s="36" t="str">
        <f t="shared" ca="1" si="15"/>
        <v>Empty</v>
      </c>
      <c r="U169" s="37"/>
      <c r="V169" s="37" t="s">
        <v>533</v>
      </c>
      <c r="W169" s="44"/>
      <c r="X169" s="40"/>
      <c r="Y169" s="39"/>
      <c r="Z169" s="40"/>
      <c r="AA169" s="41" t="str">
        <f t="shared" ca="1" si="16"/>
        <v/>
      </c>
      <c r="AB169" s="40"/>
      <c r="AC169" s="40"/>
      <c r="AD169" s="40"/>
      <c r="AE169" s="40"/>
      <c r="AF169" s="136" t="str">
        <f t="shared" ca="1" si="11"/>
        <v/>
      </c>
      <c r="AG169" s="29"/>
      <c r="AH169" s="29"/>
      <c r="AI169" s="29"/>
      <c r="AJ169" s="29"/>
      <c r="AK169" s="30"/>
      <c r="AL169" s="30"/>
    </row>
    <row r="170" spans="1:38" ht="24.95" customHeight="1" x14ac:dyDescent="0.25">
      <c r="A170" s="87" t="str">
        <f t="shared" si="14"/>
        <v>14SAM026</v>
      </c>
      <c r="B170" s="170">
        <v>26</v>
      </c>
      <c r="C170" s="87" t="s">
        <v>57</v>
      </c>
      <c r="D170" s="86" t="s">
        <v>40</v>
      </c>
      <c r="E170" s="33" t="s">
        <v>416</v>
      </c>
      <c r="F170" s="33" t="s">
        <v>534</v>
      </c>
      <c r="G170" s="248"/>
      <c r="H170" s="34" t="s">
        <v>43</v>
      </c>
      <c r="I170" s="34" t="s">
        <v>535</v>
      </c>
      <c r="J170" s="34" t="s">
        <v>180</v>
      </c>
      <c r="K170" s="34">
        <v>339.36</v>
      </c>
      <c r="L170" s="47" t="s">
        <v>61</v>
      </c>
      <c r="M170" s="47" t="s">
        <v>61</v>
      </c>
      <c r="N170" s="264">
        <v>41879</v>
      </c>
      <c r="O170" s="257"/>
      <c r="P170" s="34" t="s">
        <v>86</v>
      </c>
      <c r="Q170" s="34"/>
      <c r="R170" s="84"/>
      <c r="S170" s="84"/>
      <c r="T170" s="36" t="str">
        <f t="shared" ca="1" si="15"/>
        <v/>
      </c>
      <c r="U170" s="37"/>
      <c r="V170" s="37" t="s">
        <v>536</v>
      </c>
      <c r="W170" s="44"/>
      <c r="X170" s="40"/>
      <c r="Y170" s="39"/>
      <c r="Z170" s="40"/>
      <c r="AA170" s="41" t="str">
        <f t="shared" ca="1" si="16"/>
        <v/>
      </c>
      <c r="AB170" s="40"/>
      <c r="AC170" s="40"/>
      <c r="AD170" s="40"/>
      <c r="AE170" s="40"/>
      <c r="AF170" s="136" t="str">
        <f t="shared" ca="1" si="11"/>
        <v/>
      </c>
      <c r="AG170" s="29"/>
      <c r="AH170" s="29"/>
      <c r="AI170" s="29"/>
      <c r="AJ170" s="29"/>
      <c r="AK170" s="30"/>
      <c r="AL170" s="30"/>
    </row>
    <row r="171" spans="1:38" ht="24.95" customHeight="1" x14ac:dyDescent="0.25">
      <c r="A171" s="87" t="str">
        <f t="shared" si="14"/>
        <v>14SAM027</v>
      </c>
      <c r="B171" s="170">
        <v>27</v>
      </c>
      <c r="C171" s="87" t="s">
        <v>57</v>
      </c>
      <c r="D171" s="86" t="s">
        <v>40</v>
      </c>
      <c r="E171" s="33" t="s">
        <v>416</v>
      </c>
      <c r="F171" s="33" t="s">
        <v>537</v>
      </c>
      <c r="G171" s="248"/>
      <c r="H171" s="34" t="s">
        <v>60</v>
      </c>
      <c r="I171" s="34" t="s">
        <v>538</v>
      </c>
      <c r="J171" s="47" t="s">
        <v>105</v>
      </c>
      <c r="K171" s="34">
        <v>166.19</v>
      </c>
      <c r="L171" s="47" t="s">
        <v>61</v>
      </c>
      <c r="M171" s="47" t="s">
        <v>61</v>
      </c>
      <c r="N171" s="264">
        <v>41879</v>
      </c>
      <c r="O171" s="257"/>
      <c r="P171" s="34" t="s">
        <v>539</v>
      </c>
      <c r="Q171" s="34"/>
      <c r="R171" s="84"/>
      <c r="S171" s="84"/>
      <c r="T171" s="36" t="str">
        <f t="shared" ca="1" si="15"/>
        <v/>
      </c>
      <c r="U171" s="37"/>
      <c r="V171" s="37" t="s">
        <v>540</v>
      </c>
      <c r="W171" s="44"/>
      <c r="X171" s="40"/>
      <c r="Y171" s="39"/>
      <c r="Z171" s="40"/>
      <c r="AA171" s="41" t="str">
        <f t="shared" ca="1" si="16"/>
        <v/>
      </c>
      <c r="AB171" s="40"/>
      <c r="AC171" s="40"/>
      <c r="AD171" s="40"/>
      <c r="AE171" s="40"/>
      <c r="AF171" s="136" t="str">
        <f t="shared" ca="1" si="11"/>
        <v/>
      </c>
      <c r="AG171" s="29"/>
      <c r="AH171" s="29"/>
      <c r="AI171" s="29"/>
      <c r="AJ171" s="29"/>
      <c r="AK171" s="30"/>
      <c r="AL171" s="30"/>
    </row>
    <row r="172" spans="1:38" ht="24.95" customHeight="1" x14ac:dyDescent="0.25">
      <c r="A172" s="87" t="str">
        <f t="shared" si="14"/>
        <v>14SAM028</v>
      </c>
      <c r="B172" s="170">
        <v>28</v>
      </c>
      <c r="C172" s="87" t="s">
        <v>57</v>
      </c>
      <c r="D172" s="86" t="s">
        <v>40</v>
      </c>
      <c r="E172" s="33" t="s">
        <v>416</v>
      </c>
      <c r="F172" s="33" t="s">
        <v>541</v>
      </c>
      <c r="G172" s="248"/>
      <c r="H172" s="34" t="s">
        <v>60</v>
      </c>
      <c r="I172" s="47" t="s">
        <v>61</v>
      </c>
      <c r="J172" s="34" t="s">
        <v>45</v>
      </c>
      <c r="K172" s="34">
        <v>252.27</v>
      </c>
      <c r="L172" s="47" t="s">
        <v>61</v>
      </c>
      <c r="M172" s="47" t="s">
        <v>61</v>
      </c>
      <c r="N172" s="264">
        <v>41883</v>
      </c>
      <c r="O172" s="257">
        <v>41967</v>
      </c>
      <c r="P172" s="34" t="s">
        <v>542</v>
      </c>
      <c r="Q172" s="34"/>
      <c r="R172" s="84"/>
      <c r="S172" s="84">
        <v>46.1</v>
      </c>
      <c r="T172" s="36">
        <f t="shared" ca="1" si="15"/>
        <v>1390</v>
      </c>
      <c r="U172" s="37" t="s">
        <v>543</v>
      </c>
      <c r="V172" s="37" t="s">
        <v>544</v>
      </c>
      <c r="W172" s="44"/>
      <c r="X172" s="40"/>
      <c r="Y172" s="39"/>
      <c r="Z172" s="40"/>
      <c r="AA172" s="41" t="str">
        <f t="shared" ca="1" si="16"/>
        <v/>
      </c>
      <c r="AB172" s="40"/>
      <c r="AC172" s="40"/>
      <c r="AD172" s="40"/>
      <c r="AE172" s="40"/>
      <c r="AF172" s="136" t="str">
        <f t="shared" ca="1" si="11"/>
        <v/>
      </c>
      <c r="AG172" s="29"/>
      <c r="AH172" s="29"/>
      <c r="AI172" s="29"/>
      <c r="AJ172" s="29"/>
      <c r="AK172" s="30"/>
      <c r="AL172" s="30"/>
    </row>
    <row r="173" spans="1:38" ht="24.95" customHeight="1" x14ac:dyDescent="0.25">
      <c r="A173" s="87" t="str">
        <f t="shared" si="14"/>
        <v>14SAM029</v>
      </c>
      <c r="B173" s="170">
        <v>29</v>
      </c>
      <c r="C173" s="87" t="s">
        <v>57</v>
      </c>
      <c r="D173" s="86" t="s">
        <v>40</v>
      </c>
      <c r="E173" s="33" t="s">
        <v>416</v>
      </c>
      <c r="F173" s="33" t="s">
        <v>541</v>
      </c>
      <c r="G173" s="248"/>
      <c r="H173" s="34" t="s">
        <v>43</v>
      </c>
      <c r="I173" s="34" t="s">
        <v>545</v>
      </c>
      <c r="J173" s="34" t="s">
        <v>45</v>
      </c>
      <c r="K173" s="34">
        <v>252.27</v>
      </c>
      <c r="L173" s="47" t="s">
        <v>61</v>
      </c>
      <c r="M173" s="47" t="s">
        <v>61</v>
      </c>
      <c r="N173" s="264">
        <v>41976</v>
      </c>
      <c r="O173" s="257">
        <v>41741</v>
      </c>
      <c r="P173" s="34" t="s">
        <v>56</v>
      </c>
      <c r="Q173" s="34"/>
      <c r="R173" s="84"/>
      <c r="S173" s="84">
        <v>4470.3999999999996</v>
      </c>
      <c r="T173" s="36">
        <f t="shared" ca="1" si="15"/>
        <v>1612</v>
      </c>
      <c r="U173" s="37" t="s">
        <v>543</v>
      </c>
      <c r="V173" s="37" t="s">
        <v>544</v>
      </c>
      <c r="W173" s="44"/>
      <c r="X173" s="40"/>
      <c r="Y173" s="39"/>
      <c r="Z173" s="40"/>
      <c r="AA173" s="41" t="str">
        <f t="shared" ca="1" si="16"/>
        <v/>
      </c>
      <c r="AB173" s="40"/>
      <c r="AC173" s="40"/>
      <c r="AD173" s="40"/>
      <c r="AE173" s="40"/>
      <c r="AF173" s="136" t="str">
        <f t="shared" ca="1" si="11"/>
        <v/>
      </c>
      <c r="AG173" s="29"/>
      <c r="AH173" s="29"/>
      <c r="AI173" s="29"/>
      <c r="AJ173" s="29"/>
      <c r="AK173" s="30"/>
      <c r="AL173" s="30"/>
    </row>
    <row r="174" spans="1:38" ht="24.95" customHeight="1" x14ac:dyDescent="0.25">
      <c r="A174" s="87" t="str">
        <f t="shared" si="14"/>
        <v>14SAM030</v>
      </c>
      <c r="B174" s="170">
        <v>30</v>
      </c>
      <c r="C174" s="87" t="s">
        <v>57</v>
      </c>
      <c r="D174" s="86" t="s">
        <v>40</v>
      </c>
      <c r="E174" s="33" t="s">
        <v>416</v>
      </c>
      <c r="F174" s="33" t="s">
        <v>546</v>
      </c>
      <c r="G174" s="248"/>
      <c r="H174" s="34" t="s">
        <v>60</v>
      </c>
      <c r="I174" s="47" t="s">
        <v>61</v>
      </c>
      <c r="J174" s="47" t="s">
        <v>105</v>
      </c>
      <c r="K174" s="34">
        <v>138.16999999999999</v>
      </c>
      <c r="L174" s="47" t="s">
        <v>61</v>
      </c>
      <c r="M174" s="47" t="s">
        <v>61</v>
      </c>
      <c r="N174" s="264">
        <v>41908</v>
      </c>
      <c r="O174" s="257">
        <v>41912</v>
      </c>
      <c r="P174" s="34" t="s">
        <v>48</v>
      </c>
      <c r="Q174" s="34"/>
      <c r="R174" s="84"/>
      <c r="S174" s="84">
        <v>23271.9</v>
      </c>
      <c r="T174" s="36">
        <f t="shared" ca="1" si="15"/>
        <v>1444</v>
      </c>
      <c r="U174" s="37" t="s">
        <v>543</v>
      </c>
      <c r="V174" s="37" t="s">
        <v>547</v>
      </c>
      <c r="W174" s="44"/>
      <c r="X174" s="40"/>
      <c r="Y174" s="39"/>
      <c r="Z174" s="40"/>
      <c r="AA174" s="41" t="str">
        <f t="shared" ca="1" si="16"/>
        <v/>
      </c>
      <c r="AB174" s="40"/>
      <c r="AC174" s="40"/>
      <c r="AD174" s="40"/>
      <c r="AE174" s="40"/>
      <c r="AF174" s="136" t="str">
        <f t="shared" ca="1" si="11"/>
        <v/>
      </c>
      <c r="AG174" s="29"/>
      <c r="AH174" s="29"/>
      <c r="AI174" s="29"/>
      <c r="AJ174" s="29"/>
      <c r="AK174" s="30"/>
      <c r="AL174" s="30"/>
    </row>
    <row r="175" spans="1:38" ht="24.95" customHeight="1" x14ac:dyDescent="0.25">
      <c r="A175" s="89" t="str">
        <f t="shared" si="14"/>
        <v>14SAM031</v>
      </c>
      <c r="B175" s="171">
        <v>31</v>
      </c>
      <c r="C175" s="89" t="s">
        <v>57</v>
      </c>
      <c r="D175" s="90" t="s">
        <v>40</v>
      </c>
      <c r="E175" s="33" t="s">
        <v>416</v>
      </c>
      <c r="F175" s="33" t="s">
        <v>548</v>
      </c>
      <c r="G175" s="248"/>
      <c r="H175" s="34" t="s">
        <v>43</v>
      </c>
      <c r="I175" s="34" t="s">
        <v>549</v>
      </c>
      <c r="J175" s="34" t="s">
        <v>180</v>
      </c>
      <c r="K175" s="34">
        <v>362.23</v>
      </c>
      <c r="L175" s="47" t="s">
        <v>61</v>
      </c>
      <c r="M175" s="47" t="s">
        <v>61</v>
      </c>
      <c r="N175" s="264">
        <v>41942</v>
      </c>
      <c r="O175" s="257">
        <v>42941</v>
      </c>
      <c r="P175" s="34" t="s">
        <v>497</v>
      </c>
      <c r="Q175" s="34"/>
      <c r="R175" s="84"/>
      <c r="S175" s="84">
        <v>0</v>
      </c>
      <c r="T175" s="36" t="str">
        <f t="shared" ca="1" si="15"/>
        <v>Empty</v>
      </c>
      <c r="U175" s="37" t="s">
        <v>2319</v>
      </c>
      <c r="V175" s="37" t="s">
        <v>550</v>
      </c>
      <c r="W175" s="44">
        <v>42941</v>
      </c>
      <c r="X175" s="40" t="s">
        <v>50</v>
      </c>
      <c r="Y175" s="39" t="s">
        <v>2393</v>
      </c>
      <c r="Z175" s="40" t="s">
        <v>49</v>
      </c>
      <c r="AA175" s="41">
        <f t="shared" ca="1" si="16"/>
        <v>429</v>
      </c>
      <c r="AB175" s="40"/>
      <c r="AC175" s="40"/>
      <c r="AD175" s="40"/>
      <c r="AE175" s="40"/>
      <c r="AF175" s="136" t="str">
        <f t="shared" ca="1" si="11"/>
        <v/>
      </c>
      <c r="AG175" s="29"/>
      <c r="AH175" s="29"/>
      <c r="AI175" s="29"/>
      <c r="AJ175" s="29"/>
      <c r="AK175" s="30"/>
      <c r="AL175" s="30"/>
    </row>
    <row r="176" spans="1:38" ht="24.95" customHeight="1" x14ac:dyDescent="0.25">
      <c r="A176" s="87" t="str">
        <f t="shared" si="14"/>
        <v>14SAM032</v>
      </c>
      <c r="B176" s="170">
        <v>32</v>
      </c>
      <c r="C176" s="87" t="s">
        <v>57</v>
      </c>
      <c r="D176" s="86" t="s">
        <v>40</v>
      </c>
      <c r="E176" s="33" t="s">
        <v>416</v>
      </c>
      <c r="F176" s="33" t="s">
        <v>551</v>
      </c>
      <c r="G176" s="248"/>
      <c r="H176" s="34" t="s">
        <v>60</v>
      </c>
      <c r="I176" s="34" t="s">
        <v>552</v>
      </c>
      <c r="J176" s="34" t="s">
        <v>45</v>
      </c>
      <c r="K176" s="34">
        <v>166.19</v>
      </c>
      <c r="L176" s="47" t="s">
        <v>61</v>
      </c>
      <c r="M176" s="47" t="s">
        <v>61</v>
      </c>
      <c r="N176" s="264">
        <v>41961</v>
      </c>
      <c r="O176" s="257">
        <v>41962</v>
      </c>
      <c r="P176" s="34" t="s">
        <v>514</v>
      </c>
      <c r="Q176" s="34"/>
      <c r="R176" s="84"/>
      <c r="S176" s="84">
        <v>9933.52</v>
      </c>
      <c r="T176" s="36">
        <f t="shared" ca="1" si="15"/>
        <v>1395</v>
      </c>
      <c r="U176" s="37" t="s">
        <v>543</v>
      </c>
      <c r="V176" s="37" t="s">
        <v>553</v>
      </c>
      <c r="W176" s="44"/>
      <c r="X176" s="40"/>
      <c r="Y176" s="39"/>
      <c r="Z176" s="40"/>
      <c r="AA176" s="41" t="str">
        <f t="shared" ca="1" si="16"/>
        <v/>
      </c>
      <c r="AB176" s="40"/>
      <c r="AC176" s="40"/>
      <c r="AD176" s="40"/>
      <c r="AE176" s="40"/>
      <c r="AF176" s="136" t="str">
        <f t="shared" ca="1" si="11"/>
        <v/>
      </c>
      <c r="AG176" s="29"/>
      <c r="AH176" s="29"/>
      <c r="AI176" s="29"/>
      <c r="AJ176" s="29"/>
      <c r="AK176" s="30"/>
      <c r="AL176" s="30"/>
    </row>
    <row r="177" spans="1:38" ht="23.25" x14ac:dyDescent="0.25">
      <c r="A177" s="87" t="str">
        <f t="shared" si="14"/>
        <v>14SAM033</v>
      </c>
      <c r="B177" s="170">
        <v>33</v>
      </c>
      <c r="C177" s="87" t="s">
        <v>57</v>
      </c>
      <c r="D177" s="86" t="s">
        <v>40</v>
      </c>
      <c r="E177" s="33" t="s">
        <v>416</v>
      </c>
      <c r="F177" s="33" t="s">
        <v>524</v>
      </c>
      <c r="G177" s="248" t="s">
        <v>525</v>
      </c>
      <c r="H177" s="34" t="s">
        <v>43</v>
      </c>
      <c r="I177" s="34" t="s">
        <v>554</v>
      </c>
      <c r="J177" s="34" t="s">
        <v>180</v>
      </c>
      <c r="K177" s="34">
        <v>375.55</v>
      </c>
      <c r="L177" s="47" t="s">
        <v>61</v>
      </c>
      <c r="M177" s="47" t="s">
        <v>61</v>
      </c>
      <c r="N177" s="264">
        <v>41961</v>
      </c>
      <c r="O177" s="257"/>
      <c r="P177" s="34" t="s">
        <v>183</v>
      </c>
      <c r="Q177" s="34"/>
      <c r="R177" s="84"/>
      <c r="S177" s="84"/>
      <c r="T177" s="36" t="str">
        <f t="shared" ca="1" si="15"/>
        <v/>
      </c>
      <c r="U177" s="37"/>
      <c r="V177" s="37" t="s">
        <v>555</v>
      </c>
      <c r="W177" s="44"/>
      <c r="X177" s="40"/>
      <c r="Y177" s="39"/>
      <c r="Z177" s="40"/>
      <c r="AA177" s="41" t="str">
        <f t="shared" ca="1" si="16"/>
        <v/>
      </c>
      <c r="AB177" s="40"/>
      <c r="AC177" s="40"/>
      <c r="AD177" s="40"/>
      <c r="AE177" s="40"/>
      <c r="AF177" s="136" t="str">
        <f t="shared" ca="1" si="11"/>
        <v/>
      </c>
      <c r="AG177" s="29"/>
      <c r="AH177" s="29"/>
      <c r="AI177" s="29"/>
      <c r="AJ177" s="29"/>
      <c r="AK177" s="30"/>
      <c r="AL177" s="30"/>
    </row>
    <row r="178" spans="1:38" ht="24.95" customHeight="1" x14ac:dyDescent="0.25">
      <c r="A178" s="87" t="str">
        <f t="shared" si="14"/>
        <v>14SAM034</v>
      </c>
      <c r="B178" s="170">
        <v>34</v>
      </c>
      <c r="C178" s="87" t="s">
        <v>57</v>
      </c>
      <c r="D178" s="86" t="s">
        <v>40</v>
      </c>
      <c r="E178" s="33" t="s">
        <v>416</v>
      </c>
      <c r="F178" s="33" t="s">
        <v>531</v>
      </c>
      <c r="G178" s="248"/>
      <c r="H178" s="34" t="s">
        <v>330</v>
      </c>
      <c r="I178" s="34" t="s">
        <v>556</v>
      </c>
      <c r="J178" s="34" t="s">
        <v>180</v>
      </c>
      <c r="K178" s="34">
        <v>171.24</v>
      </c>
      <c r="L178" s="47" t="s">
        <v>61</v>
      </c>
      <c r="M178" s="47" t="s">
        <v>61</v>
      </c>
      <c r="N178" s="264">
        <v>41968</v>
      </c>
      <c r="O178" s="257">
        <v>41984</v>
      </c>
      <c r="P178" s="34" t="s">
        <v>183</v>
      </c>
      <c r="Q178" s="34"/>
      <c r="R178" s="84"/>
      <c r="S178" s="84">
        <v>0</v>
      </c>
      <c r="T178" s="36" t="str">
        <f t="shared" ca="1" si="15"/>
        <v>Empty</v>
      </c>
      <c r="U178" s="37" t="s">
        <v>543</v>
      </c>
      <c r="V178" s="37" t="s">
        <v>557</v>
      </c>
      <c r="W178" s="44"/>
      <c r="X178" s="40"/>
      <c r="Y178" s="39"/>
      <c r="Z178" s="40"/>
      <c r="AA178" s="41" t="str">
        <f t="shared" ca="1" si="16"/>
        <v/>
      </c>
      <c r="AB178" s="40"/>
      <c r="AC178" s="40"/>
      <c r="AD178" s="40"/>
      <c r="AE178" s="40"/>
      <c r="AF178" s="136" t="str">
        <f t="shared" ca="1" si="11"/>
        <v/>
      </c>
      <c r="AG178" s="29"/>
      <c r="AH178" s="29"/>
      <c r="AI178" s="29"/>
      <c r="AJ178" s="29"/>
      <c r="AK178" s="30"/>
      <c r="AL178" s="30"/>
    </row>
    <row r="179" spans="1:38" ht="24.95" customHeight="1" x14ac:dyDescent="0.25">
      <c r="A179" s="87" t="str">
        <f t="shared" si="14"/>
        <v>14SAM035</v>
      </c>
      <c r="B179" s="170">
        <v>35</v>
      </c>
      <c r="C179" s="87" t="s">
        <v>57</v>
      </c>
      <c r="D179" s="86" t="s">
        <v>40</v>
      </c>
      <c r="E179" s="33" t="s">
        <v>416</v>
      </c>
      <c r="F179" s="33" t="s">
        <v>524</v>
      </c>
      <c r="G179" s="248" t="s">
        <v>525</v>
      </c>
      <c r="H179" s="34" t="s">
        <v>330</v>
      </c>
      <c r="I179" s="34" t="s">
        <v>558</v>
      </c>
      <c r="J179" s="34" t="s">
        <v>180</v>
      </c>
      <c r="K179" s="34">
        <v>412</v>
      </c>
      <c r="L179" s="47" t="s">
        <v>61</v>
      </c>
      <c r="M179" s="47" t="s">
        <v>61</v>
      </c>
      <c r="N179" s="264">
        <v>41971</v>
      </c>
      <c r="O179" s="257">
        <v>42123</v>
      </c>
      <c r="P179" s="34" t="s">
        <v>183</v>
      </c>
      <c r="Q179" s="34" t="s">
        <v>559</v>
      </c>
      <c r="R179" s="84"/>
      <c r="S179" s="84">
        <v>0</v>
      </c>
      <c r="T179" s="36" t="str">
        <f t="shared" ca="1" si="15"/>
        <v>Empty</v>
      </c>
      <c r="U179" s="37"/>
      <c r="V179" s="37" t="s">
        <v>560</v>
      </c>
      <c r="W179" s="44"/>
      <c r="X179" s="40"/>
      <c r="Y179" s="39"/>
      <c r="Z179" s="40"/>
      <c r="AA179" s="41"/>
      <c r="AB179" s="40"/>
      <c r="AC179" s="40"/>
      <c r="AD179" s="40"/>
      <c r="AE179" s="40"/>
      <c r="AF179" s="136" t="str">
        <f t="shared" ca="1" si="11"/>
        <v/>
      </c>
      <c r="AG179" s="29"/>
      <c r="AH179" s="29"/>
      <c r="AI179" s="29"/>
      <c r="AJ179" s="29"/>
      <c r="AK179" s="30"/>
      <c r="AL179" s="30"/>
    </row>
    <row r="180" spans="1:38" ht="24.95" customHeight="1" x14ac:dyDescent="0.25">
      <c r="A180" s="87" t="str">
        <f t="shared" si="14"/>
        <v>14SAM036</v>
      </c>
      <c r="B180" s="170">
        <v>36</v>
      </c>
      <c r="C180" s="87" t="s">
        <v>57</v>
      </c>
      <c r="D180" s="86" t="s">
        <v>40</v>
      </c>
      <c r="E180" s="33" t="s">
        <v>416</v>
      </c>
      <c r="F180" s="33" t="s">
        <v>524</v>
      </c>
      <c r="G180" s="248" t="s">
        <v>525</v>
      </c>
      <c r="H180" s="34" t="s">
        <v>330</v>
      </c>
      <c r="I180" s="34" t="s">
        <v>558</v>
      </c>
      <c r="J180" s="34" t="s">
        <v>180</v>
      </c>
      <c r="K180" s="34">
        <v>412</v>
      </c>
      <c r="L180" s="47" t="s">
        <v>61</v>
      </c>
      <c r="M180" s="47" t="s">
        <v>61</v>
      </c>
      <c r="N180" s="264">
        <v>41971</v>
      </c>
      <c r="O180" s="257">
        <v>42123</v>
      </c>
      <c r="P180" s="34" t="s">
        <v>183</v>
      </c>
      <c r="Q180" s="34" t="s">
        <v>559</v>
      </c>
      <c r="R180" s="84"/>
      <c r="S180" s="84">
        <f>50-14.41-10.6</f>
        <v>24.990000000000002</v>
      </c>
      <c r="T180" s="36">
        <f t="shared" ca="1" si="15"/>
        <v>1235</v>
      </c>
      <c r="U180" s="37"/>
      <c r="V180" s="37" t="s">
        <v>560</v>
      </c>
      <c r="W180" s="44"/>
      <c r="X180" s="40"/>
      <c r="Y180" s="39"/>
      <c r="Z180" s="40"/>
      <c r="AA180" s="41"/>
      <c r="AB180" s="40"/>
      <c r="AC180" s="40"/>
      <c r="AD180" s="40"/>
      <c r="AE180" s="40"/>
      <c r="AF180" s="136" t="str">
        <f t="shared" ca="1" si="11"/>
        <v/>
      </c>
      <c r="AG180" s="29"/>
      <c r="AH180" s="29"/>
      <c r="AI180" s="29"/>
      <c r="AJ180" s="29"/>
      <c r="AK180" s="30"/>
      <c r="AL180" s="30"/>
    </row>
    <row r="181" spans="1:38" ht="24.95" customHeight="1" x14ac:dyDescent="0.25">
      <c r="A181" s="87" t="str">
        <f t="shared" si="14"/>
        <v>14SAM037</v>
      </c>
      <c r="B181" s="170">
        <v>37</v>
      </c>
      <c r="C181" s="87" t="s">
        <v>57</v>
      </c>
      <c r="D181" s="86" t="s">
        <v>40</v>
      </c>
      <c r="E181" s="33" t="s">
        <v>416</v>
      </c>
      <c r="F181" s="33" t="s">
        <v>524</v>
      </c>
      <c r="G181" s="248" t="s">
        <v>525</v>
      </c>
      <c r="H181" s="34" t="s">
        <v>330</v>
      </c>
      <c r="I181" s="34" t="s">
        <v>558</v>
      </c>
      <c r="J181" s="34" t="s">
        <v>180</v>
      </c>
      <c r="K181" s="34">
        <v>412</v>
      </c>
      <c r="L181" s="47" t="s">
        <v>61</v>
      </c>
      <c r="M181" s="47" t="s">
        <v>61</v>
      </c>
      <c r="N181" s="264">
        <v>41971</v>
      </c>
      <c r="O181" s="257"/>
      <c r="P181" s="34" t="s">
        <v>183</v>
      </c>
      <c r="Q181" s="34" t="s">
        <v>559</v>
      </c>
      <c r="R181" s="84"/>
      <c r="S181" s="84"/>
      <c r="T181" s="36" t="str">
        <f t="shared" ca="1" si="15"/>
        <v/>
      </c>
      <c r="U181" s="37"/>
      <c r="V181" s="37" t="s">
        <v>560</v>
      </c>
      <c r="W181" s="44"/>
      <c r="X181" s="40"/>
      <c r="Y181" s="39"/>
      <c r="Z181" s="40"/>
      <c r="AA181" s="41" t="str">
        <f t="shared" ca="1" si="5"/>
        <v/>
      </c>
      <c r="AB181" s="40"/>
      <c r="AC181" s="40"/>
      <c r="AD181" s="40"/>
      <c r="AE181" s="40"/>
      <c r="AF181" s="136" t="str">
        <f t="shared" ca="1" si="11"/>
        <v/>
      </c>
      <c r="AG181" s="29"/>
      <c r="AH181" s="29"/>
      <c r="AI181" s="29"/>
      <c r="AJ181" s="29"/>
      <c r="AK181" s="30"/>
      <c r="AL181" s="30"/>
    </row>
    <row r="182" spans="1:38" ht="24.95" customHeight="1" x14ac:dyDescent="0.25">
      <c r="A182" s="87" t="str">
        <f t="shared" si="14"/>
        <v>14SAM038</v>
      </c>
      <c r="B182" s="170">
        <v>38</v>
      </c>
      <c r="C182" s="87" t="s">
        <v>57</v>
      </c>
      <c r="D182" s="86" t="s">
        <v>40</v>
      </c>
      <c r="E182" s="33" t="s">
        <v>416</v>
      </c>
      <c r="F182" s="33" t="s">
        <v>534</v>
      </c>
      <c r="G182" s="248"/>
      <c r="H182" s="34" t="s">
        <v>561</v>
      </c>
      <c r="I182" s="34" t="s">
        <v>562</v>
      </c>
      <c r="J182" s="47" t="s">
        <v>105</v>
      </c>
      <c r="K182" s="34">
        <v>339.4</v>
      </c>
      <c r="L182" s="47" t="s">
        <v>61</v>
      </c>
      <c r="M182" s="47" t="s">
        <v>61</v>
      </c>
      <c r="N182" s="264">
        <v>41992</v>
      </c>
      <c r="O182" s="257">
        <v>41995</v>
      </c>
      <c r="P182" s="34" t="s">
        <v>160</v>
      </c>
      <c r="Q182" s="34" t="s">
        <v>212</v>
      </c>
      <c r="R182" s="84"/>
      <c r="S182" s="84">
        <v>932.9</v>
      </c>
      <c r="T182" s="36">
        <f t="shared" ca="1" si="15"/>
        <v>1362</v>
      </c>
      <c r="U182" s="37"/>
      <c r="V182" s="37" t="s">
        <v>563</v>
      </c>
      <c r="W182" s="44"/>
      <c r="X182" s="40"/>
      <c r="Y182" s="39"/>
      <c r="Z182" s="40"/>
      <c r="AA182" s="41" t="str">
        <f t="shared" ca="1" si="5"/>
        <v/>
      </c>
      <c r="AB182" s="40"/>
      <c r="AC182" s="40"/>
      <c r="AD182" s="40"/>
      <c r="AE182" s="40"/>
      <c r="AF182" s="136" t="str">
        <f t="shared" ca="1" si="11"/>
        <v/>
      </c>
      <c r="AG182" s="29"/>
      <c r="AH182" s="29"/>
      <c r="AI182" s="29"/>
      <c r="AJ182" s="29"/>
      <c r="AK182" s="30"/>
      <c r="AL182" s="30"/>
    </row>
    <row r="183" spans="1:38" ht="24.95" customHeight="1" x14ac:dyDescent="0.25">
      <c r="A183" s="89" t="str">
        <f t="shared" si="14"/>
        <v>14REF039</v>
      </c>
      <c r="B183" s="171">
        <v>39</v>
      </c>
      <c r="C183" s="89" t="s">
        <v>39</v>
      </c>
      <c r="D183" s="90" t="s">
        <v>40</v>
      </c>
      <c r="E183" s="33" t="s">
        <v>41</v>
      </c>
      <c r="F183" s="33" t="s">
        <v>564</v>
      </c>
      <c r="G183" s="248"/>
      <c r="H183" s="34" t="s">
        <v>43</v>
      </c>
      <c r="I183" s="34" t="s">
        <v>565</v>
      </c>
      <c r="J183" s="34" t="s">
        <v>180</v>
      </c>
      <c r="K183" s="34">
        <v>274.19</v>
      </c>
      <c r="L183" s="34" t="s">
        <v>566</v>
      </c>
      <c r="M183" s="34" t="s">
        <v>567</v>
      </c>
      <c r="N183" s="264">
        <v>41655</v>
      </c>
      <c r="O183" s="257">
        <v>41673</v>
      </c>
      <c r="P183" s="34" t="s">
        <v>160</v>
      </c>
      <c r="Q183" s="34" t="s">
        <v>49</v>
      </c>
      <c r="R183" s="84"/>
      <c r="S183" s="84">
        <v>0</v>
      </c>
      <c r="T183" s="36" t="str">
        <f t="shared" ca="1" si="15"/>
        <v>Empty</v>
      </c>
      <c r="U183" s="37"/>
      <c r="V183" s="37"/>
      <c r="W183" s="91">
        <v>42144</v>
      </c>
      <c r="X183" s="92" t="s">
        <v>334</v>
      </c>
      <c r="Y183" s="93" t="s">
        <v>249</v>
      </c>
      <c r="Z183" s="92" t="s">
        <v>49</v>
      </c>
      <c r="AA183" s="94">
        <f t="shared" ca="1" si="5"/>
        <v>1214</v>
      </c>
      <c r="AB183" s="40"/>
      <c r="AC183" s="40"/>
      <c r="AD183" s="40"/>
      <c r="AE183" s="40"/>
      <c r="AF183" s="136" t="str">
        <f t="shared" ca="1" si="11"/>
        <v/>
      </c>
      <c r="AG183" s="29"/>
      <c r="AH183" s="29"/>
      <c r="AI183" s="29"/>
      <c r="AJ183" s="29"/>
      <c r="AK183" s="30"/>
      <c r="AL183" s="30"/>
    </row>
    <row r="184" spans="1:38" ht="27" customHeight="1" x14ac:dyDescent="0.25">
      <c r="A184" s="89" t="str">
        <f t="shared" si="14"/>
        <v>14REF040</v>
      </c>
      <c r="B184" s="171">
        <v>40</v>
      </c>
      <c r="C184" s="89" t="s">
        <v>39</v>
      </c>
      <c r="D184" s="90" t="s">
        <v>40</v>
      </c>
      <c r="E184" s="33" t="s">
        <v>41</v>
      </c>
      <c r="F184" s="33" t="s">
        <v>548</v>
      </c>
      <c r="G184" s="248" t="s">
        <v>568</v>
      </c>
      <c r="H184" s="34" t="s">
        <v>43</v>
      </c>
      <c r="I184" s="34" t="s">
        <v>569</v>
      </c>
      <c r="J184" s="34" t="s">
        <v>180</v>
      </c>
      <c r="K184" s="34">
        <v>362.23</v>
      </c>
      <c r="L184" s="34" t="s">
        <v>570</v>
      </c>
      <c r="M184" s="34" t="s">
        <v>571</v>
      </c>
      <c r="N184" s="264">
        <v>41859</v>
      </c>
      <c r="O184" s="257">
        <v>41862</v>
      </c>
      <c r="P184" s="34" t="s">
        <v>86</v>
      </c>
      <c r="Q184" s="34" t="s">
        <v>572</v>
      </c>
      <c r="R184" s="84"/>
      <c r="S184" s="84">
        <v>0</v>
      </c>
      <c r="T184" s="36" t="str">
        <f t="shared" ca="1" si="15"/>
        <v>Empty</v>
      </c>
      <c r="U184" s="37"/>
      <c r="V184" s="95" t="s">
        <v>573</v>
      </c>
      <c r="W184" s="44"/>
      <c r="X184" s="40"/>
      <c r="Y184" s="39"/>
      <c r="Z184" s="40"/>
      <c r="AA184" s="41" t="str">
        <f t="shared" ca="1" si="5"/>
        <v/>
      </c>
      <c r="AB184" s="40"/>
      <c r="AC184" s="40"/>
      <c r="AD184" s="40"/>
      <c r="AE184" s="40"/>
      <c r="AF184" s="136" t="str">
        <f t="shared" ca="1" si="11"/>
        <v/>
      </c>
      <c r="AG184" s="29"/>
      <c r="AH184" s="29"/>
      <c r="AI184" s="29"/>
      <c r="AJ184" s="29"/>
      <c r="AK184" s="30"/>
      <c r="AL184" s="30"/>
    </row>
    <row r="185" spans="1:38" ht="30" x14ac:dyDescent="0.25">
      <c r="A185" s="87" t="str">
        <f t="shared" si="14"/>
        <v>14SAM041</v>
      </c>
      <c r="B185" s="170">
        <v>41</v>
      </c>
      <c r="C185" s="87" t="s">
        <v>57</v>
      </c>
      <c r="D185" s="96" t="s">
        <v>40</v>
      </c>
      <c r="E185" s="33" t="s">
        <v>511</v>
      </c>
      <c r="F185" s="33" t="s">
        <v>512</v>
      </c>
      <c r="G185" s="248"/>
      <c r="H185" s="34"/>
      <c r="I185" s="34" t="s">
        <v>574</v>
      </c>
      <c r="J185" s="34" t="s">
        <v>45</v>
      </c>
      <c r="K185" s="34">
        <v>298.29000000000002</v>
      </c>
      <c r="L185" s="47" t="s">
        <v>61</v>
      </c>
      <c r="M185" s="47" t="s">
        <v>61</v>
      </c>
      <c r="N185" s="264">
        <v>41808</v>
      </c>
      <c r="O185" s="257">
        <v>41810</v>
      </c>
      <c r="P185" s="34" t="s">
        <v>514</v>
      </c>
      <c r="Q185" s="34" t="s">
        <v>49</v>
      </c>
      <c r="R185" s="84"/>
      <c r="S185" s="84">
        <v>9858.2999999999993</v>
      </c>
      <c r="T185" s="36">
        <f t="shared" ca="1" si="15"/>
        <v>1544</v>
      </c>
      <c r="U185" s="37" t="s">
        <v>575</v>
      </c>
      <c r="V185" s="95" t="s">
        <v>573</v>
      </c>
      <c r="W185" s="44"/>
      <c r="X185" s="40"/>
      <c r="Y185" s="39"/>
      <c r="Z185" s="40"/>
      <c r="AA185" s="41" t="str">
        <f t="shared" ca="1" si="5"/>
        <v/>
      </c>
      <c r="AB185" s="40"/>
      <c r="AC185" s="40"/>
      <c r="AD185" s="40"/>
      <c r="AE185" s="40"/>
      <c r="AF185" s="136" t="str">
        <f t="shared" ca="1" si="11"/>
        <v/>
      </c>
      <c r="AG185" s="29"/>
      <c r="AH185" s="29"/>
      <c r="AI185" s="29"/>
      <c r="AJ185" s="29"/>
      <c r="AK185" s="30"/>
      <c r="AL185" s="30"/>
    </row>
    <row r="186" spans="1:38" ht="24.95" customHeight="1" x14ac:dyDescent="0.25">
      <c r="A186" s="81" t="str">
        <f t="shared" si="14"/>
        <v>14REF042</v>
      </c>
      <c r="B186" s="167">
        <v>42</v>
      </c>
      <c r="C186" s="81" t="s">
        <v>39</v>
      </c>
      <c r="D186" s="82" t="s">
        <v>170</v>
      </c>
      <c r="E186" s="33" t="s">
        <v>41</v>
      </c>
      <c r="F186" s="33" t="s">
        <v>576</v>
      </c>
      <c r="G186" s="248"/>
      <c r="H186" s="34" t="s">
        <v>43</v>
      </c>
      <c r="I186" s="34" t="s">
        <v>577</v>
      </c>
      <c r="J186" s="34" t="s">
        <v>45</v>
      </c>
      <c r="K186" s="34">
        <v>187.71</v>
      </c>
      <c r="L186" s="34" t="s">
        <v>578</v>
      </c>
      <c r="M186" s="34" t="s">
        <v>579</v>
      </c>
      <c r="N186" s="264">
        <v>41974</v>
      </c>
      <c r="O186" s="257">
        <v>41974</v>
      </c>
      <c r="P186" s="34" t="s">
        <v>258</v>
      </c>
      <c r="Q186" s="34" t="s">
        <v>580</v>
      </c>
      <c r="R186" s="387">
        <v>0.98</v>
      </c>
      <c r="S186" s="84">
        <f>5000-14.6-78.1</f>
        <v>4907.2999999999993</v>
      </c>
      <c r="T186" s="36">
        <f t="shared" ca="1" si="15"/>
        <v>1383</v>
      </c>
      <c r="U186" s="37"/>
      <c r="V186" s="37"/>
      <c r="W186" s="44">
        <v>43031</v>
      </c>
      <c r="X186" s="40" t="s">
        <v>2517</v>
      </c>
      <c r="Y186" s="39" t="s">
        <v>1173</v>
      </c>
      <c r="Z186" s="40" t="s">
        <v>49</v>
      </c>
      <c r="AA186" s="41">
        <f t="shared" ca="1" si="5"/>
        <v>341</v>
      </c>
      <c r="AB186" s="40"/>
      <c r="AC186" s="40"/>
      <c r="AD186" s="40"/>
      <c r="AE186" s="40"/>
      <c r="AF186" s="136" t="str">
        <f t="shared" ca="1" si="11"/>
        <v/>
      </c>
      <c r="AG186" s="29"/>
      <c r="AH186" s="29"/>
      <c r="AI186" s="29"/>
      <c r="AJ186" s="29"/>
      <c r="AK186" s="30"/>
      <c r="AL186" s="30"/>
    </row>
    <row r="187" spans="1:38" ht="24.95" customHeight="1" x14ac:dyDescent="0.25">
      <c r="A187" s="81" t="str">
        <f t="shared" si="14"/>
        <v>14REF043</v>
      </c>
      <c r="B187" s="167">
        <v>43</v>
      </c>
      <c r="C187" s="81" t="s">
        <v>39</v>
      </c>
      <c r="D187" s="82" t="s">
        <v>170</v>
      </c>
      <c r="E187" s="33" t="s">
        <v>41</v>
      </c>
      <c r="F187" s="33" t="s">
        <v>581</v>
      </c>
      <c r="G187" s="248"/>
      <c r="H187" s="34" t="s">
        <v>43</v>
      </c>
      <c r="I187" s="34" t="s">
        <v>582</v>
      </c>
      <c r="J187" s="34" t="s">
        <v>45</v>
      </c>
      <c r="K187" s="34">
        <v>183.32</v>
      </c>
      <c r="L187" s="34">
        <v>202908</v>
      </c>
      <c r="M187" s="34" t="s">
        <v>583</v>
      </c>
      <c r="N187" s="264">
        <v>41955</v>
      </c>
      <c r="O187" s="257"/>
      <c r="P187" s="34" t="s">
        <v>584</v>
      </c>
      <c r="Q187" s="34" t="s">
        <v>585</v>
      </c>
      <c r="R187" s="84"/>
      <c r="S187" s="84"/>
      <c r="T187" s="36" t="str">
        <f t="shared" ca="1" si="15"/>
        <v/>
      </c>
      <c r="U187" s="37"/>
      <c r="V187" s="37"/>
      <c r="W187" s="44"/>
      <c r="X187" s="40"/>
      <c r="Y187" s="39"/>
      <c r="Z187" s="40"/>
      <c r="AA187" s="41" t="str">
        <f t="shared" ca="1" si="5"/>
        <v/>
      </c>
      <c r="AB187" s="40"/>
      <c r="AC187" s="40"/>
      <c r="AD187" s="40"/>
      <c r="AE187" s="40"/>
      <c r="AF187" s="136" t="str">
        <f t="shared" ca="1" si="11"/>
        <v/>
      </c>
      <c r="AG187" s="29"/>
      <c r="AH187" s="29"/>
      <c r="AI187" s="29"/>
      <c r="AJ187" s="29"/>
      <c r="AK187" s="30"/>
      <c r="AL187" s="30"/>
    </row>
    <row r="188" spans="1:38" ht="24.95" customHeight="1" x14ac:dyDescent="0.25">
      <c r="A188" s="87" t="str">
        <f t="shared" si="14"/>
        <v>14SAM044</v>
      </c>
      <c r="B188" s="169">
        <v>44</v>
      </c>
      <c r="C188" s="87" t="s">
        <v>57</v>
      </c>
      <c r="D188" s="96" t="s">
        <v>40</v>
      </c>
      <c r="E188" s="33" t="s">
        <v>416</v>
      </c>
      <c r="F188" s="33" t="s">
        <v>546</v>
      </c>
      <c r="G188" s="248"/>
      <c r="H188" s="34" t="s">
        <v>43</v>
      </c>
      <c r="I188" s="34" t="s">
        <v>1423</v>
      </c>
      <c r="J188" s="47" t="s">
        <v>105</v>
      </c>
      <c r="K188" s="34">
        <v>138.16999999999999</v>
      </c>
      <c r="L188" s="34" t="s">
        <v>1425</v>
      </c>
      <c r="M188" s="34" t="s">
        <v>1424</v>
      </c>
      <c r="N188" s="264">
        <v>41908</v>
      </c>
      <c r="O188" s="257">
        <v>41912</v>
      </c>
      <c r="P188" s="34" t="s">
        <v>48</v>
      </c>
      <c r="Q188" s="34" t="s">
        <v>1434</v>
      </c>
      <c r="R188" s="84"/>
      <c r="S188" s="84">
        <f>23271.9-41.9-205.9-213-210</f>
        <v>22601.1</v>
      </c>
      <c r="T188" s="36">
        <f t="shared" ca="1" si="15"/>
        <v>1444</v>
      </c>
      <c r="U188" s="37" t="s">
        <v>1412</v>
      </c>
      <c r="V188" s="37"/>
      <c r="W188" s="44"/>
      <c r="X188" s="40"/>
      <c r="Y188" s="39"/>
      <c r="Z188" s="40"/>
      <c r="AA188" s="41" t="str">
        <f t="shared" ca="1" si="5"/>
        <v/>
      </c>
      <c r="AB188" s="40"/>
      <c r="AC188" s="40"/>
      <c r="AD188" s="40"/>
      <c r="AE188" s="40"/>
      <c r="AF188" s="136" t="str">
        <f t="shared" ca="1" si="11"/>
        <v/>
      </c>
      <c r="AG188" s="29"/>
      <c r="AH188" s="29"/>
      <c r="AI188" s="29"/>
      <c r="AJ188" s="29"/>
      <c r="AK188" s="30"/>
      <c r="AL188" s="30"/>
    </row>
    <row r="189" spans="1:38" ht="24.95" customHeight="1" x14ac:dyDescent="0.25">
      <c r="A189" s="81" t="str">
        <f t="shared" si="14"/>
        <v>14REF045</v>
      </c>
      <c r="B189" s="167">
        <v>45</v>
      </c>
      <c r="C189" s="81" t="s">
        <v>39</v>
      </c>
      <c r="D189" s="82" t="s">
        <v>170</v>
      </c>
      <c r="E189" s="33" t="s">
        <v>41</v>
      </c>
      <c r="F189" s="33" t="s">
        <v>1744</v>
      </c>
      <c r="G189" s="248"/>
      <c r="H189" s="34" t="s">
        <v>43</v>
      </c>
      <c r="I189" s="34" t="s">
        <v>1746</v>
      </c>
      <c r="J189" s="34" t="s">
        <v>45</v>
      </c>
      <c r="K189" s="34">
        <v>228</v>
      </c>
      <c r="L189" s="34" t="s">
        <v>1747</v>
      </c>
      <c r="M189" s="34" t="s">
        <v>1748</v>
      </c>
      <c r="N189" s="264">
        <v>41810</v>
      </c>
      <c r="O189" s="257">
        <v>42681</v>
      </c>
      <c r="P189" s="34" t="s">
        <v>56</v>
      </c>
      <c r="Q189" s="34" t="s">
        <v>1749</v>
      </c>
      <c r="R189" s="84"/>
      <c r="S189" s="84">
        <v>0</v>
      </c>
      <c r="T189" s="36" t="str">
        <f t="shared" ca="1" si="15"/>
        <v>Empty</v>
      </c>
      <c r="U189" s="37"/>
      <c r="V189" s="37" t="s">
        <v>1916</v>
      </c>
      <c r="W189" s="44"/>
      <c r="X189" s="40"/>
      <c r="Y189" s="39"/>
      <c r="Z189" s="40"/>
      <c r="AA189" s="41" t="str">
        <f t="shared" ca="1" si="5"/>
        <v/>
      </c>
      <c r="AB189" s="40"/>
      <c r="AC189" s="40"/>
      <c r="AD189" s="40"/>
      <c r="AE189" s="40"/>
      <c r="AF189" s="136" t="str">
        <f t="shared" ca="1" si="11"/>
        <v/>
      </c>
      <c r="AG189" s="29"/>
      <c r="AH189" s="29"/>
      <c r="AI189" s="29"/>
      <c r="AJ189" s="29"/>
      <c r="AK189" s="30"/>
      <c r="AL189" s="30"/>
    </row>
    <row r="190" spans="1:38" ht="24.95" customHeight="1" x14ac:dyDescent="0.25">
      <c r="A190" s="81" t="str">
        <f t="shared" si="14"/>
        <v>14REF046</v>
      </c>
      <c r="B190" s="167">
        <v>46</v>
      </c>
      <c r="C190" s="81" t="s">
        <v>39</v>
      </c>
      <c r="D190" s="82" t="s">
        <v>170</v>
      </c>
      <c r="E190" s="33" t="s">
        <v>41</v>
      </c>
      <c r="F190" s="33" t="s">
        <v>1744</v>
      </c>
      <c r="G190" s="248"/>
      <c r="H190" s="34" t="s">
        <v>43</v>
      </c>
      <c r="I190" s="34" t="s">
        <v>1745</v>
      </c>
      <c r="J190" s="34" t="s">
        <v>45</v>
      </c>
      <c r="K190" s="34">
        <v>228</v>
      </c>
      <c r="L190" s="34" t="s">
        <v>1747</v>
      </c>
      <c r="M190" s="34" t="s">
        <v>1748</v>
      </c>
      <c r="N190" s="264">
        <v>41810</v>
      </c>
      <c r="O190" s="257">
        <v>42774</v>
      </c>
      <c r="P190" s="34" t="s">
        <v>56</v>
      </c>
      <c r="Q190" s="34" t="s">
        <v>1749</v>
      </c>
      <c r="R190" s="84"/>
      <c r="S190" s="84">
        <v>0</v>
      </c>
      <c r="T190" s="36" t="str">
        <f t="shared" ca="1" si="15"/>
        <v>Empty</v>
      </c>
      <c r="U190" s="37"/>
      <c r="V190" s="37"/>
      <c r="W190" s="44"/>
      <c r="X190" s="40"/>
      <c r="Y190" s="39"/>
      <c r="Z190" s="40"/>
      <c r="AA190" s="41" t="str">
        <f t="shared" ca="1" si="5"/>
        <v/>
      </c>
      <c r="AB190" s="40"/>
      <c r="AC190" s="40"/>
      <c r="AD190" s="40"/>
      <c r="AE190" s="40"/>
      <c r="AF190" s="136" t="str">
        <f t="shared" ca="1" si="11"/>
        <v/>
      </c>
      <c r="AG190" s="29"/>
      <c r="AH190" s="29"/>
      <c r="AI190" s="29"/>
      <c r="AJ190" s="29"/>
      <c r="AK190" s="30"/>
      <c r="AL190" s="30"/>
    </row>
    <row r="191" spans="1:38" ht="24.95" customHeight="1" x14ac:dyDescent="0.25">
      <c r="A191" s="81" t="str">
        <f t="shared" si="14"/>
        <v>14REF047</v>
      </c>
      <c r="B191" s="167">
        <v>47</v>
      </c>
      <c r="C191" s="81" t="s">
        <v>39</v>
      </c>
      <c r="D191" s="82" t="s">
        <v>170</v>
      </c>
      <c r="E191" s="33" t="s">
        <v>41</v>
      </c>
      <c r="F191" s="33" t="s">
        <v>1744</v>
      </c>
      <c r="G191" s="248"/>
      <c r="H191" s="34" t="s">
        <v>43</v>
      </c>
      <c r="I191" s="34" t="s">
        <v>1745</v>
      </c>
      <c r="J191" s="34" t="s">
        <v>45</v>
      </c>
      <c r="K191" s="34">
        <v>228</v>
      </c>
      <c r="L191" s="34" t="s">
        <v>1747</v>
      </c>
      <c r="M191" s="34" t="s">
        <v>1748</v>
      </c>
      <c r="N191" s="264">
        <v>41810</v>
      </c>
      <c r="O191" s="257">
        <v>43028</v>
      </c>
      <c r="P191" s="34" t="s">
        <v>56</v>
      </c>
      <c r="Q191" s="34" t="s">
        <v>1749</v>
      </c>
      <c r="R191" s="84"/>
      <c r="S191" s="84">
        <v>0</v>
      </c>
      <c r="T191" s="36" t="str">
        <f t="shared" ca="1" si="15"/>
        <v>Empty</v>
      </c>
      <c r="U191" s="37"/>
      <c r="V191" s="37"/>
      <c r="W191" s="44"/>
      <c r="X191" s="40"/>
      <c r="Y191" s="39"/>
      <c r="Z191" s="40"/>
      <c r="AA191" s="41" t="str">
        <f t="shared" ca="1" si="5"/>
        <v/>
      </c>
      <c r="AB191" s="40"/>
      <c r="AC191" s="40"/>
      <c r="AD191" s="40"/>
      <c r="AE191" s="40"/>
      <c r="AF191" s="136" t="str">
        <f t="shared" ca="1" si="11"/>
        <v/>
      </c>
      <c r="AG191" s="29"/>
      <c r="AH191" s="29"/>
      <c r="AI191" s="29"/>
      <c r="AJ191" s="29"/>
      <c r="AK191" s="30"/>
      <c r="AL191" s="30"/>
    </row>
    <row r="192" spans="1:38" s="388" customFormat="1" ht="24.95" customHeight="1" x14ac:dyDescent="0.25">
      <c r="A192" s="81" t="str">
        <f t="shared" ref="A192" si="17">IF(C192="","",CONCATENATE(14,MID(C192,1,3),IF(B192&lt;10,"00",0),B192))</f>
        <v>14REF048</v>
      </c>
      <c r="B192" s="167">
        <v>48</v>
      </c>
      <c r="C192" s="81" t="s">
        <v>39</v>
      </c>
      <c r="D192" s="82" t="s">
        <v>744</v>
      </c>
      <c r="E192" s="33" t="s">
        <v>41</v>
      </c>
      <c r="F192" s="33" t="s">
        <v>177</v>
      </c>
      <c r="G192" s="248"/>
      <c r="H192" s="398" t="s">
        <v>112</v>
      </c>
      <c r="I192" s="398" t="s">
        <v>2616</v>
      </c>
      <c r="J192" s="398" t="s">
        <v>45</v>
      </c>
      <c r="K192" s="398">
        <v>165.15</v>
      </c>
      <c r="L192" s="47" t="s">
        <v>2617</v>
      </c>
      <c r="M192" s="398" t="s">
        <v>182</v>
      </c>
      <c r="N192" s="264">
        <v>43073</v>
      </c>
      <c r="O192" s="257"/>
      <c r="P192" s="398" t="s">
        <v>183</v>
      </c>
      <c r="Q192" s="398" t="s">
        <v>510</v>
      </c>
      <c r="R192" s="387">
        <v>1</v>
      </c>
      <c r="S192" s="84"/>
      <c r="T192" s="36" t="str">
        <f t="shared" ref="T192" ca="1" si="18">IF(S192="","",IF(S192=0,"Empty",IF(O192="","",IF(O192,DAYS360(O192,TODAY())))))</f>
        <v/>
      </c>
      <c r="U192" s="37"/>
      <c r="V192" s="37" t="s">
        <v>2618</v>
      </c>
      <c r="W192" s="399"/>
      <c r="X192" s="400"/>
      <c r="Y192" s="401"/>
      <c r="Z192" s="400"/>
      <c r="AA192" s="41"/>
      <c r="AB192" s="400"/>
      <c r="AC192" s="400"/>
      <c r="AD192" s="400"/>
      <c r="AE192" s="400"/>
      <c r="AF192" s="402"/>
      <c r="AG192" s="29"/>
      <c r="AH192" s="29"/>
      <c r="AI192" s="29"/>
      <c r="AJ192" s="29"/>
      <c r="AK192" s="30"/>
      <c r="AL192" s="30"/>
    </row>
    <row r="193" spans="1:38" s="388" customFormat="1" ht="24.95" customHeight="1" x14ac:dyDescent="0.25">
      <c r="A193" s="81" t="s">
        <v>3330</v>
      </c>
      <c r="B193" s="167"/>
      <c r="C193" s="81" t="s">
        <v>39</v>
      </c>
      <c r="D193" s="82" t="s">
        <v>744</v>
      </c>
      <c r="E193" s="33" t="s">
        <v>41</v>
      </c>
      <c r="F193" s="33" t="s">
        <v>1840</v>
      </c>
      <c r="G193" s="248"/>
      <c r="H193" s="443" t="s">
        <v>43</v>
      </c>
      <c r="I193" s="443" t="s">
        <v>3328</v>
      </c>
      <c r="J193" s="443" t="s">
        <v>45</v>
      </c>
      <c r="K193" s="398">
        <v>238.3</v>
      </c>
      <c r="L193" s="443" t="s">
        <v>1842</v>
      </c>
      <c r="M193" s="443" t="s">
        <v>2198</v>
      </c>
      <c r="N193" s="264">
        <v>41928</v>
      </c>
      <c r="O193" s="257" t="s">
        <v>168</v>
      </c>
      <c r="P193" s="443" t="s">
        <v>1875</v>
      </c>
      <c r="Q193" s="443" t="s">
        <v>3329</v>
      </c>
      <c r="R193" s="387">
        <v>1</v>
      </c>
      <c r="S193" s="84">
        <f>250000-239.32-239.25</f>
        <v>249521.43</v>
      </c>
      <c r="T193" s="36" t="e">
        <f t="shared" ref="T193:T196" ca="1" si="19">IF(S193="","",IF(S193=0,"Empty",IF(O193="","",IF(O193,DAYS360(O193,TODAY())))))</f>
        <v>#VALUE!</v>
      </c>
      <c r="U193" s="37"/>
      <c r="V193" s="37" t="s">
        <v>3334</v>
      </c>
      <c r="W193" s="399"/>
      <c r="X193" s="400"/>
      <c r="Y193" s="401"/>
      <c r="Z193" s="400"/>
      <c r="AA193" s="41"/>
      <c r="AB193" s="400"/>
      <c r="AC193" s="400"/>
      <c r="AD193" s="400"/>
      <c r="AE193" s="400"/>
      <c r="AF193" s="402"/>
      <c r="AG193" s="29"/>
      <c r="AH193" s="29"/>
      <c r="AI193" s="29"/>
      <c r="AJ193" s="29"/>
      <c r="AK193" s="30"/>
      <c r="AL193" s="30"/>
    </row>
    <row r="194" spans="1:38" s="388" customFormat="1" ht="24.95" customHeight="1" x14ac:dyDescent="0.25">
      <c r="A194" s="81" t="str">
        <f t="shared" si="14"/>
        <v/>
      </c>
      <c r="B194" s="167"/>
      <c r="C194" s="81"/>
      <c r="D194" s="82"/>
      <c r="E194" s="33"/>
      <c r="F194" s="33"/>
      <c r="G194" s="248"/>
      <c r="H194" s="398"/>
      <c r="I194" s="398"/>
      <c r="J194" s="398"/>
      <c r="K194" s="398"/>
      <c r="L194" s="398"/>
      <c r="M194" s="398"/>
      <c r="N194" s="264"/>
      <c r="O194" s="257"/>
      <c r="P194" s="398"/>
      <c r="Q194" s="398"/>
      <c r="R194" s="84"/>
      <c r="S194" s="84"/>
      <c r="T194" s="36" t="str">
        <f t="shared" ca="1" si="19"/>
        <v/>
      </c>
      <c r="U194" s="37"/>
      <c r="V194" s="37"/>
      <c r="W194" s="399"/>
      <c r="X194" s="400"/>
      <c r="Y194" s="401"/>
      <c r="Z194" s="400"/>
      <c r="AA194" s="41"/>
      <c r="AB194" s="400"/>
      <c r="AC194" s="400"/>
      <c r="AD194" s="400"/>
      <c r="AE194" s="400"/>
      <c r="AF194" s="402"/>
      <c r="AG194" s="29"/>
      <c r="AH194" s="29"/>
      <c r="AI194" s="29"/>
      <c r="AJ194" s="29"/>
      <c r="AK194" s="30"/>
      <c r="AL194" s="30"/>
    </row>
    <row r="195" spans="1:38" s="388" customFormat="1" ht="24.95" customHeight="1" x14ac:dyDescent="0.25">
      <c r="A195" s="81" t="str">
        <f t="shared" si="14"/>
        <v/>
      </c>
      <c r="B195" s="167"/>
      <c r="C195" s="81"/>
      <c r="D195" s="82"/>
      <c r="E195" s="33"/>
      <c r="F195" s="33"/>
      <c r="G195" s="248"/>
      <c r="H195" s="398"/>
      <c r="I195" s="398"/>
      <c r="J195" s="398"/>
      <c r="K195" s="398"/>
      <c r="L195" s="398"/>
      <c r="M195" s="398"/>
      <c r="N195" s="264"/>
      <c r="O195" s="257"/>
      <c r="P195" s="398"/>
      <c r="Q195" s="398"/>
      <c r="R195" s="84"/>
      <c r="S195" s="84"/>
      <c r="T195" s="36" t="str">
        <f t="shared" ca="1" si="19"/>
        <v/>
      </c>
      <c r="U195" s="37"/>
      <c r="V195" s="37"/>
      <c r="W195" s="399"/>
      <c r="X195" s="400"/>
      <c r="Y195" s="401"/>
      <c r="Z195" s="400"/>
      <c r="AA195" s="41"/>
      <c r="AB195" s="400"/>
      <c r="AC195" s="400"/>
      <c r="AD195" s="400"/>
      <c r="AE195" s="400"/>
      <c r="AF195" s="402"/>
      <c r="AG195" s="29"/>
      <c r="AH195" s="29"/>
      <c r="AI195" s="29"/>
      <c r="AJ195" s="29"/>
      <c r="AK195" s="30"/>
      <c r="AL195" s="30"/>
    </row>
    <row r="196" spans="1:38" ht="24.95" customHeight="1" thickBot="1" x14ac:dyDescent="0.3">
      <c r="A196" s="81" t="str">
        <f t="shared" si="14"/>
        <v/>
      </c>
      <c r="B196" s="167"/>
      <c r="C196" s="81"/>
      <c r="D196" s="82"/>
      <c r="E196" s="33"/>
      <c r="F196" s="33"/>
      <c r="G196" s="248"/>
      <c r="H196" s="398"/>
      <c r="I196" s="398"/>
      <c r="J196" s="398"/>
      <c r="K196" s="398"/>
      <c r="L196" s="398"/>
      <c r="M196" s="398"/>
      <c r="N196" s="264"/>
      <c r="O196" s="257"/>
      <c r="P196" s="398"/>
      <c r="Q196" s="398"/>
      <c r="R196" s="84"/>
      <c r="S196" s="84"/>
      <c r="T196" s="36" t="str">
        <f t="shared" ca="1" si="19"/>
        <v/>
      </c>
      <c r="U196" s="37"/>
      <c r="V196" s="37"/>
      <c r="W196" s="358"/>
      <c r="X196" s="331"/>
      <c r="Y196" s="329"/>
      <c r="Z196" s="331"/>
      <c r="AA196" s="41" t="str">
        <f t="shared" ca="1" si="5"/>
        <v/>
      </c>
      <c r="AB196" s="331"/>
      <c r="AC196" s="331"/>
      <c r="AD196" s="331"/>
      <c r="AE196" s="331"/>
      <c r="AF196" s="332" t="str">
        <f t="shared" ca="1" si="11"/>
        <v/>
      </c>
      <c r="AG196" s="360"/>
      <c r="AH196" s="360"/>
      <c r="AI196" s="360"/>
      <c r="AJ196" s="360"/>
      <c r="AK196" s="361"/>
      <c r="AL196" s="361"/>
    </row>
    <row r="197" spans="1:38" ht="24.95" customHeight="1" x14ac:dyDescent="0.25">
      <c r="A197" s="97" t="str">
        <f>IF(C197="","",CONCATENATE(15,MID(C197,1,3),IF(B197&lt;10,"00",0),B197))</f>
        <v>15SAM001</v>
      </c>
      <c r="B197" s="172">
        <v>1</v>
      </c>
      <c r="C197" s="97" t="s">
        <v>57</v>
      </c>
      <c r="D197" s="98" t="s">
        <v>40</v>
      </c>
      <c r="E197" s="33" t="s">
        <v>586</v>
      </c>
      <c r="F197" s="33" t="s">
        <v>587</v>
      </c>
      <c r="G197" s="248"/>
      <c r="H197" s="34" t="s">
        <v>60</v>
      </c>
      <c r="I197" s="34" t="s">
        <v>588</v>
      </c>
      <c r="J197" s="34" t="s">
        <v>45</v>
      </c>
      <c r="K197" s="34">
        <v>282.33999999999997</v>
      </c>
      <c r="L197" s="34" t="s">
        <v>589</v>
      </c>
      <c r="M197" s="34" t="s">
        <v>589</v>
      </c>
      <c r="N197" s="264">
        <v>42010</v>
      </c>
      <c r="O197" s="257">
        <v>42010</v>
      </c>
      <c r="P197" s="99" t="s">
        <v>590</v>
      </c>
      <c r="Q197" s="34" t="s">
        <v>591</v>
      </c>
      <c r="R197" s="84"/>
      <c r="S197" s="37">
        <v>152.9</v>
      </c>
      <c r="T197" s="36">
        <f t="shared" ca="1" si="15"/>
        <v>1348</v>
      </c>
      <c r="U197" s="37"/>
      <c r="V197" s="37" t="s">
        <v>592</v>
      </c>
      <c r="W197" s="44"/>
      <c r="X197" s="40"/>
      <c r="Y197" s="40"/>
      <c r="Z197" s="40"/>
      <c r="AA197" s="41" t="str">
        <f t="shared" ca="1" si="5"/>
        <v/>
      </c>
      <c r="AB197" s="40"/>
      <c r="AC197" s="40"/>
      <c r="AD197" s="40"/>
      <c r="AE197" s="40"/>
      <c r="AF197" s="309" t="str">
        <f t="shared" ca="1" si="11"/>
        <v/>
      </c>
      <c r="AG197" s="100"/>
      <c r="AH197" s="100"/>
      <c r="AI197" s="101"/>
      <c r="AJ197" s="40"/>
      <c r="AK197" s="101"/>
      <c r="AL197" s="101"/>
    </row>
    <row r="198" spans="1:38" ht="24.95" customHeight="1" x14ac:dyDescent="0.25">
      <c r="A198" s="97" t="str">
        <f t="shared" ref="A198:A261" si="20">IF(C198="","",CONCATENATE(15,MID(C198,1,3),IF(B198&lt;10,"00",0),B198))</f>
        <v>15SAM002</v>
      </c>
      <c r="B198" s="172">
        <v>2</v>
      </c>
      <c r="C198" s="97" t="s">
        <v>57</v>
      </c>
      <c r="D198" s="98" t="s">
        <v>40</v>
      </c>
      <c r="E198" s="103" t="s">
        <v>586</v>
      </c>
      <c r="F198" s="103" t="s">
        <v>593</v>
      </c>
      <c r="G198" s="249"/>
      <c r="H198" s="34" t="s">
        <v>60</v>
      </c>
      <c r="I198" s="104" t="s">
        <v>594</v>
      </c>
      <c r="J198" s="34" t="s">
        <v>45</v>
      </c>
      <c r="K198" s="104">
        <v>330.34</v>
      </c>
      <c r="L198" s="105" t="s">
        <v>61</v>
      </c>
      <c r="M198" s="105" t="s">
        <v>61</v>
      </c>
      <c r="N198" s="265">
        <v>42010</v>
      </c>
      <c r="O198" s="260">
        <v>42010</v>
      </c>
      <c r="P198" s="106" t="s">
        <v>595</v>
      </c>
      <c r="Q198" s="107" t="s">
        <v>596</v>
      </c>
      <c r="R198" s="244"/>
      <c r="S198" s="37">
        <v>137.07</v>
      </c>
      <c r="T198" s="36">
        <f t="shared" ca="1" si="15"/>
        <v>1348</v>
      </c>
      <c r="U198" s="37"/>
      <c r="V198" s="37" t="s">
        <v>597</v>
      </c>
      <c r="W198" s="38"/>
      <c r="X198" s="39"/>
      <c r="Y198" s="39"/>
      <c r="Z198" s="40"/>
      <c r="AA198" s="41" t="str">
        <f t="shared" ca="1" si="5"/>
        <v/>
      </c>
      <c r="AB198" s="40"/>
      <c r="AC198" s="39"/>
      <c r="AD198" s="39"/>
      <c r="AE198" s="40"/>
      <c r="AF198" s="136" t="str">
        <f t="shared" ca="1" si="11"/>
        <v/>
      </c>
      <c r="AG198" s="108"/>
      <c r="AH198" s="108"/>
      <c r="AI198" s="102"/>
      <c r="AJ198" s="40"/>
      <c r="AK198" s="102"/>
      <c r="AL198" s="102"/>
    </row>
    <row r="199" spans="1:38" ht="24.95" customHeight="1" x14ac:dyDescent="0.25">
      <c r="A199" s="97" t="str">
        <f>IF(C199="","",CONCATENATE(15,MID(C199,1,3),IF(B199&lt;10,"00",0),B199))</f>
        <v>15SAM003</v>
      </c>
      <c r="B199" s="173">
        <v>3</v>
      </c>
      <c r="C199" s="97" t="s">
        <v>57</v>
      </c>
      <c r="D199" s="98" t="s">
        <v>40</v>
      </c>
      <c r="E199" s="109" t="s">
        <v>586</v>
      </c>
      <c r="F199" s="103" t="s">
        <v>598</v>
      </c>
      <c r="G199" s="250"/>
      <c r="H199" s="34" t="s">
        <v>60</v>
      </c>
      <c r="I199" s="104" t="s">
        <v>599</v>
      </c>
      <c r="J199" s="34" t="s">
        <v>45</v>
      </c>
      <c r="K199" s="104">
        <v>269.3</v>
      </c>
      <c r="L199" s="105" t="s">
        <v>61</v>
      </c>
      <c r="M199" s="105" t="s">
        <v>61</v>
      </c>
      <c r="N199" s="265">
        <v>42010</v>
      </c>
      <c r="O199" s="260">
        <v>42037</v>
      </c>
      <c r="P199" s="106" t="s">
        <v>600</v>
      </c>
      <c r="Q199" s="107" t="s">
        <v>212</v>
      </c>
      <c r="R199" s="244"/>
      <c r="S199" s="37">
        <v>189.6</v>
      </c>
      <c r="T199" s="36">
        <f t="shared" ca="1" si="15"/>
        <v>1322</v>
      </c>
      <c r="U199" s="37"/>
      <c r="V199" s="37" t="s">
        <v>601</v>
      </c>
      <c r="W199" s="38"/>
      <c r="X199" s="39"/>
      <c r="Y199" s="39"/>
      <c r="Z199" s="40"/>
      <c r="AA199" s="41" t="str">
        <f t="shared" ca="1" si="5"/>
        <v/>
      </c>
      <c r="AB199" s="40"/>
      <c r="AC199" s="110"/>
      <c r="AD199" s="110"/>
      <c r="AE199" s="40"/>
      <c r="AF199" s="136" t="str">
        <f t="shared" ca="1" si="11"/>
        <v/>
      </c>
      <c r="AG199" s="111"/>
      <c r="AH199" s="111"/>
      <c r="AI199" s="112"/>
      <c r="AJ199" s="40"/>
      <c r="AK199" s="113"/>
      <c r="AL199" s="102"/>
    </row>
    <row r="200" spans="1:38" ht="24.95" customHeight="1" x14ac:dyDescent="0.25">
      <c r="A200" s="114" t="str">
        <f>IF(C200="","",CONCATENATE(15,MID(C200,1,3),IF(B200&lt;10,"00",0),B200))</f>
        <v>15REF004</v>
      </c>
      <c r="B200" s="174">
        <v>4</v>
      </c>
      <c r="C200" s="114" t="s">
        <v>39</v>
      </c>
      <c r="D200" s="115" t="s">
        <v>40</v>
      </c>
      <c r="E200" s="109" t="s">
        <v>41</v>
      </c>
      <c r="F200" s="103" t="s">
        <v>602</v>
      </c>
      <c r="G200" s="250" t="s">
        <v>603</v>
      </c>
      <c r="H200" s="34" t="s">
        <v>330</v>
      </c>
      <c r="I200" s="104" t="s">
        <v>604</v>
      </c>
      <c r="J200" s="34" t="s">
        <v>180</v>
      </c>
      <c r="K200" s="104">
        <v>275.35000000000002</v>
      </c>
      <c r="L200" s="104" t="s">
        <v>605</v>
      </c>
      <c r="M200" s="104" t="s">
        <v>606</v>
      </c>
      <c r="N200" s="265">
        <v>42010</v>
      </c>
      <c r="O200" s="260">
        <v>42012</v>
      </c>
      <c r="P200" s="106" t="s">
        <v>86</v>
      </c>
      <c r="Q200" s="107" t="s">
        <v>458</v>
      </c>
      <c r="R200" s="244"/>
      <c r="S200" s="37">
        <v>7.36</v>
      </c>
      <c r="T200" s="36">
        <f t="shared" ca="1" si="15"/>
        <v>1346</v>
      </c>
      <c r="U200" s="37"/>
      <c r="V200" s="37"/>
      <c r="W200" s="38"/>
      <c r="X200" s="39"/>
      <c r="Y200" s="39"/>
      <c r="Z200" s="40"/>
      <c r="AA200" s="41" t="str">
        <f t="shared" ca="1" si="5"/>
        <v/>
      </c>
      <c r="AB200" s="40"/>
      <c r="AC200" s="110"/>
      <c r="AD200" s="110"/>
      <c r="AE200" s="40"/>
      <c r="AF200" s="136" t="str">
        <f t="shared" ca="1" si="11"/>
        <v/>
      </c>
      <c r="AG200" s="111"/>
      <c r="AH200" s="111"/>
      <c r="AI200" s="112"/>
      <c r="AJ200" s="40"/>
      <c r="AK200" s="113"/>
      <c r="AL200" s="102"/>
    </row>
    <row r="201" spans="1:38" ht="24.95" customHeight="1" x14ac:dyDescent="0.25">
      <c r="A201" s="97" t="str">
        <f t="shared" si="20"/>
        <v>15SAM005</v>
      </c>
      <c r="B201" s="172">
        <v>5</v>
      </c>
      <c r="C201" s="97" t="s">
        <v>57</v>
      </c>
      <c r="D201" s="98" t="s">
        <v>40</v>
      </c>
      <c r="E201" s="109" t="s">
        <v>233</v>
      </c>
      <c r="F201" s="103" t="s">
        <v>607</v>
      </c>
      <c r="G201" s="250"/>
      <c r="H201" s="34" t="s">
        <v>60</v>
      </c>
      <c r="I201" s="104" t="s">
        <v>608</v>
      </c>
      <c r="J201" s="34" t="s">
        <v>45</v>
      </c>
      <c r="K201" s="104">
        <v>602.64</v>
      </c>
      <c r="L201" s="105" t="s">
        <v>61</v>
      </c>
      <c r="M201" s="105" t="s">
        <v>61</v>
      </c>
      <c r="N201" s="265">
        <v>42016</v>
      </c>
      <c r="O201" s="260"/>
      <c r="P201" s="106" t="s">
        <v>609</v>
      </c>
      <c r="Q201" s="107"/>
      <c r="R201" s="244"/>
      <c r="S201" s="37"/>
      <c r="T201" s="36" t="str">
        <f t="shared" ca="1" si="15"/>
        <v/>
      </c>
      <c r="U201" s="37"/>
      <c r="V201" s="37" t="s">
        <v>610</v>
      </c>
      <c r="W201" s="38"/>
      <c r="X201" s="39"/>
      <c r="Y201" s="39"/>
      <c r="Z201" s="40"/>
      <c r="AA201" s="41" t="str">
        <f t="shared" ca="1" si="5"/>
        <v/>
      </c>
      <c r="AB201" s="40"/>
      <c r="AC201" s="116"/>
      <c r="AD201" s="116"/>
      <c r="AE201" s="40"/>
      <c r="AF201" s="136" t="str">
        <f t="shared" ca="1" si="11"/>
        <v/>
      </c>
      <c r="AG201" s="117"/>
      <c r="AH201" s="117"/>
      <c r="AI201" s="118"/>
      <c r="AJ201" s="40"/>
      <c r="AK201" s="119"/>
      <c r="AL201" s="102"/>
    </row>
    <row r="202" spans="1:38" ht="24.95" customHeight="1" x14ac:dyDescent="0.25">
      <c r="A202" s="97" t="str">
        <f t="shared" si="20"/>
        <v>15SAM006</v>
      </c>
      <c r="B202" s="173">
        <v>6</v>
      </c>
      <c r="C202" s="97" t="s">
        <v>57</v>
      </c>
      <c r="D202" s="98" t="s">
        <v>40</v>
      </c>
      <c r="E202" s="109" t="s">
        <v>233</v>
      </c>
      <c r="F202" s="103" t="s">
        <v>1329</v>
      </c>
      <c r="G202" s="250"/>
      <c r="H202" s="34" t="s">
        <v>60</v>
      </c>
      <c r="I202" s="104" t="s">
        <v>972</v>
      </c>
      <c r="J202" s="34" t="s">
        <v>45</v>
      </c>
      <c r="K202" s="104">
        <v>513.6</v>
      </c>
      <c r="L202" s="105" t="s">
        <v>61</v>
      </c>
      <c r="M202" s="105" t="s">
        <v>61</v>
      </c>
      <c r="N202" s="265">
        <v>42016</v>
      </c>
      <c r="O202" s="260">
        <v>42024</v>
      </c>
      <c r="P202" s="106" t="s">
        <v>973</v>
      </c>
      <c r="Q202" s="107" t="s">
        <v>591</v>
      </c>
      <c r="R202" s="244"/>
      <c r="S202" s="37">
        <v>0</v>
      </c>
      <c r="T202" s="36" t="str">
        <f t="shared" ca="1" si="15"/>
        <v>Empty</v>
      </c>
      <c r="U202" s="37"/>
      <c r="V202" s="37" t="s">
        <v>974</v>
      </c>
      <c r="W202" s="38"/>
      <c r="X202" s="39"/>
      <c r="Y202" s="39"/>
      <c r="Z202" s="40"/>
      <c r="AA202" s="41" t="str">
        <f t="shared" ca="1" si="5"/>
        <v/>
      </c>
      <c r="AB202" s="40"/>
      <c r="AC202" s="116"/>
      <c r="AD202" s="116"/>
      <c r="AE202" s="40"/>
      <c r="AF202" s="136" t="str">
        <f t="shared" ca="1" si="11"/>
        <v/>
      </c>
      <c r="AG202" s="117"/>
      <c r="AH202" s="117"/>
      <c r="AI202" s="118"/>
      <c r="AJ202" s="40"/>
      <c r="AK202" s="119"/>
      <c r="AL202" s="102"/>
    </row>
    <row r="203" spans="1:38" ht="24.95" customHeight="1" x14ac:dyDescent="0.25">
      <c r="A203" s="97" t="str">
        <f t="shared" si="20"/>
        <v>15SAM007</v>
      </c>
      <c r="B203" s="172">
        <v>7</v>
      </c>
      <c r="C203" s="97" t="s">
        <v>57</v>
      </c>
      <c r="D203" s="98" t="s">
        <v>40</v>
      </c>
      <c r="E203" s="109" t="s">
        <v>586</v>
      </c>
      <c r="F203" s="103" t="s">
        <v>975</v>
      </c>
      <c r="G203" s="250" t="s">
        <v>976</v>
      </c>
      <c r="H203" s="34" t="s">
        <v>43</v>
      </c>
      <c r="I203" s="104" t="s">
        <v>977</v>
      </c>
      <c r="J203" s="47" t="s">
        <v>105</v>
      </c>
      <c r="K203" s="104">
        <v>264.32</v>
      </c>
      <c r="L203" s="105" t="s">
        <v>61</v>
      </c>
      <c r="M203" s="105" t="s">
        <v>61</v>
      </c>
      <c r="N203" s="265">
        <v>42032</v>
      </c>
      <c r="O203" s="260">
        <v>42037</v>
      </c>
      <c r="P203" s="106" t="s">
        <v>497</v>
      </c>
      <c r="Q203" s="107" t="s">
        <v>212</v>
      </c>
      <c r="R203" s="244"/>
      <c r="S203" s="37">
        <v>0</v>
      </c>
      <c r="T203" s="36" t="str">
        <f t="shared" ca="1" si="15"/>
        <v>Empty</v>
      </c>
      <c r="U203" s="37" t="s">
        <v>978</v>
      </c>
      <c r="V203" s="37" t="s">
        <v>979</v>
      </c>
      <c r="W203" s="38"/>
      <c r="X203" s="39"/>
      <c r="Y203" s="39"/>
      <c r="Z203" s="40"/>
      <c r="AA203" s="41" t="str">
        <f t="shared" ca="1" si="5"/>
        <v/>
      </c>
      <c r="AB203" s="40"/>
      <c r="AC203" s="116"/>
      <c r="AD203" s="116"/>
      <c r="AE203" s="40"/>
      <c r="AF203" s="136" t="str">
        <f t="shared" ca="1" si="11"/>
        <v/>
      </c>
      <c r="AG203" s="117"/>
      <c r="AH203" s="117"/>
      <c r="AI203" s="118"/>
      <c r="AJ203" s="40"/>
      <c r="AK203" s="119"/>
      <c r="AL203" s="102"/>
    </row>
    <row r="204" spans="1:38" ht="24.95" customHeight="1" x14ac:dyDescent="0.25">
      <c r="A204" s="97" t="str">
        <f t="shared" si="20"/>
        <v>15SAM008</v>
      </c>
      <c r="B204" s="172">
        <v>8</v>
      </c>
      <c r="C204" s="97" t="s">
        <v>57</v>
      </c>
      <c r="D204" s="98" t="s">
        <v>40</v>
      </c>
      <c r="E204" s="109" t="s">
        <v>586</v>
      </c>
      <c r="F204" s="103" t="s">
        <v>975</v>
      </c>
      <c r="G204" s="250" t="s">
        <v>976</v>
      </c>
      <c r="H204" s="34" t="s">
        <v>43</v>
      </c>
      <c r="I204" s="104" t="s">
        <v>977</v>
      </c>
      <c r="J204" s="47" t="s">
        <v>105</v>
      </c>
      <c r="K204" s="104">
        <v>264.32</v>
      </c>
      <c r="L204" s="105" t="s">
        <v>61</v>
      </c>
      <c r="M204" s="105" t="s">
        <v>61</v>
      </c>
      <c r="N204" s="265">
        <v>42032</v>
      </c>
      <c r="O204" s="260">
        <v>42039</v>
      </c>
      <c r="P204" s="106" t="s">
        <v>497</v>
      </c>
      <c r="Q204" s="107" t="s">
        <v>212</v>
      </c>
      <c r="R204" s="244"/>
      <c r="S204" s="37">
        <v>0</v>
      </c>
      <c r="T204" s="36" t="str">
        <f t="shared" ca="1" si="15"/>
        <v>Empty</v>
      </c>
      <c r="U204" s="37" t="s">
        <v>978</v>
      </c>
      <c r="V204" s="37" t="s">
        <v>979</v>
      </c>
      <c r="W204" s="38"/>
      <c r="X204" s="39"/>
      <c r="Y204" s="39"/>
      <c r="Z204" s="40"/>
      <c r="AA204" s="41" t="str">
        <f t="shared" ca="1" si="5"/>
        <v/>
      </c>
      <c r="AB204" s="40"/>
      <c r="AC204" s="116"/>
      <c r="AD204" s="116"/>
      <c r="AE204" s="40"/>
      <c r="AF204" s="136" t="str">
        <f t="shared" ca="1" si="11"/>
        <v/>
      </c>
      <c r="AG204" s="117"/>
      <c r="AH204" s="117"/>
      <c r="AI204" s="118"/>
      <c r="AJ204" s="40"/>
      <c r="AK204" s="119"/>
      <c r="AL204" s="102"/>
    </row>
    <row r="205" spans="1:38" ht="24.95" customHeight="1" x14ac:dyDescent="0.25">
      <c r="A205" s="97" t="str">
        <f t="shared" si="20"/>
        <v>15SAM009</v>
      </c>
      <c r="B205" s="173">
        <v>9</v>
      </c>
      <c r="C205" s="97" t="s">
        <v>57</v>
      </c>
      <c r="D205" s="98" t="s">
        <v>40</v>
      </c>
      <c r="E205" s="109" t="s">
        <v>586</v>
      </c>
      <c r="F205" s="103" t="s">
        <v>975</v>
      </c>
      <c r="G205" s="250" t="s">
        <v>976</v>
      </c>
      <c r="H205" s="34" t="s">
        <v>43</v>
      </c>
      <c r="I205" s="104" t="s">
        <v>977</v>
      </c>
      <c r="J205" s="47" t="s">
        <v>105</v>
      </c>
      <c r="K205" s="104">
        <v>264.32</v>
      </c>
      <c r="L205" s="105" t="s">
        <v>61</v>
      </c>
      <c r="M205" s="105" t="s">
        <v>61</v>
      </c>
      <c r="N205" s="265">
        <v>42032</v>
      </c>
      <c r="O205" s="260">
        <v>42040</v>
      </c>
      <c r="P205" s="106" t="s">
        <v>497</v>
      </c>
      <c r="Q205" s="107" t="s">
        <v>212</v>
      </c>
      <c r="R205" s="244"/>
      <c r="S205" s="37">
        <v>0</v>
      </c>
      <c r="T205" s="36" t="str">
        <f t="shared" ca="1" si="15"/>
        <v>Empty</v>
      </c>
      <c r="U205" s="37" t="s">
        <v>978</v>
      </c>
      <c r="V205" s="37" t="s">
        <v>979</v>
      </c>
      <c r="W205" s="38"/>
      <c r="X205" s="39"/>
      <c r="Y205" s="39"/>
      <c r="Z205" s="40"/>
      <c r="AA205" s="41" t="str">
        <f t="shared" ca="1" si="5"/>
        <v/>
      </c>
      <c r="AB205" s="40"/>
      <c r="AC205" s="116"/>
      <c r="AD205" s="116"/>
      <c r="AE205" s="40"/>
      <c r="AF205" s="136" t="str">
        <f t="shared" ca="1" si="11"/>
        <v/>
      </c>
      <c r="AG205" s="117"/>
      <c r="AH205" s="117"/>
      <c r="AI205" s="118"/>
      <c r="AJ205" s="40"/>
      <c r="AK205" s="119"/>
      <c r="AL205" s="102"/>
    </row>
    <row r="206" spans="1:38" ht="24.95" customHeight="1" x14ac:dyDescent="0.25">
      <c r="A206" s="97" t="str">
        <f t="shared" si="20"/>
        <v>15SAM010</v>
      </c>
      <c r="B206" s="172">
        <v>10</v>
      </c>
      <c r="C206" s="97" t="s">
        <v>57</v>
      </c>
      <c r="D206" s="98" t="s">
        <v>40</v>
      </c>
      <c r="E206" s="109" t="s">
        <v>586</v>
      </c>
      <c r="F206" s="103" t="s">
        <v>975</v>
      </c>
      <c r="G206" s="250" t="s">
        <v>976</v>
      </c>
      <c r="H206" s="34" t="s">
        <v>43</v>
      </c>
      <c r="I206" s="104" t="s">
        <v>977</v>
      </c>
      <c r="J206" s="47" t="s">
        <v>105</v>
      </c>
      <c r="K206" s="104">
        <v>264.32</v>
      </c>
      <c r="L206" s="105" t="s">
        <v>61</v>
      </c>
      <c r="M206" s="105" t="s">
        <v>61</v>
      </c>
      <c r="N206" s="265">
        <v>42032</v>
      </c>
      <c r="O206" s="260">
        <v>42046</v>
      </c>
      <c r="P206" s="106" t="s">
        <v>497</v>
      </c>
      <c r="Q206" s="107" t="s">
        <v>212</v>
      </c>
      <c r="R206" s="244"/>
      <c r="S206" s="37">
        <v>0</v>
      </c>
      <c r="T206" s="36" t="str">
        <f t="shared" ca="1" si="15"/>
        <v>Empty</v>
      </c>
      <c r="U206" s="37" t="s">
        <v>980</v>
      </c>
      <c r="V206" s="37" t="s">
        <v>979</v>
      </c>
      <c r="W206" s="38"/>
      <c r="X206" s="39"/>
      <c r="Y206" s="39"/>
      <c r="Z206" s="40"/>
      <c r="AA206" s="41" t="str">
        <f t="shared" ca="1" si="5"/>
        <v/>
      </c>
      <c r="AB206" s="40"/>
      <c r="AC206" s="116"/>
      <c r="AD206" s="116"/>
      <c r="AE206" s="40"/>
      <c r="AF206" s="136" t="str">
        <f t="shared" ref="AF206:AF269" ca="1" si="21">IF(AB206="","",IF(AB206,DAYS360(AB206,TODAY())))</f>
        <v/>
      </c>
      <c r="AG206" s="117"/>
      <c r="AH206" s="117"/>
      <c r="AI206" s="118"/>
      <c r="AJ206" s="40"/>
      <c r="AK206" s="119"/>
      <c r="AL206" s="102"/>
    </row>
    <row r="207" spans="1:38" ht="24.95" customHeight="1" x14ac:dyDescent="0.25">
      <c r="A207" s="97" t="str">
        <f t="shared" si="20"/>
        <v>15SAM011</v>
      </c>
      <c r="B207" s="172">
        <v>11</v>
      </c>
      <c r="C207" s="97" t="s">
        <v>57</v>
      </c>
      <c r="D207" s="98" t="s">
        <v>40</v>
      </c>
      <c r="E207" s="109" t="s">
        <v>586</v>
      </c>
      <c r="F207" s="103" t="s">
        <v>975</v>
      </c>
      <c r="G207" s="250" t="s">
        <v>976</v>
      </c>
      <c r="H207" s="34" t="s">
        <v>43</v>
      </c>
      <c r="I207" s="104" t="s">
        <v>977</v>
      </c>
      <c r="J207" s="47" t="s">
        <v>105</v>
      </c>
      <c r="K207" s="104">
        <v>264.32</v>
      </c>
      <c r="L207" s="105" t="s">
        <v>61</v>
      </c>
      <c r="M207" s="105" t="s">
        <v>61</v>
      </c>
      <c r="N207" s="265">
        <v>42032</v>
      </c>
      <c r="O207" s="260">
        <v>42036</v>
      </c>
      <c r="P207" s="106" t="s">
        <v>497</v>
      </c>
      <c r="Q207" s="107" t="s">
        <v>212</v>
      </c>
      <c r="R207" s="244"/>
      <c r="S207" s="37">
        <v>0</v>
      </c>
      <c r="T207" s="36" t="str">
        <f t="shared" ca="1" si="15"/>
        <v>Empty</v>
      </c>
      <c r="U207" s="37" t="s">
        <v>980</v>
      </c>
      <c r="V207" s="37" t="s">
        <v>979</v>
      </c>
      <c r="W207" s="38"/>
      <c r="X207" s="39"/>
      <c r="Y207" s="39"/>
      <c r="Z207" s="40"/>
      <c r="AA207" s="41" t="str">
        <f t="shared" ca="1" si="5"/>
        <v/>
      </c>
      <c r="AB207" s="40"/>
      <c r="AC207" s="116"/>
      <c r="AD207" s="116"/>
      <c r="AE207" s="40"/>
      <c r="AF207" s="136" t="str">
        <f t="shared" ca="1" si="21"/>
        <v/>
      </c>
      <c r="AG207" s="117"/>
      <c r="AH207" s="117"/>
      <c r="AI207" s="118"/>
      <c r="AJ207" s="40"/>
      <c r="AK207" s="119"/>
      <c r="AL207" s="102"/>
    </row>
    <row r="208" spans="1:38" ht="24.95" customHeight="1" x14ac:dyDescent="0.25">
      <c r="A208" s="97" t="str">
        <f t="shared" si="20"/>
        <v>15SAM012</v>
      </c>
      <c r="B208" s="173">
        <v>12</v>
      </c>
      <c r="C208" s="97" t="s">
        <v>57</v>
      </c>
      <c r="D208" s="98" t="s">
        <v>40</v>
      </c>
      <c r="E208" s="109" t="s">
        <v>586</v>
      </c>
      <c r="F208" s="103" t="s">
        <v>611</v>
      </c>
      <c r="G208" s="250"/>
      <c r="H208" s="34" t="s">
        <v>60</v>
      </c>
      <c r="I208" s="105" t="s">
        <v>61</v>
      </c>
      <c r="J208" s="34" t="s">
        <v>45</v>
      </c>
      <c r="K208" s="104">
        <v>287.29000000000002</v>
      </c>
      <c r="L208" s="105" t="s">
        <v>61</v>
      </c>
      <c r="M208" s="105" t="s">
        <v>61</v>
      </c>
      <c r="N208" s="265">
        <v>42037</v>
      </c>
      <c r="O208" s="260"/>
      <c r="P208" s="106" t="s">
        <v>124</v>
      </c>
      <c r="Q208" s="107" t="s">
        <v>212</v>
      </c>
      <c r="R208" s="244"/>
      <c r="S208" s="37"/>
      <c r="T208" s="36" t="str">
        <f t="shared" ca="1" si="15"/>
        <v/>
      </c>
      <c r="U208" s="37"/>
      <c r="V208" s="37" t="s">
        <v>612</v>
      </c>
      <c r="W208" s="38"/>
      <c r="X208" s="39"/>
      <c r="Y208" s="39"/>
      <c r="Z208" s="40"/>
      <c r="AA208" s="41" t="str">
        <f t="shared" ca="1" si="5"/>
        <v/>
      </c>
      <c r="AB208" s="40"/>
      <c r="AC208" s="116"/>
      <c r="AD208" s="116"/>
      <c r="AE208" s="40"/>
      <c r="AF208" s="136" t="str">
        <f t="shared" ca="1" si="21"/>
        <v/>
      </c>
      <c r="AG208" s="117"/>
      <c r="AH208" s="117"/>
      <c r="AI208" s="118"/>
      <c r="AJ208" s="40"/>
      <c r="AK208" s="119"/>
      <c r="AL208" s="102"/>
    </row>
    <row r="209" spans="1:38" ht="24.95" customHeight="1" x14ac:dyDescent="0.25">
      <c r="A209" s="97" t="str">
        <f t="shared" si="20"/>
        <v>15SAM013</v>
      </c>
      <c r="B209" s="172">
        <v>13</v>
      </c>
      <c r="C209" s="97" t="s">
        <v>57</v>
      </c>
      <c r="D209" s="98" t="s">
        <v>40</v>
      </c>
      <c r="E209" s="109" t="s">
        <v>233</v>
      </c>
      <c r="F209" s="103" t="s">
        <v>981</v>
      </c>
      <c r="G209" s="250" t="s">
        <v>982</v>
      </c>
      <c r="H209" s="34" t="s">
        <v>112</v>
      </c>
      <c r="I209" s="104" t="s">
        <v>983</v>
      </c>
      <c r="J209" s="47" t="s">
        <v>105</v>
      </c>
      <c r="K209" s="104">
        <v>599.55999999999995</v>
      </c>
      <c r="L209" s="104"/>
      <c r="M209" s="104"/>
      <c r="N209" s="265">
        <v>42038</v>
      </c>
      <c r="O209" s="260">
        <v>42047</v>
      </c>
      <c r="P209" s="106" t="s">
        <v>86</v>
      </c>
      <c r="Q209" s="107" t="s">
        <v>2905</v>
      </c>
      <c r="R209" s="244"/>
      <c r="S209" s="37">
        <v>0</v>
      </c>
      <c r="T209" s="36" t="str">
        <f t="shared" ca="1" si="15"/>
        <v>Empty</v>
      </c>
      <c r="U209" s="37" t="s">
        <v>984</v>
      </c>
      <c r="V209" s="37" t="s">
        <v>985</v>
      </c>
      <c r="W209" s="38"/>
      <c r="X209" s="39"/>
      <c r="Y209" s="39"/>
      <c r="Z209" s="40"/>
      <c r="AA209" s="41" t="str">
        <f t="shared" ca="1" si="5"/>
        <v/>
      </c>
      <c r="AB209" s="40"/>
      <c r="AC209" s="116"/>
      <c r="AD209" s="116"/>
      <c r="AE209" s="40"/>
      <c r="AF209" s="136" t="str">
        <f t="shared" ca="1" si="21"/>
        <v/>
      </c>
      <c r="AG209" s="117"/>
      <c r="AH209" s="117"/>
      <c r="AI209" s="118"/>
      <c r="AJ209" s="40"/>
      <c r="AK209" s="119"/>
      <c r="AL209" s="102"/>
    </row>
    <row r="210" spans="1:38" ht="24.95" customHeight="1" x14ac:dyDescent="0.25">
      <c r="A210" s="97" t="str">
        <f t="shared" si="20"/>
        <v>15SAM014</v>
      </c>
      <c r="B210" s="172">
        <v>14</v>
      </c>
      <c r="C210" s="97" t="s">
        <v>57</v>
      </c>
      <c r="D210" s="98" t="s">
        <v>40</v>
      </c>
      <c r="E210" s="109" t="s">
        <v>233</v>
      </c>
      <c r="F210" s="103" t="s">
        <v>797</v>
      </c>
      <c r="G210" s="250" t="s">
        <v>986</v>
      </c>
      <c r="H210" s="34" t="s">
        <v>43</v>
      </c>
      <c r="I210" s="104" t="s">
        <v>798</v>
      </c>
      <c r="J210" s="34" t="s">
        <v>180</v>
      </c>
      <c r="K210" s="104">
        <v>303.33</v>
      </c>
      <c r="L210" s="104">
        <v>90221</v>
      </c>
      <c r="M210" s="104" t="s">
        <v>799</v>
      </c>
      <c r="N210" s="265">
        <v>42039</v>
      </c>
      <c r="O210" s="260">
        <v>42047</v>
      </c>
      <c r="P210" s="106" t="s">
        <v>139</v>
      </c>
      <c r="Q210" s="107" t="s">
        <v>212</v>
      </c>
      <c r="R210" s="244"/>
      <c r="S210" s="37">
        <v>0</v>
      </c>
      <c r="T210" s="36" t="str">
        <f t="shared" ca="1" si="15"/>
        <v>Empty</v>
      </c>
      <c r="U210" s="37" t="s">
        <v>984</v>
      </c>
      <c r="V210" s="37" t="s">
        <v>987</v>
      </c>
      <c r="W210" s="38"/>
      <c r="X210" s="39"/>
      <c r="Y210" s="39"/>
      <c r="Z210" s="40"/>
      <c r="AA210" s="41" t="str">
        <f t="shared" ca="1" si="5"/>
        <v/>
      </c>
      <c r="AB210" s="40"/>
      <c r="AC210" s="116"/>
      <c r="AD210" s="116"/>
      <c r="AE210" s="40"/>
      <c r="AF210" s="136" t="str">
        <f t="shared" ca="1" si="21"/>
        <v/>
      </c>
      <c r="AG210" s="117"/>
      <c r="AH210" s="117"/>
      <c r="AI210" s="118"/>
      <c r="AJ210" s="40"/>
      <c r="AK210" s="119"/>
      <c r="AL210" s="102"/>
    </row>
    <row r="211" spans="1:38" ht="24.95" customHeight="1" x14ac:dyDescent="0.25">
      <c r="A211" s="97" t="str">
        <f t="shared" si="20"/>
        <v>15SAM015</v>
      </c>
      <c r="B211" s="172">
        <v>15</v>
      </c>
      <c r="C211" s="97" t="s">
        <v>57</v>
      </c>
      <c r="D211" s="98" t="s">
        <v>40</v>
      </c>
      <c r="E211" s="109" t="s">
        <v>586</v>
      </c>
      <c r="F211" s="103" t="s">
        <v>613</v>
      </c>
      <c r="G211" s="250" t="s">
        <v>614</v>
      </c>
      <c r="H211" s="34" t="s">
        <v>60</v>
      </c>
      <c r="I211" s="104" t="s">
        <v>615</v>
      </c>
      <c r="J211" s="34" t="s">
        <v>45</v>
      </c>
      <c r="K211" s="104">
        <v>314.36</v>
      </c>
      <c r="L211" s="105" t="s">
        <v>61</v>
      </c>
      <c r="M211" s="105" t="s">
        <v>61</v>
      </c>
      <c r="N211" s="265">
        <v>42044</v>
      </c>
      <c r="O211" s="260"/>
      <c r="P211" s="106" t="s">
        <v>616</v>
      </c>
      <c r="Q211" s="107" t="s">
        <v>212</v>
      </c>
      <c r="R211" s="244"/>
      <c r="S211" s="37"/>
      <c r="T211" s="36" t="str">
        <f t="shared" ca="1" si="15"/>
        <v/>
      </c>
      <c r="U211" s="37"/>
      <c r="V211" s="37"/>
      <c r="W211" s="38"/>
      <c r="X211" s="39"/>
      <c r="Y211" s="39"/>
      <c r="Z211" s="40"/>
      <c r="AA211" s="41" t="str">
        <f t="shared" ca="1" si="5"/>
        <v/>
      </c>
      <c r="AB211" s="40"/>
      <c r="AC211" s="116"/>
      <c r="AD211" s="116"/>
      <c r="AE211" s="40"/>
      <c r="AF211" s="136" t="str">
        <f t="shared" ca="1" si="21"/>
        <v/>
      </c>
      <c r="AG211" s="117"/>
      <c r="AH211" s="117"/>
      <c r="AI211" s="118"/>
      <c r="AJ211" s="40"/>
      <c r="AK211" s="119"/>
      <c r="AL211" s="102"/>
    </row>
    <row r="212" spans="1:38" ht="24.95" customHeight="1" x14ac:dyDescent="0.25">
      <c r="A212" s="97" t="str">
        <f t="shared" si="20"/>
        <v>15SAM016</v>
      </c>
      <c r="B212" s="172">
        <v>16</v>
      </c>
      <c r="C212" s="97" t="s">
        <v>57</v>
      </c>
      <c r="D212" s="98" t="s">
        <v>40</v>
      </c>
      <c r="E212" s="109" t="s">
        <v>586</v>
      </c>
      <c r="F212" s="103" t="s">
        <v>617</v>
      </c>
      <c r="G212" s="250" t="s">
        <v>618</v>
      </c>
      <c r="H212" s="34" t="s">
        <v>60</v>
      </c>
      <c r="I212" s="104" t="s">
        <v>619</v>
      </c>
      <c r="J212" s="34" t="s">
        <v>45</v>
      </c>
      <c r="K212" s="104">
        <v>349.37</v>
      </c>
      <c r="L212" s="105" t="s">
        <v>61</v>
      </c>
      <c r="M212" s="105" t="s">
        <v>61</v>
      </c>
      <c r="N212" s="265">
        <v>42044</v>
      </c>
      <c r="O212" s="260"/>
      <c r="P212" s="106" t="s">
        <v>620</v>
      </c>
      <c r="Q212" s="107" t="s">
        <v>212</v>
      </c>
      <c r="R212" s="244"/>
      <c r="S212" s="37"/>
      <c r="T212" s="36" t="str">
        <f t="shared" ca="1" si="15"/>
        <v/>
      </c>
      <c r="U212" s="37"/>
      <c r="V212" s="37"/>
      <c r="W212" s="38"/>
      <c r="X212" s="39"/>
      <c r="Y212" s="39"/>
      <c r="Z212" s="40"/>
      <c r="AA212" s="41" t="str">
        <f t="shared" ca="1" si="5"/>
        <v/>
      </c>
      <c r="AB212" s="40"/>
      <c r="AC212" s="116"/>
      <c r="AD212" s="116"/>
      <c r="AE212" s="40"/>
      <c r="AF212" s="136" t="str">
        <f t="shared" ca="1" si="21"/>
        <v/>
      </c>
      <c r="AG212" s="117"/>
      <c r="AH212" s="117"/>
      <c r="AI212" s="118"/>
      <c r="AJ212" s="40"/>
      <c r="AK212" s="119"/>
      <c r="AL212" s="102"/>
    </row>
    <row r="213" spans="1:38" ht="24.95" customHeight="1" x14ac:dyDescent="0.25">
      <c r="A213" s="97" t="str">
        <f t="shared" si="20"/>
        <v>15SAM017</v>
      </c>
      <c r="B213" s="173">
        <v>17</v>
      </c>
      <c r="C213" s="97" t="s">
        <v>57</v>
      </c>
      <c r="D213" s="98" t="s">
        <v>40</v>
      </c>
      <c r="E213" s="109" t="s">
        <v>586</v>
      </c>
      <c r="F213" s="103" t="s">
        <v>621</v>
      </c>
      <c r="G213" s="250" t="s">
        <v>622</v>
      </c>
      <c r="H213" s="34" t="s">
        <v>60</v>
      </c>
      <c r="I213" s="104" t="s">
        <v>623</v>
      </c>
      <c r="J213" s="34" t="s">
        <v>45</v>
      </c>
      <c r="K213" s="104">
        <v>299.35000000000002</v>
      </c>
      <c r="L213" s="105" t="s">
        <v>61</v>
      </c>
      <c r="M213" s="105" t="s">
        <v>61</v>
      </c>
      <c r="N213" s="265">
        <v>42044</v>
      </c>
      <c r="O213" s="260"/>
      <c r="P213" s="106" t="s">
        <v>624</v>
      </c>
      <c r="Q213" s="107" t="s">
        <v>212</v>
      </c>
      <c r="R213" s="244"/>
      <c r="S213" s="37"/>
      <c r="T213" s="36" t="str">
        <f t="shared" ca="1" si="15"/>
        <v/>
      </c>
      <c r="U213" s="37"/>
      <c r="V213" s="37"/>
      <c r="W213" s="38"/>
      <c r="X213" s="39"/>
      <c r="Y213" s="39"/>
      <c r="Z213" s="40"/>
      <c r="AA213" s="41" t="str">
        <f t="shared" ca="1" si="5"/>
        <v/>
      </c>
      <c r="AB213" s="40"/>
      <c r="AC213" s="116"/>
      <c r="AD213" s="116"/>
      <c r="AE213" s="40"/>
      <c r="AF213" s="136" t="str">
        <f t="shared" ca="1" si="21"/>
        <v/>
      </c>
      <c r="AG213" s="117"/>
      <c r="AH213" s="117"/>
      <c r="AI213" s="118"/>
      <c r="AJ213" s="40"/>
      <c r="AK213" s="119"/>
      <c r="AL213" s="102"/>
    </row>
    <row r="214" spans="1:38" ht="24.95" customHeight="1" x14ac:dyDescent="0.25">
      <c r="A214" s="97" t="str">
        <f t="shared" si="20"/>
        <v>15SAM018</v>
      </c>
      <c r="B214" s="172">
        <v>18</v>
      </c>
      <c r="C214" s="97" t="s">
        <v>57</v>
      </c>
      <c r="D214" s="98" t="s">
        <v>40</v>
      </c>
      <c r="E214" s="109" t="s">
        <v>233</v>
      </c>
      <c r="F214" s="103" t="s">
        <v>1569</v>
      </c>
      <c r="G214" s="250"/>
      <c r="H214" s="34" t="s">
        <v>60</v>
      </c>
      <c r="I214" s="104" t="s">
        <v>988</v>
      </c>
      <c r="J214" s="34" t="s">
        <v>45</v>
      </c>
      <c r="K214" s="104">
        <v>438.47</v>
      </c>
      <c r="L214" s="105" t="s">
        <v>61</v>
      </c>
      <c r="M214" s="105" t="s">
        <v>61</v>
      </c>
      <c r="N214" s="265">
        <v>42047</v>
      </c>
      <c r="O214" s="260">
        <v>42047</v>
      </c>
      <c r="P214" s="106" t="s">
        <v>989</v>
      </c>
      <c r="Q214" s="107" t="s">
        <v>212</v>
      </c>
      <c r="R214" s="244"/>
      <c r="S214" s="37">
        <v>0</v>
      </c>
      <c r="T214" s="36" t="str">
        <f t="shared" ca="1" si="15"/>
        <v>Empty</v>
      </c>
      <c r="U214" s="37" t="s">
        <v>984</v>
      </c>
      <c r="V214" s="37" t="s">
        <v>990</v>
      </c>
      <c r="W214" s="38"/>
      <c r="X214" s="39"/>
      <c r="Y214" s="39"/>
      <c r="Z214" s="40"/>
      <c r="AA214" s="41" t="str">
        <f t="shared" ca="1" si="5"/>
        <v/>
      </c>
      <c r="AB214" s="40"/>
      <c r="AC214" s="116"/>
      <c r="AD214" s="116"/>
      <c r="AE214" s="40"/>
      <c r="AF214" s="136" t="str">
        <f t="shared" ca="1" si="21"/>
        <v/>
      </c>
      <c r="AG214" s="117"/>
      <c r="AH214" s="117"/>
      <c r="AI214" s="118"/>
      <c r="AJ214" s="40"/>
      <c r="AK214" s="119"/>
      <c r="AL214" s="102"/>
    </row>
    <row r="215" spans="1:38" ht="24.95" customHeight="1" x14ac:dyDescent="0.25">
      <c r="A215" s="97" t="str">
        <f t="shared" si="20"/>
        <v>15SAM019</v>
      </c>
      <c r="B215" s="172">
        <v>19</v>
      </c>
      <c r="C215" s="97" t="s">
        <v>57</v>
      </c>
      <c r="D215" s="98" t="s">
        <v>40</v>
      </c>
      <c r="E215" s="109" t="s">
        <v>233</v>
      </c>
      <c r="F215" s="103" t="s">
        <v>1570</v>
      </c>
      <c r="G215" s="250"/>
      <c r="H215" s="34" t="s">
        <v>60</v>
      </c>
      <c r="I215" s="104" t="s">
        <v>991</v>
      </c>
      <c r="J215" s="34" t="s">
        <v>45</v>
      </c>
      <c r="K215" s="104">
        <v>421.48899999999998</v>
      </c>
      <c r="L215" s="105" t="s">
        <v>61</v>
      </c>
      <c r="M215" s="105" t="s">
        <v>61</v>
      </c>
      <c r="N215" s="265">
        <v>42047</v>
      </c>
      <c r="O215" s="260">
        <v>42047</v>
      </c>
      <c r="P215" s="106" t="s">
        <v>992</v>
      </c>
      <c r="Q215" s="107" t="s">
        <v>212</v>
      </c>
      <c r="R215" s="244"/>
      <c r="S215" s="37">
        <v>0</v>
      </c>
      <c r="T215" s="36" t="str">
        <f t="shared" ca="1" si="15"/>
        <v>Empty</v>
      </c>
      <c r="U215" s="37" t="s">
        <v>984</v>
      </c>
      <c r="V215" s="37" t="s">
        <v>993</v>
      </c>
      <c r="W215" s="38"/>
      <c r="X215" s="39"/>
      <c r="Y215" s="39"/>
      <c r="Z215" s="40"/>
      <c r="AA215" s="41" t="str">
        <f t="shared" ca="1" si="5"/>
        <v/>
      </c>
      <c r="AB215" s="40"/>
      <c r="AC215" s="116"/>
      <c r="AD215" s="116"/>
      <c r="AE215" s="40"/>
      <c r="AF215" s="136" t="str">
        <f t="shared" ca="1" si="21"/>
        <v/>
      </c>
      <c r="AG215" s="117"/>
      <c r="AH215" s="117"/>
      <c r="AI215" s="118"/>
      <c r="AJ215" s="40"/>
      <c r="AK215" s="119"/>
      <c r="AL215" s="102"/>
    </row>
    <row r="216" spans="1:38" ht="24.95" customHeight="1" x14ac:dyDescent="0.25">
      <c r="A216" s="114" t="str">
        <f t="shared" si="20"/>
        <v>15REF020</v>
      </c>
      <c r="B216" s="175">
        <v>20</v>
      </c>
      <c r="C216" s="114" t="s">
        <v>39</v>
      </c>
      <c r="D216" s="115" t="s">
        <v>40</v>
      </c>
      <c r="E216" s="109" t="s">
        <v>41</v>
      </c>
      <c r="F216" s="103" t="s">
        <v>243</v>
      </c>
      <c r="G216" s="250" t="s">
        <v>244</v>
      </c>
      <c r="H216" s="34" t="s">
        <v>625</v>
      </c>
      <c r="I216" s="120" t="s">
        <v>61</v>
      </c>
      <c r="J216" s="34" t="s">
        <v>45</v>
      </c>
      <c r="K216" s="104">
        <v>213.23</v>
      </c>
      <c r="L216" s="104" t="s">
        <v>626</v>
      </c>
      <c r="M216" s="104" t="s">
        <v>627</v>
      </c>
      <c r="N216" s="265">
        <v>42047</v>
      </c>
      <c r="O216" s="260">
        <v>42055</v>
      </c>
      <c r="P216" s="106" t="s">
        <v>139</v>
      </c>
      <c r="Q216" s="107" t="s">
        <v>628</v>
      </c>
      <c r="R216" s="244"/>
      <c r="S216" s="37">
        <v>0</v>
      </c>
      <c r="T216" s="36" t="str">
        <f t="shared" ca="1" si="15"/>
        <v>Empty</v>
      </c>
      <c r="U216" s="37"/>
      <c r="V216" s="37" t="s">
        <v>629</v>
      </c>
      <c r="W216" s="38"/>
      <c r="X216" s="39"/>
      <c r="Y216" s="39"/>
      <c r="Z216" s="40"/>
      <c r="AA216" s="41" t="str">
        <f t="shared" ca="1" si="5"/>
        <v/>
      </c>
      <c r="AB216" s="40"/>
      <c r="AC216" s="116"/>
      <c r="AD216" s="116"/>
      <c r="AE216" s="40"/>
      <c r="AF216" s="136" t="str">
        <f t="shared" ca="1" si="21"/>
        <v/>
      </c>
      <c r="AG216" s="117"/>
      <c r="AH216" s="117"/>
      <c r="AI216" s="118"/>
      <c r="AJ216" s="40"/>
      <c r="AK216" s="119"/>
      <c r="AL216" s="102"/>
    </row>
    <row r="217" spans="1:38" ht="24.95" customHeight="1" x14ac:dyDescent="0.25">
      <c r="A217" s="121" t="str">
        <f t="shared" si="20"/>
        <v>15REF021</v>
      </c>
      <c r="B217" s="176">
        <v>21</v>
      </c>
      <c r="C217" s="121" t="s">
        <v>39</v>
      </c>
      <c r="D217" s="122" t="s">
        <v>40</v>
      </c>
      <c r="E217" s="109" t="s">
        <v>41</v>
      </c>
      <c r="F217" s="103" t="s">
        <v>630</v>
      </c>
      <c r="G217" s="250" t="s">
        <v>631</v>
      </c>
      <c r="H217" s="34" t="s">
        <v>43</v>
      </c>
      <c r="I217" s="104" t="s">
        <v>632</v>
      </c>
      <c r="J217" s="34" t="s">
        <v>45</v>
      </c>
      <c r="K217" s="104">
        <v>254.22</v>
      </c>
      <c r="L217" s="104" t="s">
        <v>441</v>
      </c>
      <c r="M217" s="104" t="s">
        <v>442</v>
      </c>
      <c r="N217" s="265">
        <v>42047</v>
      </c>
      <c r="O217" s="260"/>
      <c r="P217" s="106" t="s">
        <v>48</v>
      </c>
      <c r="Q217" s="107" t="s">
        <v>49</v>
      </c>
      <c r="R217" s="244"/>
      <c r="S217" s="37"/>
      <c r="T217" s="36" t="str">
        <f t="shared" ca="1" si="15"/>
        <v/>
      </c>
      <c r="U217" s="37"/>
      <c r="V217" s="37"/>
      <c r="W217" s="38"/>
      <c r="X217" s="39"/>
      <c r="Y217" s="39"/>
      <c r="Z217" s="40"/>
      <c r="AA217" s="41" t="str">
        <f t="shared" ca="1" si="5"/>
        <v/>
      </c>
      <c r="AB217" s="40"/>
      <c r="AC217" s="116"/>
      <c r="AD217" s="116"/>
      <c r="AE217" s="40"/>
      <c r="AF217" s="136" t="str">
        <f t="shared" ca="1" si="21"/>
        <v/>
      </c>
      <c r="AG217" s="117"/>
      <c r="AH217" s="117"/>
      <c r="AI217" s="118"/>
      <c r="AJ217" s="40"/>
      <c r="AK217" s="119"/>
      <c r="AL217" s="102"/>
    </row>
    <row r="218" spans="1:38" ht="24.95" customHeight="1" x14ac:dyDescent="0.25">
      <c r="A218" s="114" t="str">
        <f t="shared" si="20"/>
        <v>15REF022</v>
      </c>
      <c r="B218" s="174">
        <v>22</v>
      </c>
      <c r="C218" s="114" t="s">
        <v>39</v>
      </c>
      <c r="D218" s="115" t="s">
        <v>40</v>
      </c>
      <c r="E218" s="109" t="s">
        <v>41</v>
      </c>
      <c r="F218" s="103" t="s">
        <v>860</v>
      </c>
      <c r="G218" s="250" t="s">
        <v>802</v>
      </c>
      <c r="H218" s="34" t="s">
        <v>625</v>
      </c>
      <c r="I218" s="120" t="s">
        <v>61</v>
      </c>
      <c r="J218" s="34" t="s">
        <v>45</v>
      </c>
      <c r="K218" s="104">
        <v>336.28</v>
      </c>
      <c r="L218" s="104" t="s">
        <v>994</v>
      </c>
      <c r="M218" s="177" t="s">
        <v>863</v>
      </c>
      <c r="N218" s="265">
        <v>42050</v>
      </c>
      <c r="O218" s="260">
        <v>42139</v>
      </c>
      <c r="P218" s="106" t="s">
        <v>183</v>
      </c>
      <c r="Q218" s="107" t="s">
        <v>212</v>
      </c>
      <c r="R218" s="244"/>
      <c r="S218" s="37">
        <v>0</v>
      </c>
      <c r="T218" s="36" t="str">
        <f t="shared" ca="1" si="15"/>
        <v>Empty</v>
      </c>
      <c r="U218" s="37"/>
      <c r="V218" s="37"/>
      <c r="W218" s="38">
        <v>42139</v>
      </c>
      <c r="X218" s="39" t="s">
        <v>248</v>
      </c>
      <c r="Y218" s="39" t="s">
        <v>995</v>
      </c>
      <c r="Z218" s="40" t="s">
        <v>49</v>
      </c>
      <c r="AA218" s="41">
        <f t="shared" ca="1" si="5"/>
        <v>1219</v>
      </c>
      <c r="AB218" s="40"/>
      <c r="AC218" s="116"/>
      <c r="AD218" s="116"/>
      <c r="AE218" s="40"/>
      <c r="AF218" s="136" t="str">
        <f t="shared" ca="1" si="21"/>
        <v/>
      </c>
      <c r="AG218" s="117"/>
      <c r="AH218" s="117"/>
      <c r="AI218" s="118"/>
      <c r="AJ218" s="40"/>
      <c r="AK218" s="119"/>
      <c r="AL218" s="102"/>
    </row>
    <row r="219" spans="1:38" ht="23.25" x14ac:dyDescent="0.25">
      <c r="A219" s="114" t="str">
        <f t="shared" si="20"/>
        <v>15REF023</v>
      </c>
      <c r="B219" s="175">
        <v>23</v>
      </c>
      <c r="C219" s="114" t="s">
        <v>39</v>
      </c>
      <c r="D219" s="115" t="s">
        <v>40</v>
      </c>
      <c r="E219" s="109" t="s">
        <v>41</v>
      </c>
      <c r="F219" s="103" t="s">
        <v>633</v>
      </c>
      <c r="G219" s="250" t="s">
        <v>634</v>
      </c>
      <c r="H219" s="34" t="s">
        <v>112</v>
      </c>
      <c r="I219" s="104" t="s">
        <v>635</v>
      </c>
      <c r="J219" s="47" t="s">
        <v>105</v>
      </c>
      <c r="K219" s="104">
        <v>250.09</v>
      </c>
      <c r="L219" s="104">
        <v>2547</v>
      </c>
      <c r="M219" s="104" t="s">
        <v>636</v>
      </c>
      <c r="N219" s="265">
        <v>42054</v>
      </c>
      <c r="O219" s="260">
        <v>42101</v>
      </c>
      <c r="P219" s="106" t="s">
        <v>183</v>
      </c>
      <c r="Q219" s="123" t="s">
        <v>637</v>
      </c>
      <c r="R219" s="245"/>
      <c r="S219" s="37">
        <f>50-20-10</f>
        <v>20</v>
      </c>
      <c r="T219" s="36">
        <f t="shared" ca="1" si="15"/>
        <v>1257</v>
      </c>
      <c r="U219" s="37"/>
      <c r="V219" s="95" t="s">
        <v>573</v>
      </c>
      <c r="W219" s="38"/>
      <c r="X219" s="39"/>
      <c r="Y219" s="39"/>
      <c r="Z219" s="40"/>
      <c r="AA219" s="41" t="str">
        <f t="shared" ca="1" si="5"/>
        <v/>
      </c>
      <c r="AB219" s="40"/>
      <c r="AC219" s="116"/>
      <c r="AD219" s="116"/>
      <c r="AE219" s="40"/>
      <c r="AF219" s="136" t="str">
        <f t="shared" ca="1" si="21"/>
        <v/>
      </c>
      <c r="AG219" s="117"/>
      <c r="AH219" s="117"/>
      <c r="AI219" s="118"/>
      <c r="AJ219" s="40"/>
      <c r="AK219" s="119"/>
      <c r="AL219" s="102"/>
    </row>
    <row r="220" spans="1:38" ht="30" x14ac:dyDescent="0.25">
      <c r="A220" s="97" t="str">
        <f t="shared" si="20"/>
        <v>15SAM024</v>
      </c>
      <c r="B220" s="172">
        <v>24</v>
      </c>
      <c r="C220" s="97" t="s">
        <v>57</v>
      </c>
      <c r="D220" s="98" t="s">
        <v>40</v>
      </c>
      <c r="E220" s="124" t="s">
        <v>996</v>
      </c>
      <c r="F220" s="124" t="s">
        <v>997</v>
      </c>
      <c r="G220" s="251" t="s">
        <v>998</v>
      </c>
      <c r="H220" s="34" t="s">
        <v>112</v>
      </c>
      <c r="I220" s="126" t="s">
        <v>999</v>
      </c>
      <c r="J220" s="34" t="s">
        <v>45</v>
      </c>
      <c r="K220" s="126">
        <v>304.33999999999997</v>
      </c>
      <c r="L220" s="126">
        <v>4307</v>
      </c>
      <c r="M220" s="104" t="s">
        <v>1000</v>
      </c>
      <c r="N220" s="265">
        <v>42075</v>
      </c>
      <c r="O220" s="260">
        <v>42081</v>
      </c>
      <c r="P220" s="106" t="s">
        <v>86</v>
      </c>
      <c r="Q220" s="107" t="s">
        <v>504</v>
      </c>
      <c r="R220" s="244"/>
      <c r="S220" s="37">
        <v>0</v>
      </c>
      <c r="T220" s="36" t="str">
        <f t="shared" ref="T220:T283" ca="1" si="22">IF(S220="","",IF(S220=0,"Empty",IF(O220="","",IF(O220,DAYS360(O220,TODAY())))))</f>
        <v>Empty</v>
      </c>
      <c r="U220" s="37"/>
      <c r="V220" s="37" t="s">
        <v>1001</v>
      </c>
      <c r="W220" s="178">
        <v>42081</v>
      </c>
      <c r="X220" s="39" t="s">
        <v>248</v>
      </c>
      <c r="Y220" s="39" t="s">
        <v>1002</v>
      </c>
      <c r="Z220" s="179" t="s">
        <v>212</v>
      </c>
      <c r="AA220" s="41">
        <f t="shared" ca="1" si="5"/>
        <v>1276</v>
      </c>
      <c r="AB220" s="179"/>
      <c r="AC220" s="150"/>
      <c r="AD220" s="150"/>
      <c r="AE220" s="179"/>
      <c r="AF220" s="136" t="str">
        <f t="shared" ca="1" si="21"/>
        <v/>
      </c>
      <c r="AG220" s="180"/>
      <c r="AH220" s="180"/>
      <c r="AI220" s="180"/>
      <c r="AJ220" s="179"/>
      <c r="AK220" s="180"/>
      <c r="AL220" s="180"/>
    </row>
    <row r="221" spans="1:38" ht="24.95" customHeight="1" x14ac:dyDescent="0.25">
      <c r="A221" s="114" t="str">
        <f t="shared" si="20"/>
        <v>15REF025</v>
      </c>
      <c r="B221" s="174">
        <v>25</v>
      </c>
      <c r="C221" s="114" t="s">
        <v>39</v>
      </c>
      <c r="D221" s="115" t="s">
        <v>40</v>
      </c>
      <c r="E221" s="124" t="s">
        <v>41</v>
      </c>
      <c r="F221" s="124" t="s">
        <v>638</v>
      </c>
      <c r="G221" s="251" t="s">
        <v>639</v>
      </c>
      <c r="H221" s="34" t="s">
        <v>330</v>
      </c>
      <c r="I221" s="126" t="s">
        <v>640</v>
      </c>
      <c r="J221" s="34" t="s">
        <v>45</v>
      </c>
      <c r="K221" s="126">
        <v>170.21</v>
      </c>
      <c r="L221" s="126" t="s">
        <v>641</v>
      </c>
      <c r="M221" s="104" t="s">
        <v>642</v>
      </c>
      <c r="N221" s="265">
        <v>42076</v>
      </c>
      <c r="O221" s="260">
        <v>42079</v>
      </c>
      <c r="P221" s="106" t="s">
        <v>183</v>
      </c>
      <c r="Q221" s="123" t="s">
        <v>643</v>
      </c>
      <c r="R221" s="245"/>
      <c r="S221" s="37">
        <f>50-2.91-27.3</f>
        <v>19.790000000000003</v>
      </c>
      <c r="T221" s="36">
        <f t="shared" ca="1" si="22"/>
        <v>1278</v>
      </c>
      <c r="U221" s="37"/>
      <c r="V221" s="37"/>
      <c r="W221" s="38"/>
      <c r="X221" s="39"/>
      <c r="Y221" s="39"/>
      <c r="Z221" s="40"/>
      <c r="AA221" s="41" t="str">
        <f t="shared" ca="1" si="5"/>
        <v/>
      </c>
      <c r="AB221" s="40"/>
      <c r="AC221" s="116"/>
      <c r="AD221" s="116"/>
      <c r="AE221" s="40"/>
      <c r="AF221" s="136" t="str">
        <f t="shared" ca="1" si="21"/>
        <v/>
      </c>
      <c r="AG221" s="127"/>
      <c r="AH221" s="127"/>
      <c r="AI221" s="127"/>
      <c r="AJ221" s="40"/>
      <c r="AK221" s="127"/>
      <c r="AL221" s="127"/>
    </row>
    <row r="222" spans="1:38" ht="31.5" customHeight="1" x14ac:dyDescent="0.25">
      <c r="A222" s="97" t="str">
        <f t="shared" si="20"/>
        <v>15SAM026</v>
      </c>
      <c r="B222" s="173">
        <v>26</v>
      </c>
      <c r="C222" s="97" t="s">
        <v>57</v>
      </c>
      <c r="D222" s="98" t="s">
        <v>40</v>
      </c>
      <c r="E222" s="124" t="s">
        <v>996</v>
      </c>
      <c r="F222" s="125" t="s">
        <v>1003</v>
      </c>
      <c r="G222" s="251" t="s">
        <v>1004</v>
      </c>
      <c r="H222" s="34" t="s">
        <v>43</v>
      </c>
      <c r="I222" s="126" t="s">
        <v>1005</v>
      </c>
      <c r="J222" s="47" t="s">
        <v>105</v>
      </c>
      <c r="K222" s="126">
        <v>155.13</v>
      </c>
      <c r="L222" s="126" t="s">
        <v>1006</v>
      </c>
      <c r="M222" s="104"/>
      <c r="N222" s="265">
        <v>42076</v>
      </c>
      <c r="O222" s="260">
        <v>42081</v>
      </c>
      <c r="P222" s="106" t="s">
        <v>139</v>
      </c>
      <c r="Q222" s="107" t="s">
        <v>49</v>
      </c>
      <c r="R222" s="244"/>
      <c r="S222" s="37">
        <v>0</v>
      </c>
      <c r="T222" s="36" t="str">
        <f t="shared" ca="1" si="22"/>
        <v>Empty</v>
      </c>
      <c r="U222" s="37"/>
      <c r="V222" s="95" t="s">
        <v>573</v>
      </c>
      <c r="W222" s="38">
        <v>42081</v>
      </c>
      <c r="X222" s="39" t="s">
        <v>898</v>
      </c>
      <c r="Y222" s="181" t="s">
        <v>1007</v>
      </c>
      <c r="Z222" s="40" t="s">
        <v>49</v>
      </c>
      <c r="AA222" s="41">
        <f t="shared" ca="1" si="5"/>
        <v>1276</v>
      </c>
      <c r="AB222" s="40"/>
      <c r="AC222" s="116"/>
      <c r="AD222" s="116"/>
      <c r="AE222" s="40"/>
      <c r="AF222" s="136" t="str">
        <f t="shared" ca="1" si="21"/>
        <v/>
      </c>
      <c r="AG222" s="127"/>
      <c r="AH222" s="127"/>
      <c r="AI222" s="127"/>
      <c r="AJ222" s="40"/>
      <c r="AK222" s="128"/>
      <c r="AL222" s="129"/>
    </row>
    <row r="223" spans="1:38" ht="30" customHeight="1" x14ac:dyDescent="0.25">
      <c r="A223" s="97" t="str">
        <f t="shared" si="20"/>
        <v>15SAM027</v>
      </c>
      <c r="B223" s="172">
        <v>27</v>
      </c>
      <c r="C223" s="97" t="s">
        <v>57</v>
      </c>
      <c r="D223" s="98" t="s">
        <v>40</v>
      </c>
      <c r="E223" s="124" t="s">
        <v>996</v>
      </c>
      <c r="F223" s="182" t="s">
        <v>1008</v>
      </c>
      <c r="G223" s="251" t="s">
        <v>1009</v>
      </c>
      <c r="H223" s="34" t="s">
        <v>43</v>
      </c>
      <c r="I223" s="126" t="s">
        <v>1010</v>
      </c>
      <c r="J223" s="47" t="s">
        <v>105</v>
      </c>
      <c r="K223" s="126">
        <v>509.79</v>
      </c>
      <c r="L223" s="126" t="s">
        <v>1011</v>
      </c>
      <c r="M223" s="104" t="s">
        <v>1012</v>
      </c>
      <c r="N223" s="265">
        <v>42079</v>
      </c>
      <c r="O223" s="260">
        <v>42081</v>
      </c>
      <c r="P223" s="106" t="s">
        <v>183</v>
      </c>
      <c r="Q223" s="107" t="s">
        <v>1013</v>
      </c>
      <c r="R223" s="244"/>
      <c r="S223" s="37">
        <v>0</v>
      </c>
      <c r="T223" s="36" t="str">
        <f t="shared" ca="1" si="22"/>
        <v>Empty</v>
      </c>
      <c r="U223" s="37"/>
      <c r="V223" s="37"/>
      <c r="W223" s="38">
        <v>42081</v>
      </c>
      <c r="X223" s="39" t="s">
        <v>898</v>
      </c>
      <c r="Y223" s="39" t="s">
        <v>1014</v>
      </c>
      <c r="Z223" s="40" t="s">
        <v>49</v>
      </c>
      <c r="AA223" s="41">
        <f t="shared" ca="1" si="5"/>
        <v>1276</v>
      </c>
      <c r="AB223" s="40"/>
      <c r="AC223" s="116"/>
      <c r="AD223" s="116"/>
      <c r="AE223" s="40"/>
      <c r="AF223" s="136" t="str">
        <f t="shared" ca="1" si="21"/>
        <v/>
      </c>
      <c r="AG223" s="127"/>
      <c r="AH223" s="127"/>
      <c r="AI223" s="127"/>
      <c r="AJ223" s="40"/>
      <c r="AK223" s="128"/>
      <c r="AL223" s="129"/>
    </row>
    <row r="224" spans="1:38" ht="24.95" customHeight="1" x14ac:dyDescent="0.25">
      <c r="A224" s="97" t="str">
        <f t="shared" si="20"/>
        <v>15SAM028</v>
      </c>
      <c r="B224" s="172">
        <v>28</v>
      </c>
      <c r="C224" s="97" t="s">
        <v>57</v>
      </c>
      <c r="D224" s="98" t="s">
        <v>40</v>
      </c>
      <c r="E224" s="124" t="s">
        <v>750</v>
      </c>
      <c r="F224" s="124" t="s">
        <v>505</v>
      </c>
      <c r="G224" s="251" t="s">
        <v>1015</v>
      </c>
      <c r="H224" s="34" t="s">
        <v>112</v>
      </c>
      <c r="I224" s="126" t="s">
        <v>1016</v>
      </c>
      <c r="J224" s="34" t="s">
        <v>45</v>
      </c>
      <c r="K224" s="126">
        <v>264.75</v>
      </c>
      <c r="L224" s="126">
        <v>2303</v>
      </c>
      <c r="M224" s="104" t="s">
        <v>1017</v>
      </c>
      <c r="N224" s="265">
        <v>42079</v>
      </c>
      <c r="O224" s="260">
        <v>42082</v>
      </c>
      <c r="P224" s="106" t="s">
        <v>86</v>
      </c>
      <c r="Q224" s="123" t="s">
        <v>1018</v>
      </c>
      <c r="R224" s="245"/>
      <c r="S224" s="37">
        <v>0</v>
      </c>
      <c r="T224" s="36" t="str">
        <f t="shared" ca="1" si="22"/>
        <v>Empty</v>
      </c>
      <c r="U224" s="37"/>
      <c r="V224" s="37"/>
      <c r="W224" s="38">
        <v>42082</v>
      </c>
      <c r="X224" s="39" t="s">
        <v>248</v>
      </c>
      <c r="Y224" s="39" t="s">
        <v>700</v>
      </c>
      <c r="Z224" s="40" t="s">
        <v>212</v>
      </c>
      <c r="AA224" s="41">
        <f t="shared" ca="1" si="5"/>
        <v>1275</v>
      </c>
      <c r="AB224" s="40"/>
      <c r="AC224" s="116"/>
      <c r="AD224" s="116"/>
      <c r="AE224" s="40"/>
      <c r="AF224" s="136" t="str">
        <f t="shared" ca="1" si="21"/>
        <v/>
      </c>
      <c r="AG224" s="127"/>
      <c r="AH224" s="127"/>
      <c r="AI224" s="127"/>
      <c r="AJ224" s="40"/>
      <c r="AK224" s="128"/>
      <c r="AL224" s="129"/>
    </row>
    <row r="225" spans="1:38" ht="24.95" customHeight="1" x14ac:dyDescent="0.25">
      <c r="A225" s="97" t="str">
        <f t="shared" si="20"/>
        <v>15SAM029</v>
      </c>
      <c r="B225" s="172">
        <v>29</v>
      </c>
      <c r="C225" s="97" t="s">
        <v>57</v>
      </c>
      <c r="D225" s="98" t="s">
        <v>40</v>
      </c>
      <c r="E225" s="124" t="s">
        <v>233</v>
      </c>
      <c r="F225" s="124" t="s">
        <v>1019</v>
      </c>
      <c r="G225" s="251" t="s">
        <v>1020</v>
      </c>
      <c r="H225" s="34" t="s">
        <v>60</v>
      </c>
      <c r="I225" s="126">
        <v>1</v>
      </c>
      <c r="J225" s="34" t="s">
        <v>45</v>
      </c>
      <c r="K225" s="126">
        <v>502.65</v>
      </c>
      <c r="L225" s="126" t="s">
        <v>1021</v>
      </c>
      <c r="M225" s="104" t="s">
        <v>61</v>
      </c>
      <c r="N225" s="265">
        <v>42089</v>
      </c>
      <c r="O225" s="260">
        <v>42090</v>
      </c>
      <c r="P225" s="106" t="s">
        <v>1022</v>
      </c>
      <c r="Q225" s="107" t="s">
        <v>212</v>
      </c>
      <c r="R225" s="244"/>
      <c r="S225" s="37">
        <v>0</v>
      </c>
      <c r="T225" s="36" t="str">
        <f t="shared" ca="1" si="22"/>
        <v>Empty</v>
      </c>
      <c r="U225" s="37"/>
      <c r="V225" s="37"/>
      <c r="W225" s="38">
        <v>42090</v>
      </c>
      <c r="X225" s="39" t="s">
        <v>248</v>
      </c>
      <c r="Y225" s="39" t="s">
        <v>1023</v>
      </c>
      <c r="Z225" s="40" t="s">
        <v>212</v>
      </c>
      <c r="AA225" s="41">
        <f t="shared" ca="1" si="5"/>
        <v>1267</v>
      </c>
      <c r="AB225" s="40"/>
      <c r="AC225" s="116"/>
      <c r="AD225" s="116"/>
      <c r="AE225" s="40"/>
      <c r="AF225" s="136" t="str">
        <f t="shared" ca="1" si="21"/>
        <v/>
      </c>
      <c r="AG225" s="127"/>
      <c r="AH225" s="127"/>
      <c r="AI225" s="127"/>
      <c r="AJ225" s="40"/>
      <c r="AK225" s="128"/>
      <c r="AL225" s="129"/>
    </row>
    <row r="226" spans="1:38" ht="24.95" customHeight="1" x14ac:dyDescent="0.25">
      <c r="A226" s="97" t="str">
        <f t="shared" si="20"/>
        <v>15SAM030</v>
      </c>
      <c r="B226" s="173">
        <v>30</v>
      </c>
      <c r="C226" s="97" t="s">
        <v>57</v>
      </c>
      <c r="D226" s="98" t="s">
        <v>40</v>
      </c>
      <c r="E226" s="124" t="s">
        <v>416</v>
      </c>
      <c r="F226" s="124" t="s">
        <v>723</v>
      </c>
      <c r="G226" s="251" t="s">
        <v>724</v>
      </c>
      <c r="H226" s="34" t="s">
        <v>330</v>
      </c>
      <c r="I226" s="126" t="s">
        <v>1024</v>
      </c>
      <c r="J226" s="34" t="s">
        <v>45</v>
      </c>
      <c r="K226" s="126">
        <v>94.12</v>
      </c>
      <c r="L226" s="126" t="s">
        <v>955</v>
      </c>
      <c r="M226" s="104" t="s">
        <v>726</v>
      </c>
      <c r="N226" s="265">
        <v>42094</v>
      </c>
      <c r="O226" s="260">
        <v>42095</v>
      </c>
      <c r="P226" s="106" t="s">
        <v>124</v>
      </c>
      <c r="Q226" s="107" t="s">
        <v>1025</v>
      </c>
      <c r="R226" s="244"/>
      <c r="S226" s="37">
        <v>0</v>
      </c>
      <c r="T226" s="36" t="str">
        <f t="shared" ca="1" si="22"/>
        <v>Empty</v>
      </c>
      <c r="U226" s="37"/>
      <c r="V226" s="37"/>
      <c r="W226" s="38">
        <v>42095</v>
      </c>
      <c r="X226" s="39" t="s">
        <v>334</v>
      </c>
      <c r="Y226" s="39" t="s">
        <v>1026</v>
      </c>
      <c r="Z226" s="40" t="s">
        <v>49</v>
      </c>
      <c r="AA226" s="41">
        <f t="shared" ca="1" si="5"/>
        <v>1263</v>
      </c>
      <c r="AB226" s="40"/>
      <c r="AC226" s="116"/>
      <c r="AD226" s="116"/>
      <c r="AE226" s="40"/>
      <c r="AF226" s="136" t="str">
        <f t="shared" ca="1" si="21"/>
        <v/>
      </c>
      <c r="AG226" s="127"/>
      <c r="AH226" s="127"/>
      <c r="AI226" s="127"/>
      <c r="AJ226" s="40"/>
      <c r="AK226" s="128"/>
      <c r="AL226" s="129"/>
    </row>
    <row r="227" spans="1:38" ht="24.95" customHeight="1" x14ac:dyDescent="0.25">
      <c r="A227" s="97" t="str">
        <f t="shared" si="20"/>
        <v>15SAM031</v>
      </c>
      <c r="B227" s="172">
        <v>31</v>
      </c>
      <c r="C227" s="97" t="s">
        <v>57</v>
      </c>
      <c r="D227" s="98" t="s">
        <v>40</v>
      </c>
      <c r="E227" s="124" t="s">
        <v>416</v>
      </c>
      <c r="F227" s="124" t="s">
        <v>723</v>
      </c>
      <c r="G227" s="251" t="s">
        <v>724</v>
      </c>
      <c r="H227" s="34" t="s">
        <v>330</v>
      </c>
      <c r="I227" s="126" t="s">
        <v>1024</v>
      </c>
      <c r="J227" s="34" t="s">
        <v>45</v>
      </c>
      <c r="K227" s="126">
        <v>94.12</v>
      </c>
      <c r="L227" s="126" t="s">
        <v>955</v>
      </c>
      <c r="M227" s="104" t="s">
        <v>726</v>
      </c>
      <c r="N227" s="265">
        <v>42094</v>
      </c>
      <c r="O227" s="260">
        <v>42124</v>
      </c>
      <c r="P227" s="106" t="s">
        <v>124</v>
      </c>
      <c r="Q227" s="107" t="s">
        <v>1025</v>
      </c>
      <c r="R227" s="244"/>
      <c r="S227" s="37">
        <v>0</v>
      </c>
      <c r="T227" s="36" t="str">
        <f t="shared" ca="1" si="22"/>
        <v>Empty</v>
      </c>
      <c r="U227" s="37"/>
      <c r="V227" s="37"/>
      <c r="W227" s="130">
        <v>42142</v>
      </c>
      <c r="X227" s="93" t="s">
        <v>334</v>
      </c>
      <c r="Y227" s="93" t="s">
        <v>1027</v>
      </c>
      <c r="Z227" s="92" t="s">
        <v>49</v>
      </c>
      <c r="AA227" s="94">
        <f t="shared" ca="1" si="5"/>
        <v>1216</v>
      </c>
      <c r="AB227" s="40"/>
      <c r="AC227" s="116"/>
      <c r="AD227" s="116"/>
      <c r="AE227" s="40"/>
      <c r="AF227" s="136" t="str">
        <f t="shared" ca="1" si="21"/>
        <v/>
      </c>
      <c r="AG227" s="127"/>
      <c r="AH227" s="127"/>
      <c r="AI227" s="127"/>
      <c r="AJ227" s="40"/>
      <c r="AK227" s="128"/>
      <c r="AL227" s="129"/>
    </row>
    <row r="228" spans="1:38" ht="24.95" customHeight="1" x14ac:dyDescent="0.25">
      <c r="A228" s="97" t="str">
        <f t="shared" si="20"/>
        <v>15SAM032</v>
      </c>
      <c r="B228" s="172">
        <v>32</v>
      </c>
      <c r="C228" s="97" t="s">
        <v>57</v>
      </c>
      <c r="D228" s="98" t="s">
        <v>40</v>
      </c>
      <c r="E228" s="124" t="s">
        <v>416</v>
      </c>
      <c r="F228" s="124" t="s">
        <v>723</v>
      </c>
      <c r="G228" s="251" t="s">
        <v>724</v>
      </c>
      <c r="H228" s="34" t="s">
        <v>330</v>
      </c>
      <c r="I228" s="126" t="s">
        <v>1024</v>
      </c>
      <c r="J228" s="34" t="s">
        <v>45</v>
      </c>
      <c r="K228" s="126">
        <v>94.12</v>
      </c>
      <c r="L228" s="126" t="s">
        <v>955</v>
      </c>
      <c r="M228" s="104" t="s">
        <v>726</v>
      </c>
      <c r="N228" s="265">
        <v>42094</v>
      </c>
      <c r="O228" s="260">
        <v>42152</v>
      </c>
      <c r="P228" s="106" t="s">
        <v>124</v>
      </c>
      <c r="Q228" s="107" t="s">
        <v>1025</v>
      </c>
      <c r="R228" s="244"/>
      <c r="S228" s="37">
        <v>0</v>
      </c>
      <c r="T228" s="36" t="str">
        <f t="shared" ca="1" si="22"/>
        <v>Empty</v>
      </c>
      <c r="U228" s="37"/>
      <c r="V228" s="37"/>
      <c r="W228" s="38"/>
      <c r="X228" s="39"/>
      <c r="Y228" s="39"/>
      <c r="Z228" s="40"/>
      <c r="AA228" s="41" t="str">
        <f t="shared" ca="1" si="5"/>
        <v/>
      </c>
      <c r="AB228" s="40"/>
      <c r="AC228" s="116"/>
      <c r="AD228" s="116"/>
      <c r="AE228" s="40"/>
      <c r="AF228" s="136" t="str">
        <f t="shared" ca="1" si="21"/>
        <v/>
      </c>
      <c r="AG228" s="127"/>
      <c r="AH228" s="127"/>
      <c r="AI228" s="127"/>
      <c r="AJ228" s="40"/>
      <c r="AK228" s="128"/>
      <c r="AL228" s="129"/>
    </row>
    <row r="229" spans="1:38" ht="24.95" customHeight="1" x14ac:dyDescent="0.25">
      <c r="A229" s="97" t="str">
        <f t="shared" si="20"/>
        <v>15SAM033</v>
      </c>
      <c r="B229" s="173">
        <v>33</v>
      </c>
      <c r="C229" s="97" t="s">
        <v>57</v>
      </c>
      <c r="D229" s="98" t="s">
        <v>40</v>
      </c>
      <c r="E229" s="124" t="s">
        <v>416</v>
      </c>
      <c r="F229" s="124" t="s">
        <v>254</v>
      </c>
      <c r="G229" s="251" t="s">
        <v>644</v>
      </c>
      <c r="H229" s="34" t="s">
        <v>43</v>
      </c>
      <c r="I229" s="126" t="s">
        <v>645</v>
      </c>
      <c r="J229" s="34" t="s">
        <v>45</v>
      </c>
      <c r="K229" s="126">
        <v>602.58000000000004</v>
      </c>
      <c r="L229" s="126" t="s">
        <v>256</v>
      </c>
      <c r="M229" s="104" t="s">
        <v>257</v>
      </c>
      <c r="N229" s="265">
        <v>42095</v>
      </c>
      <c r="O229" s="260">
        <v>43146</v>
      </c>
      <c r="P229" s="106" t="s">
        <v>160</v>
      </c>
      <c r="Q229" s="107" t="s">
        <v>646</v>
      </c>
      <c r="R229" s="244"/>
      <c r="S229" s="37">
        <v>0</v>
      </c>
      <c r="T229" s="36" t="str">
        <f t="shared" ca="1" si="22"/>
        <v>Empty</v>
      </c>
      <c r="U229" s="37"/>
      <c r="V229" s="95" t="s">
        <v>573</v>
      </c>
      <c r="W229" s="38"/>
      <c r="X229" s="39"/>
      <c r="Y229" s="39"/>
      <c r="Z229" s="40"/>
      <c r="AA229" s="41" t="str">
        <f t="shared" ca="1" si="5"/>
        <v/>
      </c>
      <c r="AB229" s="40"/>
      <c r="AC229" s="116"/>
      <c r="AD229" s="116"/>
      <c r="AE229" s="40"/>
      <c r="AF229" s="136" t="str">
        <f t="shared" ca="1" si="21"/>
        <v/>
      </c>
      <c r="AG229" s="127"/>
      <c r="AH229" s="127"/>
      <c r="AI229" s="127"/>
      <c r="AJ229" s="40"/>
      <c r="AK229" s="128"/>
      <c r="AL229" s="129"/>
    </row>
    <row r="230" spans="1:38" ht="24.95" customHeight="1" x14ac:dyDescent="0.25">
      <c r="A230" s="97" t="str">
        <f t="shared" si="20"/>
        <v>15SAM034</v>
      </c>
      <c r="B230" s="173">
        <v>34</v>
      </c>
      <c r="C230" s="97" t="s">
        <v>57</v>
      </c>
      <c r="D230" s="98" t="s">
        <v>40</v>
      </c>
      <c r="E230" s="124" t="s">
        <v>416</v>
      </c>
      <c r="F230" s="124" t="s">
        <v>454</v>
      </c>
      <c r="G230" s="251" t="s">
        <v>647</v>
      </c>
      <c r="H230" s="34" t="s">
        <v>43</v>
      </c>
      <c r="I230" s="126" t="s">
        <v>648</v>
      </c>
      <c r="J230" s="34" t="s">
        <v>180</v>
      </c>
      <c r="K230" s="126">
        <v>236.27</v>
      </c>
      <c r="L230" s="126" t="s">
        <v>649</v>
      </c>
      <c r="M230" s="104" t="s">
        <v>650</v>
      </c>
      <c r="N230" s="265">
        <v>42095</v>
      </c>
      <c r="O230" s="260">
        <v>42131</v>
      </c>
      <c r="P230" s="106" t="s">
        <v>160</v>
      </c>
      <c r="Q230" s="107" t="s">
        <v>212</v>
      </c>
      <c r="R230" s="244"/>
      <c r="S230" s="37">
        <f>1000-136.6</f>
        <v>863.4</v>
      </c>
      <c r="T230" s="36">
        <f t="shared" ca="1" si="22"/>
        <v>1227</v>
      </c>
      <c r="U230" s="37"/>
      <c r="V230" s="37"/>
      <c r="W230" s="130">
        <v>42131</v>
      </c>
      <c r="X230" s="93" t="s">
        <v>334</v>
      </c>
      <c r="Y230" s="93" t="s">
        <v>651</v>
      </c>
      <c r="Z230" s="92" t="s">
        <v>212</v>
      </c>
      <c r="AA230" s="94">
        <f t="shared" ca="1" si="5"/>
        <v>1227</v>
      </c>
      <c r="AB230" s="40"/>
      <c r="AC230" s="116"/>
      <c r="AD230" s="116"/>
      <c r="AE230" s="40"/>
      <c r="AF230" s="136" t="str">
        <f t="shared" ca="1" si="21"/>
        <v/>
      </c>
      <c r="AG230" s="127"/>
      <c r="AH230" s="127"/>
      <c r="AI230" s="127"/>
      <c r="AJ230" s="40"/>
      <c r="AK230" s="128"/>
      <c r="AL230" s="129"/>
    </row>
    <row r="231" spans="1:38" ht="24.95" customHeight="1" x14ac:dyDescent="0.25">
      <c r="A231" s="131" t="str">
        <f t="shared" si="20"/>
        <v>15SAM035</v>
      </c>
      <c r="B231" s="183">
        <v>35</v>
      </c>
      <c r="C231" s="131" t="s">
        <v>57</v>
      </c>
      <c r="D231" s="98" t="s">
        <v>40</v>
      </c>
      <c r="E231" s="124" t="s">
        <v>416</v>
      </c>
      <c r="F231" s="124" t="s">
        <v>541</v>
      </c>
      <c r="G231" s="251" t="s">
        <v>652</v>
      </c>
      <c r="H231" s="34" t="s">
        <v>43</v>
      </c>
      <c r="I231" s="126" t="s">
        <v>653</v>
      </c>
      <c r="J231" s="34" t="s">
        <v>45</v>
      </c>
      <c r="K231" s="126">
        <v>252.27</v>
      </c>
      <c r="L231" s="126" t="s">
        <v>654</v>
      </c>
      <c r="M231" s="104" t="s">
        <v>655</v>
      </c>
      <c r="N231" s="265">
        <v>42096</v>
      </c>
      <c r="O231" s="260">
        <v>42131</v>
      </c>
      <c r="P231" s="106" t="s">
        <v>56</v>
      </c>
      <c r="Q231" s="107" t="s">
        <v>212</v>
      </c>
      <c r="R231" s="244"/>
      <c r="S231" s="37">
        <f>5000-156.1-187.9</f>
        <v>4656</v>
      </c>
      <c r="T231" s="36">
        <f t="shared" ca="1" si="22"/>
        <v>1227</v>
      </c>
      <c r="U231" s="37"/>
      <c r="V231" s="37"/>
      <c r="W231" s="38">
        <v>42131</v>
      </c>
      <c r="X231" s="39" t="s">
        <v>334</v>
      </c>
      <c r="Y231" s="39" t="s">
        <v>651</v>
      </c>
      <c r="Z231" s="40" t="s">
        <v>212</v>
      </c>
      <c r="AA231" s="41">
        <f t="shared" ca="1" si="5"/>
        <v>1227</v>
      </c>
      <c r="AB231" s="40"/>
      <c r="AC231" s="116"/>
      <c r="AD231" s="116"/>
      <c r="AE231" s="40"/>
      <c r="AF231" s="136" t="str">
        <f t="shared" ca="1" si="21"/>
        <v/>
      </c>
      <c r="AG231" s="127"/>
      <c r="AH231" s="127"/>
      <c r="AI231" s="127"/>
      <c r="AJ231" s="128"/>
      <c r="AK231" s="128"/>
      <c r="AL231" s="129"/>
    </row>
    <row r="232" spans="1:38" ht="24.95" customHeight="1" x14ac:dyDescent="0.25">
      <c r="A232" s="114" t="str">
        <f t="shared" si="20"/>
        <v>15REF036</v>
      </c>
      <c r="B232" s="174">
        <v>36</v>
      </c>
      <c r="C232" s="114" t="s">
        <v>39</v>
      </c>
      <c r="D232" s="115" t="s">
        <v>40</v>
      </c>
      <c r="E232" s="124" t="s">
        <v>41</v>
      </c>
      <c r="F232" s="124" t="s">
        <v>656</v>
      </c>
      <c r="G232" s="251"/>
      <c r="H232" s="34" t="s">
        <v>43</v>
      </c>
      <c r="I232" s="126" t="s">
        <v>657</v>
      </c>
      <c r="J232" s="34" t="s">
        <v>180</v>
      </c>
      <c r="K232" s="126">
        <v>110.04</v>
      </c>
      <c r="L232" s="126" t="s">
        <v>658</v>
      </c>
      <c r="M232" s="104" t="s">
        <v>659</v>
      </c>
      <c r="N232" s="265">
        <v>42101</v>
      </c>
      <c r="O232" s="260">
        <v>42115</v>
      </c>
      <c r="P232" s="106" t="s">
        <v>48</v>
      </c>
      <c r="Q232" s="107"/>
      <c r="R232" s="244"/>
      <c r="S232" s="37">
        <v>0</v>
      </c>
      <c r="T232" s="36" t="str">
        <f t="shared" ca="1" si="22"/>
        <v>Empty</v>
      </c>
      <c r="U232" s="37"/>
      <c r="V232" s="37"/>
      <c r="W232" s="38"/>
      <c r="X232" s="39"/>
      <c r="Y232" s="39"/>
      <c r="Z232" s="40"/>
      <c r="AA232" s="41" t="str">
        <f t="shared" ca="1" si="5"/>
        <v/>
      </c>
      <c r="AB232" s="40"/>
      <c r="AC232" s="116"/>
      <c r="AD232" s="116"/>
      <c r="AE232" s="40"/>
      <c r="AF232" s="136" t="str">
        <f t="shared" ca="1" si="21"/>
        <v/>
      </c>
      <c r="AG232" s="127"/>
      <c r="AH232" s="127"/>
      <c r="AI232" s="127"/>
      <c r="AJ232" s="128"/>
      <c r="AK232" s="128"/>
      <c r="AL232" s="129"/>
    </row>
    <row r="233" spans="1:38" ht="24.95" customHeight="1" x14ac:dyDescent="0.25">
      <c r="A233" s="114" t="str">
        <f t="shared" si="20"/>
        <v>15REF037</v>
      </c>
      <c r="B233" s="175">
        <v>37</v>
      </c>
      <c r="C233" s="114" t="s">
        <v>39</v>
      </c>
      <c r="D233" s="115" t="s">
        <v>40</v>
      </c>
      <c r="E233" s="124" t="s">
        <v>41</v>
      </c>
      <c r="F233" s="124" t="s">
        <v>52</v>
      </c>
      <c r="G233" s="251"/>
      <c r="H233" s="34" t="s">
        <v>43</v>
      </c>
      <c r="I233" s="126" t="s">
        <v>660</v>
      </c>
      <c r="J233" s="34" t="s">
        <v>180</v>
      </c>
      <c r="K233" s="126">
        <v>189.64</v>
      </c>
      <c r="L233" s="126" t="s">
        <v>661</v>
      </c>
      <c r="M233" s="104" t="s">
        <v>55</v>
      </c>
      <c r="N233" s="265">
        <v>42101</v>
      </c>
      <c r="O233" s="260">
        <v>42101</v>
      </c>
      <c r="P233" s="106" t="s">
        <v>56</v>
      </c>
      <c r="Q233" s="107" t="s">
        <v>662</v>
      </c>
      <c r="R233" s="244"/>
      <c r="S233" s="37">
        <f xml:space="preserve"> 5000-28.45-13-40-33.72</f>
        <v>4884.83</v>
      </c>
      <c r="T233" s="36">
        <f t="shared" ca="1" si="22"/>
        <v>1257</v>
      </c>
      <c r="U233" s="37"/>
      <c r="V233" s="95" t="s">
        <v>573</v>
      </c>
      <c r="W233" s="38">
        <v>42921</v>
      </c>
      <c r="X233" s="39" t="s">
        <v>248</v>
      </c>
      <c r="Y233" s="184" t="s">
        <v>2375</v>
      </c>
      <c r="Z233" s="40" t="s">
        <v>49</v>
      </c>
      <c r="AA233" s="41">
        <f t="shared" ca="1" si="5"/>
        <v>449</v>
      </c>
      <c r="AB233" s="40"/>
      <c r="AC233" s="116"/>
      <c r="AD233" s="116"/>
      <c r="AE233" s="40"/>
      <c r="AF233" s="136" t="str">
        <f t="shared" ca="1" si="21"/>
        <v/>
      </c>
      <c r="AG233" s="127"/>
      <c r="AH233" s="127"/>
      <c r="AI233" s="127"/>
      <c r="AJ233" s="128"/>
      <c r="AK233" s="128"/>
      <c r="AL233" s="129"/>
    </row>
    <row r="234" spans="1:38" ht="24.95" customHeight="1" x14ac:dyDescent="0.25">
      <c r="A234" s="97" t="str">
        <f t="shared" si="20"/>
        <v>15SAM038</v>
      </c>
      <c r="B234" s="173">
        <v>38</v>
      </c>
      <c r="C234" s="97" t="s">
        <v>57</v>
      </c>
      <c r="D234" s="98" t="s">
        <v>40</v>
      </c>
      <c r="E234" s="124" t="s">
        <v>750</v>
      </c>
      <c r="F234" s="124" t="s">
        <v>1028</v>
      </c>
      <c r="G234" s="251"/>
      <c r="H234" s="34" t="s">
        <v>60</v>
      </c>
      <c r="I234" s="126">
        <v>7</v>
      </c>
      <c r="J234" s="34" t="s">
        <v>45</v>
      </c>
      <c r="K234" s="126">
        <v>304.38229999999999</v>
      </c>
      <c r="L234" s="126" t="s">
        <v>61</v>
      </c>
      <c r="M234" s="104" t="s">
        <v>61</v>
      </c>
      <c r="N234" s="265">
        <v>42103</v>
      </c>
      <c r="O234" s="260">
        <v>42107</v>
      </c>
      <c r="P234" s="106" t="s">
        <v>1029</v>
      </c>
      <c r="Q234" s="107" t="s">
        <v>212</v>
      </c>
      <c r="R234" s="244"/>
      <c r="S234" s="37">
        <v>0</v>
      </c>
      <c r="T234" s="36" t="str">
        <f t="shared" ca="1" si="22"/>
        <v>Empty</v>
      </c>
      <c r="U234" s="37" t="s">
        <v>1030</v>
      </c>
      <c r="V234" s="37"/>
      <c r="W234" s="38">
        <v>42107</v>
      </c>
      <c r="X234" s="39" t="s">
        <v>50</v>
      </c>
      <c r="Y234" s="184" t="s">
        <v>1031</v>
      </c>
      <c r="Z234" s="40" t="s">
        <v>212</v>
      </c>
      <c r="AA234" s="41">
        <f t="shared" ca="1" si="5"/>
        <v>1251</v>
      </c>
      <c r="AB234" s="40"/>
      <c r="AC234" s="116"/>
      <c r="AD234" s="116"/>
      <c r="AE234" s="40"/>
      <c r="AF234" s="136" t="str">
        <f t="shared" ca="1" si="21"/>
        <v/>
      </c>
      <c r="AG234" s="127"/>
      <c r="AH234" s="127"/>
      <c r="AI234" s="127"/>
      <c r="AJ234" s="128"/>
      <c r="AK234" s="128"/>
      <c r="AL234" s="129"/>
    </row>
    <row r="235" spans="1:38" ht="24.95" customHeight="1" x14ac:dyDescent="0.25">
      <c r="A235" s="97" t="str">
        <f t="shared" si="20"/>
        <v>15SAM039</v>
      </c>
      <c r="B235" s="172">
        <v>39</v>
      </c>
      <c r="C235" s="97" t="s">
        <v>57</v>
      </c>
      <c r="D235" s="98" t="s">
        <v>40</v>
      </c>
      <c r="E235" s="124" t="s">
        <v>663</v>
      </c>
      <c r="F235" s="124" t="s">
        <v>664</v>
      </c>
      <c r="G235" s="251" t="s">
        <v>665</v>
      </c>
      <c r="H235" s="34" t="s">
        <v>330</v>
      </c>
      <c r="I235" s="126" t="s">
        <v>666</v>
      </c>
      <c r="J235" s="34" t="s">
        <v>45</v>
      </c>
      <c r="K235" s="126">
        <v>421.54</v>
      </c>
      <c r="L235" s="126" t="s">
        <v>667</v>
      </c>
      <c r="M235" s="104" t="s">
        <v>668</v>
      </c>
      <c r="N235" s="265">
        <v>42116</v>
      </c>
      <c r="O235" s="260">
        <v>42269</v>
      </c>
      <c r="P235" s="106" t="s">
        <v>183</v>
      </c>
      <c r="Q235" s="123" t="s">
        <v>669</v>
      </c>
      <c r="R235" s="245"/>
      <c r="S235" s="37">
        <f>50-0.44</f>
        <v>49.56</v>
      </c>
      <c r="T235" s="36">
        <f t="shared" ca="1" si="22"/>
        <v>1092</v>
      </c>
      <c r="U235" s="37" t="s">
        <v>670</v>
      </c>
      <c r="V235" s="37"/>
      <c r="W235" s="38"/>
      <c r="X235" s="39"/>
      <c r="Y235" s="39"/>
      <c r="Z235" s="40"/>
      <c r="AA235" s="41" t="str">
        <f t="shared" ca="1" si="5"/>
        <v/>
      </c>
      <c r="AB235" s="40"/>
      <c r="AC235" s="116"/>
      <c r="AD235" s="116"/>
      <c r="AE235" s="40"/>
      <c r="AF235" s="136" t="str">
        <f t="shared" ca="1" si="21"/>
        <v/>
      </c>
      <c r="AG235" s="127"/>
      <c r="AH235" s="127"/>
      <c r="AI235" s="127"/>
      <c r="AJ235" s="128"/>
      <c r="AK235" s="128"/>
      <c r="AL235" s="129"/>
    </row>
    <row r="236" spans="1:38" ht="24.95" customHeight="1" x14ac:dyDescent="0.25">
      <c r="A236" s="97" t="str">
        <f t="shared" si="20"/>
        <v>15SAM040</v>
      </c>
      <c r="B236" s="172">
        <v>40</v>
      </c>
      <c r="C236" s="97" t="s">
        <v>57</v>
      </c>
      <c r="D236" s="98" t="s">
        <v>40</v>
      </c>
      <c r="E236" s="124" t="s">
        <v>663</v>
      </c>
      <c r="F236" s="124" t="s">
        <v>671</v>
      </c>
      <c r="G236" s="251" t="s">
        <v>672</v>
      </c>
      <c r="H236" s="34" t="s">
        <v>330</v>
      </c>
      <c r="I236" s="126" t="s">
        <v>673</v>
      </c>
      <c r="J236" s="34" t="s">
        <v>45</v>
      </c>
      <c r="K236" s="126">
        <v>442.34</v>
      </c>
      <c r="L236" s="126" t="s">
        <v>674</v>
      </c>
      <c r="M236" s="104" t="s">
        <v>675</v>
      </c>
      <c r="N236" s="265">
        <v>42116</v>
      </c>
      <c r="O236" s="260">
        <v>42269</v>
      </c>
      <c r="P236" s="106" t="s">
        <v>124</v>
      </c>
      <c r="Q236" s="107" t="s">
        <v>510</v>
      </c>
      <c r="R236" s="244"/>
      <c r="S236" s="37">
        <f>100-6.25</f>
        <v>93.75</v>
      </c>
      <c r="T236" s="36">
        <f t="shared" ca="1" si="22"/>
        <v>1092</v>
      </c>
      <c r="U236" s="37" t="s">
        <v>670</v>
      </c>
      <c r="V236" s="37"/>
      <c r="W236" s="38"/>
      <c r="X236" s="39"/>
      <c r="Y236" s="39"/>
      <c r="Z236" s="40"/>
      <c r="AA236" s="41" t="str">
        <f t="shared" ca="1" si="5"/>
        <v/>
      </c>
      <c r="AB236" s="40"/>
      <c r="AC236" s="116"/>
      <c r="AD236" s="116"/>
      <c r="AE236" s="40"/>
      <c r="AF236" s="136" t="str">
        <f t="shared" ca="1" si="21"/>
        <v/>
      </c>
      <c r="AG236" s="127"/>
      <c r="AH236" s="127"/>
      <c r="AI236" s="127"/>
      <c r="AJ236" s="128"/>
      <c r="AK236" s="128"/>
      <c r="AL236" s="129"/>
    </row>
    <row r="237" spans="1:38" ht="24.95" customHeight="1" x14ac:dyDescent="0.25">
      <c r="A237" s="97" t="str">
        <f t="shared" si="20"/>
        <v>15SAM041</v>
      </c>
      <c r="B237" s="173">
        <v>41</v>
      </c>
      <c r="C237" s="97" t="s">
        <v>57</v>
      </c>
      <c r="D237" s="98" t="s">
        <v>40</v>
      </c>
      <c r="E237" s="124" t="s">
        <v>663</v>
      </c>
      <c r="F237" s="124" t="s">
        <v>676</v>
      </c>
      <c r="G237" s="251" t="s">
        <v>677</v>
      </c>
      <c r="H237" s="34" t="s">
        <v>330</v>
      </c>
      <c r="I237" s="126" t="s">
        <v>678</v>
      </c>
      <c r="J237" s="34" t="s">
        <v>180</v>
      </c>
      <c r="K237" s="126">
        <v>380.4</v>
      </c>
      <c r="L237" s="126" t="s">
        <v>679</v>
      </c>
      <c r="M237" s="104" t="s">
        <v>680</v>
      </c>
      <c r="N237" s="265">
        <v>42116</v>
      </c>
      <c r="O237" s="260">
        <v>42269</v>
      </c>
      <c r="P237" s="106" t="s">
        <v>124</v>
      </c>
      <c r="Q237" s="123" t="s">
        <v>681</v>
      </c>
      <c r="R237" s="245"/>
      <c r="S237" s="37">
        <f>100-1.42-6.62</f>
        <v>91.96</v>
      </c>
      <c r="T237" s="36">
        <f t="shared" ca="1" si="22"/>
        <v>1092</v>
      </c>
      <c r="U237" s="37" t="s">
        <v>670</v>
      </c>
      <c r="V237" s="37"/>
      <c r="W237" s="38"/>
      <c r="X237" s="39"/>
      <c r="Y237" s="39"/>
      <c r="Z237" s="40"/>
      <c r="AA237" s="41" t="str">
        <f t="shared" ca="1" si="5"/>
        <v/>
      </c>
      <c r="AB237" s="40"/>
      <c r="AC237" s="116"/>
      <c r="AD237" s="116"/>
      <c r="AE237" s="40"/>
      <c r="AF237" s="136" t="str">
        <f t="shared" ca="1" si="21"/>
        <v/>
      </c>
      <c r="AG237" s="127"/>
      <c r="AH237" s="127"/>
      <c r="AI237" s="127"/>
      <c r="AJ237" s="128"/>
      <c r="AK237" s="128"/>
      <c r="AL237" s="129"/>
    </row>
    <row r="238" spans="1:38" ht="24.95" customHeight="1" x14ac:dyDescent="0.25">
      <c r="A238" s="97" t="str">
        <f t="shared" si="20"/>
        <v>15SAM042</v>
      </c>
      <c r="B238" s="173">
        <v>42</v>
      </c>
      <c r="C238" s="97" t="s">
        <v>57</v>
      </c>
      <c r="D238" s="98" t="s">
        <v>40</v>
      </c>
      <c r="E238" s="124" t="s">
        <v>663</v>
      </c>
      <c r="F238" s="124" t="s">
        <v>682</v>
      </c>
      <c r="G238" s="251"/>
      <c r="H238" s="34" t="s">
        <v>60</v>
      </c>
      <c r="I238" s="126" t="s">
        <v>683</v>
      </c>
      <c r="J238" s="34" t="s">
        <v>45</v>
      </c>
      <c r="K238" s="126">
        <v>526.04</v>
      </c>
      <c r="L238" s="132" t="s">
        <v>61</v>
      </c>
      <c r="M238" s="105" t="s">
        <v>61</v>
      </c>
      <c r="N238" s="265">
        <v>42116</v>
      </c>
      <c r="O238" s="260"/>
      <c r="P238" s="106" t="s">
        <v>684</v>
      </c>
      <c r="Q238" s="107" t="s">
        <v>685</v>
      </c>
      <c r="R238" s="244"/>
      <c r="S238" s="37"/>
      <c r="T238" s="36" t="str">
        <f t="shared" ca="1" si="22"/>
        <v/>
      </c>
      <c r="U238" s="37"/>
      <c r="V238" s="37"/>
      <c r="W238" s="38"/>
      <c r="X238" s="39"/>
      <c r="Y238" s="39"/>
      <c r="Z238" s="40"/>
      <c r="AA238" s="41" t="str">
        <f t="shared" ca="1" si="5"/>
        <v/>
      </c>
      <c r="AB238" s="40"/>
      <c r="AC238" s="116"/>
      <c r="AD238" s="116"/>
      <c r="AE238" s="40"/>
      <c r="AF238" s="136" t="str">
        <f t="shared" ca="1" si="21"/>
        <v/>
      </c>
      <c r="AG238" s="127"/>
      <c r="AH238" s="127"/>
      <c r="AI238" s="127"/>
      <c r="AJ238" s="128"/>
      <c r="AK238" s="128"/>
      <c r="AL238" s="129"/>
    </row>
    <row r="239" spans="1:38" ht="24.95" customHeight="1" x14ac:dyDescent="0.25">
      <c r="A239" s="97" t="str">
        <f t="shared" si="20"/>
        <v>15SAM043</v>
      </c>
      <c r="B239" s="172">
        <v>43</v>
      </c>
      <c r="C239" s="97" t="s">
        <v>57</v>
      </c>
      <c r="D239" s="98" t="s">
        <v>40</v>
      </c>
      <c r="E239" s="124" t="s">
        <v>663</v>
      </c>
      <c r="F239" s="124" t="s">
        <v>686</v>
      </c>
      <c r="G239" s="251"/>
      <c r="H239" s="34" t="s">
        <v>60</v>
      </c>
      <c r="I239" s="126" t="s">
        <v>687</v>
      </c>
      <c r="J239" s="34" t="s">
        <v>45</v>
      </c>
      <c r="K239" s="126">
        <v>527.03</v>
      </c>
      <c r="L239" s="132" t="s">
        <v>61</v>
      </c>
      <c r="M239" s="105" t="s">
        <v>61</v>
      </c>
      <c r="N239" s="265">
        <v>42116</v>
      </c>
      <c r="O239" s="260"/>
      <c r="P239" s="106" t="s">
        <v>688</v>
      </c>
      <c r="Q239" s="107" t="s">
        <v>685</v>
      </c>
      <c r="R239" s="244"/>
      <c r="S239" s="37"/>
      <c r="T239" s="36" t="str">
        <f t="shared" ca="1" si="22"/>
        <v/>
      </c>
      <c r="U239" s="37"/>
      <c r="V239" s="37"/>
      <c r="W239" s="38"/>
      <c r="X239" s="39"/>
      <c r="Y239" s="39"/>
      <c r="Z239" s="40"/>
      <c r="AA239" s="41" t="str">
        <f t="shared" ca="1" si="5"/>
        <v/>
      </c>
      <c r="AB239" s="40"/>
      <c r="AC239" s="116"/>
      <c r="AD239" s="116"/>
      <c r="AE239" s="40"/>
      <c r="AF239" s="136" t="str">
        <f t="shared" ca="1" si="21"/>
        <v/>
      </c>
      <c r="AG239" s="127"/>
      <c r="AH239" s="127"/>
      <c r="AI239" s="127"/>
      <c r="AJ239" s="128"/>
      <c r="AK239" s="128"/>
      <c r="AL239" s="129"/>
    </row>
    <row r="240" spans="1:38" ht="24.95" customHeight="1" x14ac:dyDescent="0.25">
      <c r="A240" s="114" t="str">
        <f t="shared" si="20"/>
        <v>15REF044</v>
      </c>
      <c r="B240" s="174">
        <v>44</v>
      </c>
      <c r="C240" s="114" t="s">
        <v>39</v>
      </c>
      <c r="D240" s="115" t="s">
        <v>40</v>
      </c>
      <c r="E240" s="124" t="s">
        <v>41</v>
      </c>
      <c r="F240" s="124" t="s">
        <v>689</v>
      </c>
      <c r="G240" s="251"/>
      <c r="H240" s="34" t="s">
        <v>43</v>
      </c>
      <c r="I240" s="126" t="s">
        <v>690</v>
      </c>
      <c r="J240" s="34" t="s">
        <v>45</v>
      </c>
      <c r="K240" s="126">
        <v>182.65</v>
      </c>
      <c r="L240" s="126" t="s">
        <v>691</v>
      </c>
      <c r="M240" s="104" t="s">
        <v>692</v>
      </c>
      <c r="N240" s="265">
        <v>42116</v>
      </c>
      <c r="O240" s="260">
        <v>42235</v>
      </c>
      <c r="P240" s="106" t="s">
        <v>160</v>
      </c>
      <c r="Q240" s="107" t="s">
        <v>693</v>
      </c>
      <c r="R240" s="244">
        <v>0</v>
      </c>
      <c r="S240" s="37">
        <f>1000-10.1-13.8-14-18.9-10.4-22.6-3.36-4.82-1.96</f>
        <v>900.06</v>
      </c>
      <c r="T240" s="36">
        <f t="shared" ca="1" si="22"/>
        <v>1125</v>
      </c>
      <c r="U240" s="37"/>
      <c r="V240" s="37"/>
      <c r="W240" s="38">
        <v>43054</v>
      </c>
      <c r="X240" s="39" t="s">
        <v>248</v>
      </c>
      <c r="Y240" s="39" t="s">
        <v>1532</v>
      </c>
      <c r="Z240" s="40" t="s">
        <v>49</v>
      </c>
      <c r="AA240" s="41">
        <f t="shared" ca="1" si="5"/>
        <v>319</v>
      </c>
      <c r="AB240" s="40"/>
      <c r="AC240" s="116"/>
      <c r="AD240" s="116"/>
      <c r="AE240" s="40"/>
      <c r="AF240" s="136" t="str">
        <f t="shared" ca="1" si="21"/>
        <v/>
      </c>
      <c r="AG240" s="127"/>
      <c r="AH240" s="127"/>
      <c r="AI240" s="127"/>
      <c r="AJ240" s="128"/>
      <c r="AK240" s="128"/>
      <c r="AL240" s="129"/>
    </row>
    <row r="241" spans="1:38" ht="24.95" customHeight="1" x14ac:dyDescent="0.25">
      <c r="A241" s="114" t="str">
        <f t="shared" si="20"/>
        <v>15REF045</v>
      </c>
      <c r="B241" s="175">
        <v>45</v>
      </c>
      <c r="C241" s="114" t="s">
        <v>39</v>
      </c>
      <c r="D241" s="115" t="s">
        <v>40</v>
      </c>
      <c r="E241" s="124" t="s">
        <v>41</v>
      </c>
      <c r="F241" s="124" t="s">
        <v>694</v>
      </c>
      <c r="G241" s="251"/>
      <c r="H241" s="34" t="s">
        <v>43</v>
      </c>
      <c r="I241" s="126" t="s">
        <v>695</v>
      </c>
      <c r="J241" s="34" t="s">
        <v>180</v>
      </c>
      <c r="K241" s="126">
        <v>212.68</v>
      </c>
      <c r="L241" s="126" t="s">
        <v>696</v>
      </c>
      <c r="M241" s="104" t="s">
        <v>697</v>
      </c>
      <c r="N241" s="265">
        <v>42122</v>
      </c>
      <c r="O241" s="260">
        <v>42135</v>
      </c>
      <c r="P241" s="106" t="s">
        <v>124</v>
      </c>
      <c r="Q241" s="107" t="s">
        <v>698</v>
      </c>
      <c r="R241" s="244"/>
      <c r="S241" s="37">
        <f>100-15.7-2.06-9.84-30.08-33.57-10.69</f>
        <v>-1.9400000000000066</v>
      </c>
      <c r="T241" s="36">
        <f t="shared" ca="1" si="22"/>
        <v>1223</v>
      </c>
      <c r="U241" s="37"/>
      <c r="V241" s="37"/>
      <c r="W241" s="38">
        <v>42135</v>
      </c>
      <c r="X241" s="39" t="s">
        <v>699</v>
      </c>
      <c r="Y241" s="39" t="s">
        <v>700</v>
      </c>
      <c r="Z241" s="40" t="s">
        <v>49</v>
      </c>
      <c r="AA241" s="41">
        <f t="shared" ca="1" si="5"/>
        <v>1223</v>
      </c>
      <c r="AB241" s="40"/>
      <c r="AC241" s="116"/>
      <c r="AD241" s="116"/>
      <c r="AE241" s="40"/>
      <c r="AF241" s="136" t="str">
        <f t="shared" ca="1" si="21"/>
        <v/>
      </c>
      <c r="AG241" s="127"/>
      <c r="AH241" s="127"/>
      <c r="AI241" s="127"/>
      <c r="AJ241" s="128"/>
      <c r="AK241" s="128"/>
      <c r="AL241" s="129"/>
    </row>
    <row r="242" spans="1:38" ht="24.95" customHeight="1" x14ac:dyDescent="0.25">
      <c r="A242" s="114" t="str">
        <f t="shared" si="20"/>
        <v>15REF046</v>
      </c>
      <c r="B242" s="175">
        <v>46</v>
      </c>
      <c r="C242" s="114" t="s">
        <v>39</v>
      </c>
      <c r="D242" s="115" t="s">
        <v>40</v>
      </c>
      <c r="E242" s="124" t="s">
        <v>41</v>
      </c>
      <c r="F242" s="124" t="s">
        <v>702</v>
      </c>
      <c r="G242" s="251" t="s">
        <v>703</v>
      </c>
      <c r="H242" s="34" t="s">
        <v>330</v>
      </c>
      <c r="I242" s="126" t="s">
        <v>704</v>
      </c>
      <c r="J242" s="34" t="s">
        <v>180</v>
      </c>
      <c r="K242" s="126">
        <v>284.36</v>
      </c>
      <c r="L242" s="126" t="s">
        <v>705</v>
      </c>
      <c r="M242" s="104" t="s">
        <v>706</v>
      </c>
      <c r="N242" s="265">
        <v>42122</v>
      </c>
      <c r="O242" s="260">
        <v>42269</v>
      </c>
      <c r="P242" s="106" t="s">
        <v>124</v>
      </c>
      <c r="Q242" s="107" t="s">
        <v>130</v>
      </c>
      <c r="R242" s="244"/>
      <c r="S242" s="37">
        <f>100-4.31</f>
        <v>95.69</v>
      </c>
      <c r="T242" s="36">
        <f t="shared" ca="1" si="22"/>
        <v>1092</v>
      </c>
      <c r="U242" s="37" t="s">
        <v>670</v>
      </c>
      <c r="V242" s="37"/>
      <c r="W242" s="38"/>
      <c r="X242" s="39"/>
      <c r="Y242" s="39"/>
      <c r="Z242" s="40"/>
      <c r="AA242" s="41" t="str">
        <f t="shared" ca="1" si="5"/>
        <v/>
      </c>
      <c r="AB242" s="40"/>
      <c r="AC242" s="116"/>
      <c r="AD242" s="116"/>
      <c r="AE242" s="40"/>
      <c r="AF242" s="136" t="str">
        <f t="shared" ca="1" si="21"/>
        <v/>
      </c>
      <c r="AG242" s="127"/>
      <c r="AH242" s="127"/>
      <c r="AI242" s="127"/>
      <c r="AJ242" s="128"/>
      <c r="AK242" s="128"/>
      <c r="AL242" s="129"/>
    </row>
    <row r="243" spans="1:38" ht="24.95" customHeight="1" x14ac:dyDescent="0.25">
      <c r="A243" s="114" t="str">
        <f t="shared" si="20"/>
        <v>15REF047</v>
      </c>
      <c r="B243" s="174">
        <v>47</v>
      </c>
      <c r="C243" s="114" t="s">
        <v>39</v>
      </c>
      <c r="D243" s="115" t="s">
        <v>40</v>
      </c>
      <c r="E243" s="124" t="s">
        <v>41</v>
      </c>
      <c r="F243" s="124" t="s">
        <v>707</v>
      </c>
      <c r="G243" s="251" t="s">
        <v>244</v>
      </c>
      <c r="H243" s="34" t="s">
        <v>330</v>
      </c>
      <c r="I243" s="126" t="s">
        <v>708</v>
      </c>
      <c r="J243" s="34" t="s">
        <v>180</v>
      </c>
      <c r="K243" s="126">
        <v>213.23</v>
      </c>
      <c r="L243" s="126" t="s">
        <v>709</v>
      </c>
      <c r="M243" s="104" t="s">
        <v>627</v>
      </c>
      <c r="N243" s="265">
        <v>42122</v>
      </c>
      <c r="O243" s="260">
        <v>42234</v>
      </c>
      <c r="P243" s="106" t="s">
        <v>183</v>
      </c>
      <c r="Q243" s="107" t="s">
        <v>628</v>
      </c>
      <c r="R243" s="244"/>
      <c r="S243" s="37">
        <v>0</v>
      </c>
      <c r="T243" s="36" t="str">
        <f t="shared" ca="1" si="22"/>
        <v>Empty</v>
      </c>
      <c r="U243" s="37"/>
      <c r="V243" s="37"/>
      <c r="W243" s="38">
        <v>42772</v>
      </c>
      <c r="X243" s="39" t="s">
        <v>50</v>
      </c>
      <c r="Y243" s="39" t="s">
        <v>853</v>
      </c>
      <c r="Z243" s="40" t="s">
        <v>49</v>
      </c>
      <c r="AA243" s="41">
        <f t="shared" ca="1" si="5"/>
        <v>598</v>
      </c>
      <c r="AB243" s="38"/>
      <c r="AC243" s="39"/>
      <c r="AD243" s="39"/>
      <c r="AE243" s="40"/>
      <c r="AF243" s="136"/>
      <c r="AG243" s="127"/>
      <c r="AH243" s="127"/>
      <c r="AI243" s="127"/>
      <c r="AJ243" s="128"/>
      <c r="AK243" s="128"/>
      <c r="AL243" s="129"/>
    </row>
    <row r="244" spans="1:38" ht="24.95" customHeight="1" x14ac:dyDescent="0.25">
      <c r="A244" s="114" t="str">
        <f t="shared" si="20"/>
        <v>15REF048</v>
      </c>
      <c r="B244" s="174">
        <v>48</v>
      </c>
      <c r="C244" s="114" t="s">
        <v>39</v>
      </c>
      <c r="D244" s="115" t="s">
        <v>40</v>
      </c>
      <c r="E244" s="124" t="s">
        <v>41</v>
      </c>
      <c r="F244" s="124" t="s">
        <v>860</v>
      </c>
      <c r="G244" s="251" t="s">
        <v>802</v>
      </c>
      <c r="H244" s="34" t="s">
        <v>330</v>
      </c>
      <c r="I244" s="126" t="s">
        <v>971</v>
      </c>
      <c r="J244" s="34" t="s">
        <v>180</v>
      </c>
      <c r="K244" s="126">
        <v>340.78</v>
      </c>
      <c r="L244" s="126" t="s">
        <v>862</v>
      </c>
      <c r="M244" s="104" t="s">
        <v>863</v>
      </c>
      <c r="N244" s="265">
        <v>42122</v>
      </c>
      <c r="O244" s="260">
        <v>42145</v>
      </c>
      <c r="P244" s="106" t="s">
        <v>183</v>
      </c>
      <c r="Q244" s="107" t="s">
        <v>130</v>
      </c>
      <c r="R244" s="244"/>
      <c r="S244" s="37">
        <v>0</v>
      </c>
      <c r="T244" s="36" t="str">
        <f t="shared" ca="1" si="22"/>
        <v>Empty</v>
      </c>
      <c r="U244" s="37"/>
      <c r="V244" s="37"/>
      <c r="W244" s="38">
        <v>42145</v>
      </c>
      <c r="X244" s="39" t="s">
        <v>248</v>
      </c>
      <c r="Y244" s="39" t="s">
        <v>995</v>
      </c>
      <c r="Z244" s="40" t="s">
        <v>212</v>
      </c>
      <c r="AA244" s="41">
        <f t="shared" ca="1" si="5"/>
        <v>1213</v>
      </c>
      <c r="AB244" s="40"/>
      <c r="AC244" s="116"/>
      <c r="AD244" s="116"/>
      <c r="AE244" s="40"/>
      <c r="AF244" s="136" t="str">
        <f t="shared" ca="1" si="21"/>
        <v/>
      </c>
      <c r="AG244" s="127"/>
      <c r="AH244" s="127"/>
      <c r="AI244" s="127"/>
      <c r="AJ244" s="128"/>
      <c r="AK244" s="128"/>
      <c r="AL244" s="129"/>
    </row>
    <row r="245" spans="1:38" ht="24.95" customHeight="1" x14ac:dyDescent="0.25">
      <c r="A245" s="97" t="str">
        <f t="shared" si="20"/>
        <v>15SAM049</v>
      </c>
      <c r="B245" s="173">
        <v>49</v>
      </c>
      <c r="C245" s="97" t="s">
        <v>57</v>
      </c>
      <c r="D245" s="98" t="s">
        <v>40</v>
      </c>
      <c r="E245" s="124" t="s">
        <v>416</v>
      </c>
      <c r="F245" s="124" t="s">
        <v>1032</v>
      </c>
      <c r="G245" s="251" t="s">
        <v>61</v>
      </c>
      <c r="H245" s="34"/>
      <c r="I245" s="126"/>
      <c r="J245" s="34" t="s">
        <v>45</v>
      </c>
      <c r="K245" s="126">
        <v>445.46899999999999</v>
      </c>
      <c r="L245" s="126"/>
      <c r="M245" s="104"/>
      <c r="N245" s="265">
        <v>42123</v>
      </c>
      <c r="O245" s="260">
        <v>42149</v>
      </c>
      <c r="P245" s="106" t="s">
        <v>1033</v>
      </c>
      <c r="Q245" s="107" t="s">
        <v>591</v>
      </c>
      <c r="R245" s="244"/>
      <c r="S245" s="37">
        <v>0</v>
      </c>
      <c r="T245" s="36" t="str">
        <f t="shared" ca="1" si="22"/>
        <v>Empty</v>
      </c>
      <c r="U245" s="37"/>
      <c r="V245" s="37"/>
      <c r="W245" s="38"/>
      <c r="X245" s="39"/>
      <c r="Y245" s="39"/>
      <c r="Z245" s="40"/>
      <c r="AA245" s="41" t="str">
        <f t="shared" ca="1" si="5"/>
        <v/>
      </c>
      <c r="AB245" s="40"/>
      <c r="AC245" s="116"/>
      <c r="AD245" s="116"/>
      <c r="AE245" s="40"/>
      <c r="AF245" s="136" t="str">
        <f t="shared" ca="1" si="21"/>
        <v/>
      </c>
      <c r="AG245" s="127"/>
      <c r="AH245" s="127"/>
      <c r="AI245" s="127"/>
      <c r="AJ245" s="128"/>
      <c r="AK245" s="128"/>
      <c r="AL245" s="129"/>
    </row>
    <row r="246" spans="1:38" ht="24.95" customHeight="1" x14ac:dyDescent="0.25">
      <c r="A246" s="114" t="str">
        <f t="shared" si="20"/>
        <v>15REF050</v>
      </c>
      <c r="B246" s="173">
        <v>50</v>
      </c>
      <c r="C246" s="114" t="s">
        <v>39</v>
      </c>
      <c r="D246" s="115" t="s">
        <v>40</v>
      </c>
      <c r="E246" s="124" t="s">
        <v>2122</v>
      </c>
      <c r="F246" s="124" t="s">
        <v>710</v>
      </c>
      <c r="G246" s="251"/>
      <c r="H246" s="34" t="s">
        <v>60</v>
      </c>
      <c r="I246" s="126" t="s">
        <v>711</v>
      </c>
      <c r="J246" s="47" t="s">
        <v>105</v>
      </c>
      <c r="K246" s="126"/>
      <c r="L246" s="126"/>
      <c r="M246" s="104"/>
      <c r="N246" s="265">
        <v>42128</v>
      </c>
      <c r="O246" s="260"/>
      <c r="P246" s="106" t="s">
        <v>712</v>
      </c>
      <c r="Q246" s="107" t="s">
        <v>713</v>
      </c>
      <c r="R246" s="244"/>
      <c r="S246" s="37" t="s">
        <v>714</v>
      </c>
      <c r="T246" s="36" t="str">
        <f t="shared" ca="1" si="22"/>
        <v/>
      </c>
      <c r="U246" s="37"/>
      <c r="V246" s="37"/>
      <c r="W246" s="38"/>
      <c r="X246" s="39"/>
      <c r="Y246" s="39"/>
      <c r="Z246" s="40"/>
      <c r="AA246" s="41" t="str">
        <f t="shared" ca="1" si="5"/>
        <v/>
      </c>
      <c r="AB246" s="40"/>
      <c r="AC246" s="116"/>
      <c r="AD246" s="116"/>
      <c r="AE246" s="40"/>
      <c r="AF246" s="136" t="str">
        <f t="shared" ca="1" si="21"/>
        <v/>
      </c>
      <c r="AG246" s="127"/>
      <c r="AH246" s="127"/>
      <c r="AI246" s="127"/>
      <c r="AJ246" s="128"/>
      <c r="AK246" s="128"/>
      <c r="AL246" s="129"/>
    </row>
    <row r="247" spans="1:38" ht="24.95" customHeight="1" x14ac:dyDescent="0.25">
      <c r="A247" s="133" t="str">
        <f t="shared" si="20"/>
        <v>15SAM051</v>
      </c>
      <c r="B247" s="172">
        <v>51</v>
      </c>
      <c r="C247" s="133" t="s">
        <v>57</v>
      </c>
      <c r="D247" s="134" t="s">
        <v>40</v>
      </c>
      <c r="E247" s="124" t="s">
        <v>416</v>
      </c>
      <c r="F247" s="124" t="s">
        <v>548</v>
      </c>
      <c r="G247" s="248" t="s">
        <v>715</v>
      </c>
      <c r="H247" s="34" t="s">
        <v>112</v>
      </c>
      <c r="I247" s="126" t="s">
        <v>716</v>
      </c>
      <c r="J247" s="34" t="s">
        <v>45</v>
      </c>
      <c r="K247" s="126">
        <v>362.23</v>
      </c>
      <c r="L247" s="126">
        <v>2832</v>
      </c>
      <c r="M247" s="104" t="s">
        <v>571</v>
      </c>
      <c r="N247" s="265">
        <v>42136</v>
      </c>
      <c r="O247" s="260">
        <v>42142</v>
      </c>
      <c r="P247" s="106" t="s">
        <v>183</v>
      </c>
      <c r="Q247" s="107" t="s">
        <v>628</v>
      </c>
      <c r="R247" s="244"/>
      <c r="S247" s="37">
        <v>0</v>
      </c>
      <c r="T247" s="36" t="str">
        <f t="shared" ca="1" si="22"/>
        <v>Empty</v>
      </c>
      <c r="U247" s="37"/>
      <c r="V247" s="95" t="s">
        <v>573</v>
      </c>
      <c r="W247" s="38"/>
      <c r="X247" s="39"/>
      <c r="Y247" s="39"/>
      <c r="Z247" s="40"/>
      <c r="AA247" s="41" t="str">
        <f t="shared" ca="1" si="5"/>
        <v/>
      </c>
      <c r="AB247" s="40"/>
      <c r="AC247" s="116"/>
      <c r="AD247" s="116"/>
      <c r="AE247" s="40"/>
      <c r="AF247" s="136" t="str">
        <f t="shared" ca="1" si="21"/>
        <v/>
      </c>
      <c r="AG247" s="127"/>
      <c r="AH247" s="127"/>
      <c r="AI247" s="127"/>
      <c r="AJ247" s="128"/>
      <c r="AK247" s="128"/>
      <c r="AL247" s="129"/>
    </row>
    <row r="248" spans="1:38" ht="24.95" customHeight="1" x14ac:dyDescent="0.25">
      <c r="A248" s="133" t="str">
        <f t="shared" si="20"/>
        <v>15SAM052</v>
      </c>
      <c r="B248" s="172">
        <v>52</v>
      </c>
      <c r="C248" s="133" t="s">
        <v>57</v>
      </c>
      <c r="D248" s="134" t="s">
        <v>40</v>
      </c>
      <c r="E248" s="124" t="s">
        <v>416</v>
      </c>
      <c r="F248" s="124" t="s">
        <v>548</v>
      </c>
      <c r="G248" s="248" t="s">
        <v>715</v>
      </c>
      <c r="H248" s="34" t="s">
        <v>112</v>
      </c>
      <c r="I248" s="126" t="s">
        <v>716</v>
      </c>
      <c r="J248" s="34" t="s">
        <v>45</v>
      </c>
      <c r="K248" s="126">
        <v>362.23</v>
      </c>
      <c r="L248" s="126">
        <v>2832</v>
      </c>
      <c r="M248" s="104" t="s">
        <v>571</v>
      </c>
      <c r="N248" s="265">
        <v>42136</v>
      </c>
      <c r="O248" s="260">
        <v>42153</v>
      </c>
      <c r="P248" s="106" t="s">
        <v>183</v>
      </c>
      <c r="Q248" s="107" t="s">
        <v>628</v>
      </c>
      <c r="R248" s="244"/>
      <c r="S248" s="37">
        <f>50-15.2</f>
        <v>34.799999999999997</v>
      </c>
      <c r="T248" s="36">
        <f t="shared" ca="1" si="22"/>
        <v>1205</v>
      </c>
      <c r="U248" s="37"/>
      <c r="V248" s="95" t="s">
        <v>573</v>
      </c>
      <c r="W248" s="38"/>
      <c r="X248" s="39"/>
      <c r="Y248" s="39"/>
      <c r="Z248" s="40"/>
      <c r="AA248" s="41" t="str">
        <f t="shared" ca="1" si="5"/>
        <v/>
      </c>
      <c r="AB248" s="40"/>
      <c r="AC248" s="116"/>
      <c r="AD248" s="116"/>
      <c r="AE248" s="40"/>
      <c r="AF248" s="136" t="str">
        <f t="shared" ca="1" si="21"/>
        <v/>
      </c>
      <c r="AG248" s="127"/>
      <c r="AH248" s="127"/>
      <c r="AI248" s="127"/>
      <c r="AJ248" s="128"/>
      <c r="AK248" s="128"/>
      <c r="AL248" s="129"/>
    </row>
    <row r="249" spans="1:38" ht="24.95" customHeight="1" x14ac:dyDescent="0.25">
      <c r="A249" s="114" t="str">
        <f t="shared" si="20"/>
        <v>15REF053</v>
      </c>
      <c r="B249" s="175">
        <v>53</v>
      </c>
      <c r="C249" s="114" t="s">
        <v>39</v>
      </c>
      <c r="D249" s="115" t="s">
        <v>40</v>
      </c>
      <c r="E249" s="124" t="s">
        <v>41</v>
      </c>
      <c r="F249" s="124" t="s">
        <v>860</v>
      </c>
      <c r="G249" s="251" t="s">
        <v>802</v>
      </c>
      <c r="H249" s="34" t="s">
        <v>330</v>
      </c>
      <c r="I249" s="126" t="s">
        <v>971</v>
      </c>
      <c r="J249" s="34" t="s">
        <v>180</v>
      </c>
      <c r="K249" s="126">
        <v>340.78</v>
      </c>
      <c r="L249" s="126" t="s">
        <v>862</v>
      </c>
      <c r="M249" s="104" t="s">
        <v>863</v>
      </c>
      <c r="N249" s="265">
        <v>42151</v>
      </c>
      <c r="O249" s="260">
        <v>42180</v>
      </c>
      <c r="P249" s="106" t="s">
        <v>183</v>
      </c>
      <c r="Q249" s="107" t="s">
        <v>212</v>
      </c>
      <c r="R249" s="244"/>
      <c r="S249" s="37">
        <v>0</v>
      </c>
      <c r="T249" s="36" t="str">
        <f t="shared" ca="1" si="22"/>
        <v>Empty</v>
      </c>
      <c r="U249" s="37" t="s">
        <v>1034</v>
      </c>
      <c r="V249" s="37"/>
      <c r="W249" s="130">
        <v>42180</v>
      </c>
      <c r="X249" s="93" t="s">
        <v>248</v>
      </c>
      <c r="Y249" s="93" t="s">
        <v>1035</v>
      </c>
      <c r="Z249" s="92" t="s">
        <v>212</v>
      </c>
      <c r="AA249" s="94">
        <f t="shared" ca="1" si="5"/>
        <v>1179</v>
      </c>
      <c r="AB249" s="40"/>
      <c r="AC249" s="116"/>
      <c r="AD249" s="116"/>
      <c r="AE249" s="40"/>
      <c r="AF249" s="136" t="str">
        <f t="shared" ca="1" si="21"/>
        <v/>
      </c>
      <c r="AG249" s="127"/>
      <c r="AH249" s="127"/>
      <c r="AI249" s="127"/>
      <c r="AJ249" s="128"/>
      <c r="AK249" s="128"/>
      <c r="AL249" s="129"/>
    </row>
    <row r="250" spans="1:38" ht="24.95" customHeight="1" x14ac:dyDescent="0.25">
      <c r="A250" s="114" t="str">
        <f t="shared" si="20"/>
        <v>15REF054</v>
      </c>
      <c r="B250" s="174">
        <v>54</v>
      </c>
      <c r="C250" s="114" t="s">
        <v>39</v>
      </c>
      <c r="D250" s="115" t="s">
        <v>40</v>
      </c>
      <c r="E250" s="124" t="s">
        <v>41</v>
      </c>
      <c r="F250" s="124" t="s">
        <v>860</v>
      </c>
      <c r="G250" s="251" t="s">
        <v>802</v>
      </c>
      <c r="H250" s="34" t="s">
        <v>330</v>
      </c>
      <c r="I250" s="126" t="s">
        <v>971</v>
      </c>
      <c r="J250" s="34" t="s">
        <v>180</v>
      </c>
      <c r="K250" s="126">
        <v>340.78</v>
      </c>
      <c r="L250" s="126" t="s">
        <v>862</v>
      </c>
      <c r="M250" s="104" t="s">
        <v>863</v>
      </c>
      <c r="N250" s="265">
        <v>42131</v>
      </c>
      <c r="O250" s="260">
        <v>42314</v>
      </c>
      <c r="P250" s="106" t="s">
        <v>183</v>
      </c>
      <c r="Q250" s="107" t="s">
        <v>212</v>
      </c>
      <c r="R250" s="244"/>
      <c r="S250" s="37">
        <v>0</v>
      </c>
      <c r="T250" s="36" t="str">
        <f t="shared" ca="1" si="22"/>
        <v>Empty</v>
      </c>
      <c r="U250" s="37" t="s">
        <v>1034</v>
      </c>
      <c r="V250" s="37"/>
      <c r="W250" s="38">
        <v>42314</v>
      </c>
      <c r="X250" s="39" t="s">
        <v>248</v>
      </c>
      <c r="Y250" s="39" t="s">
        <v>651</v>
      </c>
      <c r="Z250" s="40" t="s">
        <v>212</v>
      </c>
      <c r="AA250" s="41">
        <f t="shared" ca="1" si="5"/>
        <v>1048</v>
      </c>
      <c r="AB250" s="40"/>
      <c r="AC250" s="116"/>
      <c r="AD250" s="116"/>
      <c r="AE250" s="40"/>
      <c r="AF250" s="136" t="str">
        <f t="shared" ca="1" si="21"/>
        <v/>
      </c>
      <c r="AG250" s="127"/>
      <c r="AH250" s="127"/>
      <c r="AI250" s="127"/>
      <c r="AJ250" s="128"/>
      <c r="AK250" s="128"/>
      <c r="AL250" s="129"/>
    </row>
    <row r="251" spans="1:38" ht="24.95" customHeight="1" x14ac:dyDescent="0.25">
      <c r="A251" s="97" t="str">
        <f t="shared" si="20"/>
        <v>15SAM055</v>
      </c>
      <c r="B251" s="172">
        <v>55</v>
      </c>
      <c r="C251" s="97" t="s">
        <v>57</v>
      </c>
      <c r="D251" s="98" t="s">
        <v>40</v>
      </c>
      <c r="E251" s="124" t="s">
        <v>233</v>
      </c>
      <c r="F251" s="124" t="s">
        <v>717</v>
      </c>
      <c r="G251" s="251"/>
      <c r="H251" s="34" t="s">
        <v>43</v>
      </c>
      <c r="I251" s="126" t="s">
        <v>718</v>
      </c>
      <c r="J251" s="34" t="s">
        <v>45</v>
      </c>
      <c r="K251" s="126">
        <v>319.26</v>
      </c>
      <c r="L251" s="126" t="s">
        <v>719</v>
      </c>
      <c r="M251" s="104" t="s">
        <v>720</v>
      </c>
      <c r="N251" s="265">
        <v>42164</v>
      </c>
      <c r="O251" s="260">
        <v>42170</v>
      </c>
      <c r="P251" s="106" t="s">
        <v>721</v>
      </c>
      <c r="Q251" s="107" t="s">
        <v>49</v>
      </c>
      <c r="R251" s="244"/>
      <c r="S251" s="37">
        <f>1000-30</f>
        <v>970</v>
      </c>
      <c r="T251" s="36">
        <f t="shared" ca="1" si="22"/>
        <v>1189</v>
      </c>
      <c r="U251" s="37"/>
      <c r="V251" s="37"/>
      <c r="W251" s="38">
        <v>42170</v>
      </c>
      <c r="X251" s="39" t="s">
        <v>722</v>
      </c>
      <c r="Y251" s="39" t="s">
        <v>249</v>
      </c>
      <c r="Z251" s="40" t="s">
        <v>49</v>
      </c>
      <c r="AA251" s="41">
        <f t="shared" ca="1" si="5"/>
        <v>1189</v>
      </c>
      <c r="AB251" s="40"/>
      <c r="AC251" s="116"/>
      <c r="AD251" s="116"/>
      <c r="AE251" s="40"/>
      <c r="AF251" s="136" t="str">
        <f t="shared" ca="1" si="21"/>
        <v/>
      </c>
      <c r="AG251" s="127"/>
      <c r="AH251" s="127"/>
      <c r="AI251" s="127"/>
      <c r="AJ251" s="128"/>
      <c r="AK251" s="128"/>
      <c r="AL251" s="129"/>
    </row>
    <row r="252" spans="1:38" ht="24.95" customHeight="1" x14ac:dyDescent="0.25">
      <c r="A252" s="114" t="str">
        <f t="shared" si="20"/>
        <v>15REF056</v>
      </c>
      <c r="B252" s="175">
        <v>56</v>
      </c>
      <c r="C252" s="114" t="s">
        <v>39</v>
      </c>
      <c r="D252" s="115" t="s">
        <v>40</v>
      </c>
      <c r="E252" s="124" t="s">
        <v>41</v>
      </c>
      <c r="F252" s="124" t="s">
        <v>723</v>
      </c>
      <c r="G252" s="251" t="s">
        <v>724</v>
      </c>
      <c r="H252" s="34" t="s">
        <v>43</v>
      </c>
      <c r="I252" s="126" t="s">
        <v>725</v>
      </c>
      <c r="J252" s="34" t="s">
        <v>45</v>
      </c>
      <c r="K252" s="126">
        <v>94.11</v>
      </c>
      <c r="L252" s="126">
        <v>275875</v>
      </c>
      <c r="M252" s="104" t="s">
        <v>726</v>
      </c>
      <c r="N252" s="265">
        <v>42164</v>
      </c>
      <c r="O252" s="260">
        <v>42164</v>
      </c>
      <c r="P252" s="106" t="s">
        <v>721</v>
      </c>
      <c r="Q252" s="107" t="s">
        <v>49</v>
      </c>
      <c r="R252" s="244"/>
      <c r="S252" s="37">
        <f>1000-48.9-116.6-118.6-57.3-66.9-5.1-5.2-16.2-20.3-24.5-47.7-55.1-32.6-24.8</f>
        <v>360.19999999999993</v>
      </c>
      <c r="T252" s="36">
        <f t="shared" ca="1" si="22"/>
        <v>1195</v>
      </c>
      <c r="U252" s="37"/>
      <c r="V252" s="37" t="s">
        <v>727</v>
      </c>
      <c r="W252" s="38">
        <v>42661</v>
      </c>
      <c r="X252" s="39" t="s">
        <v>728</v>
      </c>
      <c r="Y252" s="39" t="s">
        <v>1794</v>
      </c>
      <c r="Z252" s="40" t="s">
        <v>49</v>
      </c>
      <c r="AA252" s="41">
        <f t="shared" ref="AA252:AA315" ca="1" si="23">IF(W252="","",IF(W252,DAYS360(W252,TODAY())))</f>
        <v>706</v>
      </c>
      <c r="AB252" s="40"/>
      <c r="AC252" s="116"/>
      <c r="AD252" s="116"/>
      <c r="AE252" s="40"/>
      <c r="AF252" s="136" t="str">
        <f t="shared" ca="1" si="21"/>
        <v/>
      </c>
      <c r="AG252" s="127"/>
      <c r="AH252" s="127"/>
      <c r="AI252" s="127"/>
      <c r="AJ252" s="128"/>
      <c r="AK252" s="128"/>
      <c r="AL252" s="129"/>
    </row>
    <row r="253" spans="1:38" ht="24.95" customHeight="1" x14ac:dyDescent="0.25">
      <c r="A253" s="97" t="str">
        <f>IF(C253="","",CONCATENATE(15,MID(C253,1,3),IF(B253&lt;10,"00",0),B253))</f>
        <v>15SAM057</v>
      </c>
      <c r="B253" s="172">
        <v>57</v>
      </c>
      <c r="C253" s="97" t="s">
        <v>57</v>
      </c>
      <c r="D253" s="98" t="s">
        <v>40</v>
      </c>
      <c r="E253" s="124" t="s">
        <v>730</v>
      </c>
      <c r="F253" s="124" t="s">
        <v>731</v>
      </c>
      <c r="G253" s="251"/>
      <c r="H253" s="34" t="s">
        <v>60</v>
      </c>
      <c r="I253" s="126" t="s">
        <v>61</v>
      </c>
      <c r="J253" s="34" t="s">
        <v>45</v>
      </c>
      <c r="K253" s="126">
        <v>437.52</v>
      </c>
      <c r="L253" s="126" t="s">
        <v>61</v>
      </c>
      <c r="M253" s="104" t="s">
        <v>61</v>
      </c>
      <c r="N253" s="265">
        <v>42178</v>
      </c>
      <c r="O253" s="260">
        <v>42184</v>
      </c>
      <c r="P253" s="106" t="s">
        <v>732</v>
      </c>
      <c r="Q253" s="107" t="s">
        <v>212</v>
      </c>
      <c r="R253" s="244"/>
      <c r="S253" s="37">
        <f>201-7.53-3.98-2.38</f>
        <v>187.11</v>
      </c>
      <c r="T253" s="36">
        <f t="shared" ca="1" si="22"/>
        <v>1175</v>
      </c>
      <c r="U253" s="37" t="s">
        <v>733</v>
      </c>
      <c r="V253" s="37"/>
      <c r="W253" s="38"/>
      <c r="X253" s="39"/>
      <c r="Y253" s="39"/>
      <c r="Z253" s="40"/>
      <c r="AA253" s="41" t="str">
        <f t="shared" ca="1" si="23"/>
        <v/>
      </c>
      <c r="AB253" s="40"/>
      <c r="AC253" s="116"/>
      <c r="AD253" s="116"/>
      <c r="AE253" s="40"/>
      <c r="AF253" s="136" t="str">
        <f t="shared" ca="1" si="21"/>
        <v/>
      </c>
      <c r="AG253" s="127"/>
      <c r="AH253" s="127"/>
      <c r="AI253" s="127"/>
      <c r="AJ253" s="128"/>
      <c r="AK253" s="128"/>
      <c r="AL253" s="129"/>
    </row>
    <row r="254" spans="1:38" ht="24.95" customHeight="1" x14ac:dyDescent="0.25">
      <c r="A254" s="97" t="str">
        <f t="shared" si="20"/>
        <v>15SAM058</v>
      </c>
      <c r="B254" s="172">
        <v>58</v>
      </c>
      <c r="C254" s="97" t="s">
        <v>57</v>
      </c>
      <c r="D254" s="98" t="s">
        <v>40</v>
      </c>
      <c r="E254" s="124" t="s">
        <v>730</v>
      </c>
      <c r="F254" s="124" t="s">
        <v>734</v>
      </c>
      <c r="G254" s="251"/>
      <c r="H254" s="34" t="s">
        <v>60</v>
      </c>
      <c r="I254" s="126" t="s">
        <v>61</v>
      </c>
      <c r="J254" s="34" t="s">
        <v>45</v>
      </c>
      <c r="K254" s="126">
        <v>477.58</v>
      </c>
      <c r="L254" s="126" t="s">
        <v>61</v>
      </c>
      <c r="M254" s="104" t="s">
        <v>61</v>
      </c>
      <c r="N254" s="265">
        <v>42178</v>
      </c>
      <c r="O254" s="260">
        <v>42184</v>
      </c>
      <c r="P254" s="106" t="s">
        <v>735</v>
      </c>
      <c r="Q254" s="107" t="s">
        <v>212</v>
      </c>
      <c r="R254" s="244"/>
      <c r="S254" s="37">
        <f>200.3-10.42-4.11-3.63-1.6-3.6</f>
        <v>176.94000000000003</v>
      </c>
      <c r="T254" s="36">
        <f t="shared" ca="1" si="22"/>
        <v>1175</v>
      </c>
      <c r="U254" s="37" t="s">
        <v>733</v>
      </c>
      <c r="V254" s="37"/>
      <c r="W254" s="38"/>
      <c r="X254" s="39"/>
      <c r="Y254" s="39"/>
      <c r="Z254" s="40"/>
      <c r="AA254" s="41" t="str">
        <f t="shared" ca="1" si="23"/>
        <v/>
      </c>
      <c r="AB254" s="40"/>
      <c r="AC254" s="116"/>
      <c r="AD254" s="116"/>
      <c r="AE254" s="40"/>
      <c r="AF254" s="136" t="str">
        <f t="shared" ca="1" si="21"/>
        <v/>
      </c>
      <c r="AG254" s="127"/>
      <c r="AH254" s="127"/>
      <c r="AI254" s="127"/>
      <c r="AJ254" s="128"/>
      <c r="AK254" s="128"/>
      <c r="AL254" s="129"/>
    </row>
    <row r="255" spans="1:38" ht="24.95" customHeight="1" x14ac:dyDescent="0.25">
      <c r="A255" s="97" t="str">
        <f t="shared" si="20"/>
        <v>15SAM059</v>
      </c>
      <c r="B255" s="173">
        <v>59</v>
      </c>
      <c r="C255" s="97" t="s">
        <v>57</v>
      </c>
      <c r="D255" s="98" t="s">
        <v>40</v>
      </c>
      <c r="E255" s="124" t="s">
        <v>730</v>
      </c>
      <c r="F255" s="124" t="s">
        <v>736</v>
      </c>
      <c r="G255" s="251"/>
      <c r="H255" s="34" t="s">
        <v>60</v>
      </c>
      <c r="I255" s="126" t="s">
        <v>61</v>
      </c>
      <c r="J255" s="34" t="s">
        <v>45</v>
      </c>
      <c r="K255" s="126">
        <v>434.52</v>
      </c>
      <c r="L255" s="126" t="s">
        <v>61</v>
      </c>
      <c r="M255" s="104" t="s">
        <v>61</v>
      </c>
      <c r="N255" s="265">
        <v>42178</v>
      </c>
      <c r="O255" s="260">
        <v>42184</v>
      </c>
      <c r="P255" s="106" t="s">
        <v>737</v>
      </c>
      <c r="Q255" s="107" t="s">
        <v>738</v>
      </c>
      <c r="R255" s="244"/>
      <c r="S255" s="37">
        <f>200.8-14.04-7.29-14.98-20.13-16.19-10.5-7.3</f>
        <v>110.37000000000005</v>
      </c>
      <c r="T255" s="36">
        <f t="shared" ca="1" si="22"/>
        <v>1175</v>
      </c>
      <c r="U255" s="37" t="s">
        <v>733</v>
      </c>
      <c r="V255" s="37"/>
      <c r="W255" s="38"/>
      <c r="X255" s="39"/>
      <c r="Y255" s="39"/>
      <c r="Z255" s="40"/>
      <c r="AA255" s="41" t="str">
        <f t="shared" ca="1" si="23"/>
        <v/>
      </c>
      <c r="AB255" s="40"/>
      <c r="AC255" s="116"/>
      <c r="AD255" s="116"/>
      <c r="AE255" s="40"/>
      <c r="AF255" s="136" t="str">
        <f t="shared" ca="1" si="21"/>
        <v/>
      </c>
      <c r="AG255" s="127"/>
      <c r="AH255" s="127"/>
      <c r="AI255" s="127"/>
      <c r="AJ255" s="128"/>
      <c r="AK255" s="128"/>
      <c r="AL255" s="129"/>
    </row>
    <row r="256" spans="1:38" ht="24.95" customHeight="1" x14ac:dyDescent="0.25">
      <c r="A256" s="97" t="str">
        <f t="shared" si="20"/>
        <v>15SAM060</v>
      </c>
      <c r="B256" s="172">
        <v>60</v>
      </c>
      <c r="C256" s="97" t="s">
        <v>57</v>
      </c>
      <c r="D256" s="98" t="s">
        <v>40</v>
      </c>
      <c r="E256" s="124" t="s">
        <v>233</v>
      </c>
      <c r="F256" s="124" t="s">
        <v>1036</v>
      </c>
      <c r="G256" s="251" t="s">
        <v>1037</v>
      </c>
      <c r="H256" s="34" t="s">
        <v>112</v>
      </c>
      <c r="I256" s="126" t="s">
        <v>1038</v>
      </c>
      <c r="J256" s="34" t="s">
        <v>45</v>
      </c>
      <c r="K256" s="126">
        <v>313.87</v>
      </c>
      <c r="L256" s="126">
        <v>821</v>
      </c>
      <c r="M256" s="104" t="s">
        <v>1039</v>
      </c>
      <c r="N256" s="265">
        <v>42186</v>
      </c>
      <c r="O256" s="260">
        <v>42208</v>
      </c>
      <c r="P256" s="106" t="s">
        <v>86</v>
      </c>
      <c r="Q256" s="107" t="s">
        <v>1040</v>
      </c>
      <c r="R256" s="244"/>
      <c r="S256" s="37">
        <v>0</v>
      </c>
      <c r="T256" s="36" t="str">
        <f t="shared" ca="1" si="22"/>
        <v>Empty</v>
      </c>
      <c r="U256" s="37"/>
      <c r="V256" s="37"/>
      <c r="W256" s="38"/>
      <c r="X256" s="39"/>
      <c r="Y256" s="39"/>
      <c r="Z256" s="40"/>
      <c r="AA256" s="41" t="str">
        <f t="shared" ca="1" si="23"/>
        <v/>
      </c>
      <c r="AB256" s="40"/>
      <c r="AC256" s="116"/>
      <c r="AD256" s="116"/>
      <c r="AE256" s="40"/>
      <c r="AF256" s="136" t="str">
        <f t="shared" ca="1" si="21"/>
        <v/>
      </c>
      <c r="AG256" s="127"/>
      <c r="AH256" s="127"/>
      <c r="AI256" s="127"/>
      <c r="AJ256" s="128"/>
      <c r="AK256" s="128"/>
      <c r="AL256" s="129"/>
    </row>
    <row r="257" spans="1:38" ht="24.95" customHeight="1" x14ac:dyDescent="0.25">
      <c r="A257" s="97" t="str">
        <f t="shared" si="20"/>
        <v>15SAM061</v>
      </c>
      <c r="B257" s="172">
        <v>61</v>
      </c>
      <c r="C257" s="97" t="s">
        <v>57</v>
      </c>
      <c r="D257" s="98" t="s">
        <v>40</v>
      </c>
      <c r="E257" s="124" t="s">
        <v>1041</v>
      </c>
      <c r="F257" s="124" t="s">
        <v>1042</v>
      </c>
      <c r="G257" s="251"/>
      <c r="H257" s="34" t="s">
        <v>60</v>
      </c>
      <c r="I257" s="132" t="s">
        <v>1043</v>
      </c>
      <c r="J257" s="34" t="s">
        <v>45</v>
      </c>
      <c r="K257" s="126">
        <v>438.47</v>
      </c>
      <c r="L257" s="126"/>
      <c r="M257" s="104"/>
      <c r="N257" s="265">
        <v>42215</v>
      </c>
      <c r="O257" s="260">
        <v>42216</v>
      </c>
      <c r="P257" s="106" t="s">
        <v>1044</v>
      </c>
      <c r="Q257" s="107" t="s">
        <v>1045</v>
      </c>
      <c r="R257" s="244"/>
      <c r="S257" s="37">
        <v>0</v>
      </c>
      <c r="T257" s="36" t="str">
        <f t="shared" ca="1" si="22"/>
        <v>Empty</v>
      </c>
      <c r="U257" s="37" t="s">
        <v>1046</v>
      </c>
      <c r="V257" s="37"/>
      <c r="W257" s="38"/>
      <c r="X257" s="39"/>
      <c r="Y257" s="39"/>
      <c r="Z257" s="40"/>
      <c r="AA257" s="41" t="str">
        <f t="shared" ca="1" si="23"/>
        <v/>
      </c>
      <c r="AB257" s="40"/>
      <c r="AC257" s="116"/>
      <c r="AD257" s="116"/>
      <c r="AE257" s="40"/>
      <c r="AF257" s="136" t="str">
        <f t="shared" ca="1" si="21"/>
        <v/>
      </c>
      <c r="AG257" s="127"/>
      <c r="AH257" s="127"/>
      <c r="AI257" s="127"/>
      <c r="AJ257" s="128"/>
      <c r="AK257" s="128"/>
      <c r="AL257" s="129"/>
    </row>
    <row r="258" spans="1:38" ht="24.95" customHeight="1" x14ac:dyDescent="0.25">
      <c r="A258" s="97" t="str">
        <f t="shared" si="20"/>
        <v>15SAM062</v>
      </c>
      <c r="B258" s="173">
        <v>62</v>
      </c>
      <c r="C258" s="97" t="s">
        <v>57</v>
      </c>
      <c r="D258" s="98" t="s">
        <v>40</v>
      </c>
      <c r="E258" s="124" t="s">
        <v>1041</v>
      </c>
      <c r="F258" s="124" t="s">
        <v>1047</v>
      </c>
      <c r="G258" s="251"/>
      <c r="H258" s="34" t="s">
        <v>60</v>
      </c>
      <c r="I258" s="132" t="s">
        <v>1043</v>
      </c>
      <c r="J258" s="34" t="s">
        <v>45</v>
      </c>
      <c r="K258" s="126">
        <v>421.48899999999998</v>
      </c>
      <c r="L258" s="126"/>
      <c r="M258" s="104"/>
      <c r="N258" s="265">
        <v>42215</v>
      </c>
      <c r="O258" s="260">
        <v>42216</v>
      </c>
      <c r="P258" s="106" t="s">
        <v>1048</v>
      </c>
      <c r="Q258" s="107" t="s">
        <v>1045</v>
      </c>
      <c r="R258" s="244"/>
      <c r="S258" s="37">
        <v>0</v>
      </c>
      <c r="T258" s="36" t="str">
        <f t="shared" ca="1" si="22"/>
        <v>Empty</v>
      </c>
      <c r="U258" s="37" t="s">
        <v>1046</v>
      </c>
      <c r="V258" s="37"/>
      <c r="W258" s="38"/>
      <c r="X258" s="39"/>
      <c r="Y258" s="39"/>
      <c r="Z258" s="40"/>
      <c r="AA258" s="41" t="str">
        <f t="shared" ca="1" si="23"/>
        <v/>
      </c>
      <c r="AB258" s="40"/>
      <c r="AC258" s="116"/>
      <c r="AD258" s="116"/>
      <c r="AE258" s="40"/>
      <c r="AF258" s="136" t="str">
        <f t="shared" ca="1" si="21"/>
        <v/>
      </c>
      <c r="AG258" s="127"/>
      <c r="AH258" s="127"/>
      <c r="AI258" s="127"/>
      <c r="AJ258" s="128"/>
      <c r="AK258" s="128"/>
      <c r="AL258" s="129"/>
    </row>
    <row r="259" spans="1:38" ht="24.95" customHeight="1" x14ac:dyDescent="0.25">
      <c r="A259" s="97" t="str">
        <f t="shared" si="20"/>
        <v>15SAM063</v>
      </c>
      <c r="B259" s="172">
        <v>63</v>
      </c>
      <c r="C259" s="97" t="s">
        <v>57</v>
      </c>
      <c r="D259" s="98" t="s">
        <v>40</v>
      </c>
      <c r="E259" s="124" t="s">
        <v>1041</v>
      </c>
      <c r="F259" s="124" t="s">
        <v>1049</v>
      </c>
      <c r="G259" s="251" t="s">
        <v>1050</v>
      </c>
      <c r="H259" s="34" t="s">
        <v>112</v>
      </c>
      <c r="I259" s="126" t="s">
        <v>1051</v>
      </c>
      <c r="J259" s="34" t="s">
        <v>45</v>
      </c>
      <c r="K259" s="126">
        <v>468.89</v>
      </c>
      <c r="L259" s="126">
        <v>1999</v>
      </c>
      <c r="M259" s="104" t="s">
        <v>1052</v>
      </c>
      <c r="N259" s="265">
        <v>42216</v>
      </c>
      <c r="O259" s="260">
        <v>42216</v>
      </c>
      <c r="P259" s="106" t="s">
        <v>183</v>
      </c>
      <c r="Q259" s="107" t="s">
        <v>1053</v>
      </c>
      <c r="R259" s="244"/>
      <c r="S259" s="37">
        <v>0</v>
      </c>
      <c r="T259" s="36" t="str">
        <f t="shared" ca="1" si="22"/>
        <v>Empty</v>
      </c>
      <c r="U259" s="37" t="s">
        <v>1046</v>
      </c>
      <c r="V259" s="37"/>
      <c r="W259" s="38"/>
      <c r="X259" s="39"/>
      <c r="Y259" s="39"/>
      <c r="Z259" s="40"/>
      <c r="AA259" s="41" t="str">
        <f t="shared" ca="1" si="23"/>
        <v/>
      </c>
      <c r="AB259" s="40"/>
      <c r="AC259" s="116"/>
      <c r="AD259" s="116"/>
      <c r="AE259" s="40"/>
      <c r="AF259" s="136" t="str">
        <f t="shared" ca="1" si="21"/>
        <v/>
      </c>
      <c r="AG259" s="127"/>
      <c r="AH259" s="127"/>
      <c r="AI259" s="127"/>
      <c r="AJ259" s="128"/>
      <c r="AK259" s="128"/>
      <c r="AL259" s="129"/>
    </row>
    <row r="260" spans="1:38" ht="24.95" customHeight="1" x14ac:dyDescent="0.25">
      <c r="A260" s="97" t="str">
        <f t="shared" si="20"/>
        <v>15SAM064</v>
      </c>
      <c r="B260" s="172">
        <v>64</v>
      </c>
      <c r="C260" s="97" t="s">
        <v>57</v>
      </c>
      <c r="D260" s="98" t="s">
        <v>40</v>
      </c>
      <c r="E260" s="124" t="s">
        <v>1041</v>
      </c>
      <c r="F260" s="124" t="s">
        <v>1049</v>
      </c>
      <c r="G260" s="251" t="s">
        <v>1050</v>
      </c>
      <c r="H260" s="34" t="s">
        <v>112</v>
      </c>
      <c r="I260" s="126" t="s">
        <v>1051</v>
      </c>
      <c r="J260" s="34" t="s">
        <v>45</v>
      </c>
      <c r="K260" s="126">
        <v>468.89</v>
      </c>
      <c r="L260" s="126">
        <v>1999</v>
      </c>
      <c r="M260" s="104" t="s">
        <v>1052</v>
      </c>
      <c r="N260" s="265">
        <v>42216</v>
      </c>
      <c r="O260" s="260">
        <v>42216</v>
      </c>
      <c r="P260" s="106" t="s">
        <v>183</v>
      </c>
      <c r="Q260" s="107" t="s">
        <v>1053</v>
      </c>
      <c r="R260" s="244"/>
      <c r="S260" s="37">
        <v>0</v>
      </c>
      <c r="T260" s="36" t="str">
        <f t="shared" ca="1" si="22"/>
        <v>Empty</v>
      </c>
      <c r="U260" s="37" t="s">
        <v>1046</v>
      </c>
      <c r="V260" s="37"/>
      <c r="W260" s="38"/>
      <c r="X260" s="39"/>
      <c r="Y260" s="39"/>
      <c r="Z260" s="40"/>
      <c r="AA260" s="41" t="str">
        <f t="shared" ca="1" si="23"/>
        <v/>
      </c>
      <c r="AB260" s="40"/>
      <c r="AC260" s="116"/>
      <c r="AD260" s="116"/>
      <c r="AE260" s="40"/>
      <c r="AF260" s="136" t="str">
        <f t="shared" ca="1" si="21"/>
        <v/>
      </c>
      <c r="AG260" s="127"/>
      <c r="AH260" s="127"/>
      <c r="AI260" s="127"/>
      <c r="AJ260" s="128"/>
      <c r="AK260" s="128"/>
      <c r="AL260" s="129"/>
    </row>
    <row r="261" spans="1:38" ht="24.95" customHeight="1" x14ac:dyDescent="0.25">
      <c r="A261" s="97" t="str">
        <f t="shared" si="20"/>
        <v>15SAM065</v>
      </c>
      <c r="B261" s="173">
        <v>65</v>
      </c>
      <c r="C261" s="97" t="s">
        <v>57</v>
      </c>
      <c r="D261" s="98" t="s">
        <v>40</v>
      </c>
      <c r="E261" s="124" t="s">
        <v>1041</v>
      </c>
      <c r="F261" s="124" t="s">
        <v>1049</v>
      </c>
      <c r="G261" s="251" t="s">
        <v>1050</v>
      </c>
      <c r="H261" s="34" t="s">
        <v>112</v>
      </c>
      <c r="I261" s="126" t="s">
        <v>1054</v>
      </c>
      <c r="J261" s="34" t="s">
        <v>45</v>
      </c>
      <c r="K261" s="126">
        <v>468.89</v>
      </c>
      <c r="L261" s="126">
        <v>1999</v>
      </c>
      <c r="M261" s="104" t="s">
        <v>1052</v>
      </c>
      <c r="N261" s="265">
        <v>42216</v>
      </c>
      <c r="O261" s="260">
        <v>42221</v>
      </c>
      <c r="P261" s="106" t="s">
        <v>183</v>
      </c>
      <c r="Q261" s="107" t="s">
        <v>1053</v>
      </c>
      <c r="R261" s="244"/>
      <c r="S261" s="37">
        <v>0</v>
      </c>
      <c r="T261" s="36" t="str">
        <f t="shared" ca="1" si="22"/>
        <v>Empty</v>
      </c>
      <c r="U261" s="37" t="s">
        <v>1046</v>
      </c>
      <c r="V261" s="37"/>
      <c r="W261" s="38"/>
      <c r="X261" s="39"/>
      <c r="Y261" s="39"/>
      <c r="Z261" s="40"/>
      <c r="AA261" s="41" t="str">
        <f t="shared" ca="1" si="23"/>
        <v/>
      </c>
      <c r="AB261" s="40"/>
      <c r="AC261" s="116"/>
      <c r="AD261" s="116"/>
      <c r="AE261" s="40"/>
      <c r="AF261" s="136" t="str">
        <f t="shared" ca="1" si="21"/>
        <v/>
      </c>
      <c r="AG261" s="127"/>
      <c r="AH261" s="127"/>
      <c r="AI261" s="127"/>
      <c r="AJ261" s="128"/>
      <c r="AK261" s="128"/>
      <c r="AL261" s="129"/>
    </row>
    <row r="262" spans="1:38" ht="24.95" customHeight="1" x14ac:dyDescent="0.25">
      <c r="A262" s="97" t="str">
        <f t="shared" ref="A262:A295" si="24">IF(C262="","",CONCATENATE(15,MID(C262,1,3),IF(B262&lt;10,"00",0),B262))</f>
        <v>15SAM066</v>
      </c>
      <c r="B262" s="172">
        <v>66</v>
      </c>
      <c r="C262" s="97" t="s">
        <v>57</v>
      </c>
      <c r="D262" s="98" t="s">
        <v>40</v>
      </c>
      <c r="E262" s="124" t="s">
        <v>230</v>
      </c>
      <c r="F262" s="124" t="s">
        <v>1070</v>
      </c>
      <c r="G262" s="251"/>
      <c r="H262" s="34" t="s">
        <v>60</v>
      </c>
      <c r="I262" s="126"/>
      <c r="J262" s="34" t="s">
        <v>45</v>
      </c>
      <c r="K262" s="126">
        <v>385.54300000000001</v>
      </c>
      <c r="L262" s="126">
        <v>210012953</v>
      </c>
      <c r="M262" s="104"/>
      <c r="N262" s="265">
        <v>42216</v>
      </c>
      <c r="O262" s="260">
        <v>42222</v>
      </c>
      <c r="P262" s="106" t="s">
        <v>1055</v>
      </c>
      <c r="Q262" s="107" t="s">
        <v>1056</v>
      </c>
      <c r="R262" s="244"/>
      <c r="S262" s="37">
        <v>0</v>
      </c>
      <c r="T262" s="36" t="str">
        <f t="shared" ca="1" si="22"/>
        <v>Empty</v>
      </c>
      <c r="U262" s="37" t="s">
        <v>1057</v>
      </c>
      <c r="V262" s="37"/>
      <c r="W262" s="38"/>
      <c r="X262" s="39"/>
      <c r="Y262" s="39"/>
      <c r="Z262" s="40"/>
      <c r="AA262" s="41" t="str">
        <f t="shared" ca="1" si="23"/>
        <v/>
      </c>
      <c r="AB262" s="40"/>
      <c r="AC262" s="116"/>
      <c r="AD262" s="116"/>
      <c r="AE262" s="40"/>
      <c r="AF262" s="136" t="str">
        <f t="shared" ca="1" si="21"/>
        <v/>
      </c>
      <c r="AG262" s="127"/>
      <c r="AH262" s="127"/>
      <c r="AI262" s="127"/>
      <c r="AJ262" s="128"/>
      <c r="AK262" s="128"/>
      <c r="AL262" s="129"/>
    </row>
    <row r="263" spans="1:38" ht="24.95" customHeight="1" x14ac:dyDescent="0.25">
      <c r="A263" s="97" t="str">
        <f t="shared" si="24"/>
        <v>15SAM067</v>
      </c>
      <c r="B263" s="172">
        <v>67</v>
      </c>
      <c r="C263" s="97" t="s">
        <v>57</v>
      </c>
      <c r="D263" s="98" t="s">
        <v>40</v>
      </c>
      <c r="E263" s="124" t="s">
        <v>750</v>
      </c>
      <c r="F263" s="124" t="s">
        <v>751</v>
      </c>
      <c r="G263" s="251" t="s">
        <v>752</v>
      </c>
      <c r="H263" s="34" t="s">
        <v>330</v>
      </c>
      <c r="I263" s="126" t="s">
        <v>753</v>
      </c>
      <c r="J263" s="34" t="s">
        <v>45</v>
      </c>
      <c r="K263" s="126">
        <v>415.96</v>
      </c>
      <c r="L263" s="126" t="s">
        <v>754</v>
      </c>
      <c r="M263" s="104" t="s">
        <v>755</v>
      </c>
      <c r="N263" s="265">
        <v>42220</v>
      </c>
      <c r="O263" s="260">
        <v>42162</v>
      </c>
      <c r="P263" s="106" t="s">
        <v>86</v>
      </c>
      <c r="Q263" s="107" t="s">
        <v>1058</v>
      </c>
      <c r="R263" s="244"/>
      <c r="S263" s="37">
        <v>0</v>
      </c>
      <c r="T263" s="36" t="str">
        <f t="shared" ca="1" si="22"/>
        <v>Empty</v>
      </c>
      <c r="U263" s="37" t="s">
        <v>1059</v>
      </c>
      <c r="V263" s="37"/>
      <c r="W263" s="38"/>
      <c r="X263" s="39"/>
      <c r="Y263" s="39"/>
      <c r="Z263" s="40"/>
      <c r="AA263" s="41" t="str">
        <f t="shared" ca="1" si="23"/>
        <v/>
      </c>
      <c r="AB263" s="40"/>
      <c r="AC263" s="116"/>
      <c r="AD263" s="116"/>
      <c r="AE263" s="40"/>
      <c r="AF263" s="136" t="str">
        <f t="shared" ca="1" si="21"/>
        <v/>
      </c>
      <c r="AG263" s="127"/>
      <c r="AH263" s="127"/>
      <c r="AI263" s="127"/>
      <c r="AJ263" s="128"/>
      <c r="AK263" s="128"/>
      <c r="AL263" s="129"/>
    </row>
    <row r="264" spans="1:38" ht="24.95" customHeight="1" x14ac:dyDescent="0.25">
      <c r="A264" s="97" t="str">
        <f t="shared" si="24"/>
        <v>15SAM068</v>
      </c>
      <c r="B264" s="173">
        <v>68</v>
      </c>
      <c r="C264" s="97" t="s">
        <v>57</v>
      </c>
      <c r="D264" s="98" t="s">
        <v>170</v>
      </c>
      <c r="E264" s="124" t="s">
        <v>739</v>
      </c>
      <c r="F264" s="124" t="s">
        <v>740</v>
      </c>
      <c r="G264" s="251" t="s">
        <v>741</v>
      </c>
      <c r="H264" s="34" t="s">
        <v>112</v>
      </c>
      <c r="I264" s="126" t="s">
        <v>742</v>
      </c>
      <c r="J264" s="47" t="s">
        <v>45</v>
      </c>
      <c r="K264" s="126">
        <v>498.44</v>
      </c>
      <c r="L264" s="126">
        <v>3546</v>
      </c>
      <c r="M264" s="104" t="s">
        <v>47</v>
      </c>
      <c r="N264" s="265">
        <v>42215</v>
      </c>
      <c r="O264" s="260">
        <v>42236</v>
      </c>
      <c r="P264" s="106" t="s">
        <v>183</v>
      </c>
      <c r="Q264" s="107" t="s">
        <v>510</v>
      </c>
      <c r="R264" s="244"/>
      <c r="S264" s="37">
        <f>50-9.4-3.65-2.58-1.79-1.12-1.61</f>
        <v>29.850000000000005</v>
      </c>
      <c r="T264" s="36">
        <f t="shared" ca="1" si="22"/>
        <v>1124</v>
      </c>
      <c r="U264" s="37" t="s">
        <v>743</v>
      </c>
      <c r="V264" s="37"/>
      <c r="W264" s="38">
        <v>43039</v>
      </c>
      <c r="X264" s="39" t="s">
        <v>50</v>
      </c>
      <c r="Y264" s="39" t="s">
        <v>1217</v>
      </c>
      <c r="Z264" s="40" t="s">
        <v>49</v>
      </c>
      <c r="AA264" s="41">
        <f t="shared" ca="1" si="23"/>
        <v>334</v>
      </c>
      <c r="AB264" s="40"/>
      <c r="AC264" s="116"/>
      <c r="AD264" s="116"/>
      <c r="AE264" s="40"/>
      <c r="AF264" s="136" t="str">
        <f t="shared" ca="1" si="21"/>
        <v/>
      </c>
      <c r="AG264" s="127"/>
      <c r="AH264" s="127"/>
      <c r="AI264" s="127"/>
      <c r="AJ264" s="128"/>
      <c r="AK264" s="128"/>
      <c r="AL264" s="129"/>
    </row>
    <row r="265" spans="1:38" ht="24.95" customHeight="1" x14ac:dyDescent="0.25">
      <c r="A265" s="97" t="str">
        <f t="shared" si="24"/>
        <v>15SAM069</v>
      </c>
      <c r="B265" s="172">
        <v>69</v>
      </c>
      <c r="C265" s="97" t="s">
        <v>57</v>
      </c>
      <c r="D265" s="98" t="s">
        <v>170</v>
      </c>
      <c r="E265" s="124" t="s">
        <v>739</v>
      </c>
      <c r="F265" s="124" t="s">
        <v>758</v>
      </c>
      <c r="G265" s="251" t="s">
        <v>759</v>
      </c>
      <c r="H265" s="34" t="s">
        <v>112</v>
      </c>
      <c r="I265" s="126" t="s">
        <v>760</v>
      </c>
      <c r="J265" s="47" t="s">
        <v>45</v>
      </c>
      <c r="K265" s="126">
        <v>472.39</v>
      </c>
      <c r="L265" s="105" t="s">
        <v>761</v>
      </c>
      <c r="M265" s="104" t="s">
        <v>762</v>
      </c>
      <c r="N265" s="265">
        <v>42215</v>
      </c>
      <c r="O265" s="260">
        <v>42236</v>
      </c>
      <c r="P265" s="106" t="s">
        <v>86</v>
      </c>
      <c r="Q265" s="107" t="s">
        <v>212</v>
      </c>
      <c r="R265" s="244"/>
      <c r="S265" s="37">
        <v>0</v>
      </c>
      <c r="T265" s="36" t="str">
        <f t="shared" ca="1" si="22"/>
        <v>Empty</v>
      </c>
      <c r="U265" s="37" t="s">
        <v>743</v>
      </c>
      <c r="V265" s="37"/>
      <c r="W265" s="38">
        <v>42986</v>
      </c>
      <c r="X265" s="39" t="s">
        <v>50</v>
      </c>
      <c r="Y265" s="39" t="s">
        <v>2515</v>
      </c>
      <c r="Z265" s="40" t="s">
        <v>49</v>
      </c>
      <c r="AA265" s="41">
        <f t="shared" ca="1" si="23"/>
        <v>386</v>
      </c>
      <c r="AB265" s="40"/>
      <c r="AC265" s="116"/>
      <c r="AD265" s="116"/>
      <c r="AE265" s="40"/>
      <c r="AF265" s="136" t="str">
        <f t="shared" ca="1" si="21"/>
        <v/>
      </c>
      <c r="AG265" s="127"/>
      <c r="AH265" s="127"/>
      <c r="AI265" s="127"/>
      <c r="AJ265" s="128"/>
      <c r="AK265" s="128"/>
      <c r="AL265" s="129"/>
    </row>
    <row r="266" spans="1:38" ht="24.95" customHeight="1" x14ac:dyDescent="0.25">
      <c r="A266" s="133" t="str">
        <f t="shared" si="24"/>
        <v>15REF070</v>
      </c>
      <c r="B266" s="185">
        <v>70</v>
      </c>
      <c r="C266" s="133" t="s">
        <v>39</v>
      </c>
      <c r="D266" s="134" t="s">
        <v>744</v>
      </c>
      <c r="E266" s="124" t="s">
        <v>41</v>
      </c>
      <c r="F266" s="124" t="s">
        <v>745</v>
      </c>
      <c r="G266" s="251"/>
      <c r="H266" s="34" t="s">
        <v>43</v>
      </c>
      <c r="I266" s="126" t="s">
        <v>746</v>
      </c>
      <c r="J266" s="47" t="s">
        <v>45</v>
      </c>
      <c r="K266" s="126">
        <v>758.83</v>
      </c>
      <c r="L266" s="126" t="s">
        <v>747</v>
      </c>
      <c r="M266" s="104" t="s">
        <v>748</v>
      </c>
      <c r="N266" s="265">
        <v>42236</v>
      </c>
      <c r="O266" s="260">
        <v>42528</v>
      </c>
      <c r="P266" s="106" t="s">
        <v>183</v>
      </c>
      <c r="Q266" s="107" t="s">
        <v>749</v>
      </c>
      <c r="R266" s="244"/>
      <c r="S266" s="37">
        <v>0</v>
      </c>
      <c r="T266" s="36" t="str">
        <f t="shared" ca="1" si="22"/>
        <v>Empty</v>
      </c>
      <c r="U266" s="37" t="s">
        <v>1509</v>
      </c>
      <c r="V266" s="37"/>
      <c r="W266" s="38"/>
      <c r="X266" s="39"/>
      <c r="Y266" s="39"/>
      <c r="Z266" s="40"/>
      <c r="AA266" s="41"/>
      <c r="AB266" s="40"/>
      <c r="AC266" s="116"/>
      <c r="AD266" s="116"/>
      <c r="AE266" s="40"/>
      <c r="AF266" s="136" t="str">
        <f t="shared" ca="1" si="21"/>
        <v/>
      </c>
      <c r="AG266" s="127"/>
      <c r="AH266" s="127"/>
      <c r="AI266" s="127"/>
      <c r="AJ266" s="128"/>
      <c r="AK266" s="128"/>
      <c r="AL266" s="129"/>
    </row>
    <row r="267" spans="1:38" ht="24.95" customHeight="1" x14ac:dyDescent="0.25">
      <c r="A267" s="97" t="str">
        <f t="shared" si="24"/>
        <v>15SAM071</v>
      </c>
      <c r="B267" s="173">
        <v>71</v>
      </c>
      <c r="C267" s="97" t="s">
        <v>57</v>
      </c>
      <c r="D267" s="98" t="s">
        <v>40</v>
      </c>
      <c r="E267" s="124" t="s">
        <v>750</v>
      </c>
      <c r="F267" s="124" t="s">
        <v>751</v>
      </c>
      <c r="G267" s="251" t="s">
        <v>752</v>
      </c>
      <c r="H267" s="34" t="s">
        <v>330</v>
      </c>
      <c r="I267" s="126" t="s">
        <v>753</v>
      </c>
      <c r="J267" s="47" t="s">
        <v>45</v>
      </c>
      <c r="K267" s="126">
        <v>415.96</v>
      </c>
      <c r="L267" s="126" t="s">
        <v>754</v>
      </c>
      <c r="M267" s="104" t="s">
        <v>755</v>
      </c>
      <c r="N267" s="265">
        <v>42237</v>
      </c>
      <c r="O267" s="260">
        <v>42241</v>
      </c>
      <c r="P267" s="106" t="s">
        <v>183</v>
      </c>
      <c r="Q267" s="107" t="s">
        <v>756</v>
      </c>
      <c r="R267" s="244"/>
      <c r="S267" s="37">
        <f>50-14.1-7.69-13</f>
        <v>15.209999999999997</v>
      </c>
      <c r="T267" s="36">
        <f t="shared" ca="1" si="22"/>
        <v>1119</v>
      </c>
      <c r="U267" s="37" t="s">
        <v>757</v>
      </c>
      <c r="V267" s="37"/>
      <c r="W267" s="38"/>
      <c r="X267" s="39"/>
      <c r="Y267" s="39"/>
      <c r="Z267" s="40"/>
      <c r="AA267" s="41" t="str">
        <f t="shared" ca="1" si="23"/>
        <v/>
      </c>
      <c r="AB267" s="40"/>
      <c r="AC267" s="116"/>
      <c r="AD267" s="116"/>
      <c r="AE267" s="40"/>
      <c r="AF267" s="136" t="str">
        <f t="shared" ca="1" si="21"/>
        <v/>
      </c>
      <c r="AG267" s="127"/>
      <c r="AH267" s="127"/>
      <c r="AI267" s="127"/>
      <c r="AJ267" s="128"/>
      <c r="AK267" s="128"/>
      <c r="AL267" s="129"/>
    </row>
    <row r="268" spans="1:38" ht="24.95" customHeight="1" x14ac:dyDescent="0.25">
      <c r="A268" s="97" t="str">
        <f t="shared" si="24"/>
        <v>15SAM072</v>
      </c>
      <c r="B268" s="172">
        <v>72</v>
      </c>
      <c r="C268" s="97" t="s">
        <v>57</v>
      </c>
      <c r="D268" s="98" t="s">
        <v>170</v>
      </c>
      <c r="E268" s="124" t="s">
        <v>739</v>
      </c>
      <c r="F268" s="124" t="s">
        <v>758</v>
      </c>
      <c r="G268" s="251" t="s">
        <v>759</v>
      </c>
      <c r="H268" s="34" t="s">
        <v>112</v>
      </c>
      <c r="I268" s="126" t="s">
        <v>760</v>
      </c>
      <c r="J268" s="47" t="s">
        <v>45</v>
      </c>
      <c r="K268" s="126">
        <v>472.39</v>
      </c>
      <c r="L268" s="132" t="s">
        <v>761</v>
      </c>
      <c r="M268" s="104" t="s">
        <v>762</v>
      </c>
      <c r="N268" s="265">
        <v>42237</v>
      </c>
      <c r="O268" s="260"/>
      <c r="P268" s="106" t="s">
        <v>86</v>
      </c>
      <c r="Q268" s="107" t="s">
        <v>212</v>
      </c>
      <c r="R268" s="244"/>
      <c r="S268" s="37"/>
      <c r="T268" s="36" t="str">
        <f t="shared" ca="1" si="22"/>
        <v/>
      </c>
      <c r="U268" s="37"/>
      <c r="V268" s="37"/>
      <c r="W268" s="38"/>
      <c r="X268" s="39"/>
      <c r="Y268" s="39"/>
      <c r="Z268" s="40"/>
      <c r="AA268" s="41" t="str">
        <f t="shared" ca="1" si="23"/>
        <v/>
      </c>
      <c r="AB268" s="40"/>
      <c r="AC268" s="116"/>
      <c r="AD268" s="116"/>
      <c r="AE268" s="40"/>
      <c r="AF268" s="136" t="str">
        <f t="shared" ca="1" si="21"/>
        <v/>
      </c>
      <c r="AG268" s="127"/>
      <c r="AH268" s="127"/>
      <c r="AI268" s="127"/>
      <c r="AJ268" s="128"/>
      <c r="AK268" s="128"/>
      <c r="AL268" s="129"/>
    </row>
    <row r="269" spans="1:38" ht="24.95" customHeight="1" x14ac:dyDescent="0.25">
      <c r="A269" s="97" t="str">
        <f t="shared" si="24"/>
        <v>15SAM073</v>
      </c>
      <c r="B269" s="172">
        <v>73</v>
      </c>
      <c r="C269" s="97" t="s">
        <v>57</v>
      </c>
      <c r="D269" s="98" t="s">
        <v>40</v>
      </c>
      <c r="E269" s="124" t="s">
        <v>230</v>
      </c>
      <c r="F269" s="124" t="s">
        <v>1060</v>
      </c>
      <c r="G269" s="251"/>
      <c r="H269" s="34" t="s">
        <v>60</v>
      </c>
      <c r="I269" s="126">
        <v>210012983</v>
      </c>
      <c r="J269" s="47" t="s">
        <v>45</v>
      </c>
      <c r="K269" s="126">
        <v>423</v>
      </c>
      <c r="L269" s="132" t="s">
        <v>61</v>
      </c>
      <c r="M269" s="105" t="s">
        <v>61</v>
      </c>
      <c r="N269" s="265">
        <v>42240</v>
      </c>
      <c r="O269" s="260">
        <v>42242</v>
      </c>
      <c r="P269" s="106" t="s">
        <v>891</v>
      </c>
      <c r="Q269" s="138" t="s">
        <v>1061</v>
      </c>
      <c r="R269" s="246"/>
      <c r="S269" s="37">
        <v>0</v>
      </c>
      <c r="T269" s="36" t="str">
        <f t="shared" ca="1" si="22"/>
        <v>Empty</v>
      </c>
      <c r="U269" s="37" t="s">
        <v>1062</v>
      </c>
      <c r="V269" s="37"/>
      <c r="W269" s="38"/>
      <c r="X269" s="39"/>
      <c r="Y269" s="39"/>
      <c r="Z269" s="40"/>
      <c r="AA269" s="41" t="str">
        <f t="shared" ca="1" si="23"/>
        <v/>
      </c>
      <c r="AB269" s="40"/>
      <c r="AC269" s="116"/>
      <c r="AD269" s="116"/>
      <c r="AE269" s="40"/>
      <c r="AF269" s="136" t="str">
        <f t="shared" ca="1" si="21"/>
        <v/>
      </c>
      <c r="AG269" s="127"/>
      <c r="AH269" s="127"/>
      <c r="AI269" s="127"/>
      <c r="AJ269" s="128"/>
      <c r="AK269" s="128"/>
      <c r="AL269" s="129"/>
    </row>
    <row r="270" spans="1:38" ht="24.95" customHeight="1" x14ac:dyDescent="0.25">
      <c r="A270" s="97" t="str">
        <f t="shared" si="24"/>
        <v>15SAM074</v>
      </c>
      <c r="B270" s="173">
        <v>74</v>
      </c>
      <c r="C270" s="97" t="s">
        <v>57</v>
      </c>
      <c r="D270" s="98" t="s">
        <v>40</v>
      </c>
      <c r="E270" s="124" t="s">
        <v>230</v>
      </c>
      <c r="F270" s="124" t="s">
        <v>1063</v>
      </c>
      <c r="G270" s="251"/>
      <c r="H270" s="34" t="s">
        <v>60</v>
      </c>
      <c r="I270" s="126">
        <v>210012984</v>
      </c>
      <c r="J270" s="47" t="s">
        <v>45</v>
      </c>
      <c r="K270" s="126">
        <v>414</v>
      </c>
      <c r="L270" s="149" t="s">
        <v>61</v>
      </c>
      <c r="M270" s="186" t="s">
        <v>61</v>
      </c>
      <c r="N270" s="265">
        <v>42240</v>
      </c>
      <c r="O270" s="260">
        <v>42242</v>
      </c>
      <c r="P270" s="106" t="s">
        <v>891</v>
      </c>
      <c r="Q270" s="138" t="s">
        <v>1061</v>
      </c>
      <c r="R270" s="246"/>
      <c r="S270" s="37">
        <v>0</v>
      </c>
      <c r="T270" s="36" t="str">
        <f t="shared" ca="1" si="22"/>
        <v>Empty</v>
      </c>
      <c r="U270" s="37" t="s">
        <v>1062</v>
      </c>
      <c r="V270" s="37"/>
      <c r="W270" s="38"/>
      <c r="X270" s="39"/>
      <c r="Y270" s="39"/>
      <c r="Z270" s="40"/>
      <c r="AA270" s="41" t="str">
        <f t="shared" ca="1" si="23"/>
        <v/>
      </c>
      <c r="AB270" s="40"/>
      <c r="AC270" s="116"/>
      <c r="AD270" s="116"/>
      <c r="AE270" s="40"/>
      <c r="AF270" s="136" t="str">
        <f t="shared" ref="AF270:AF333" ca="1" si="25">IF(AB270="","",IF(AB270,DAYS360(AB270,TODAY())))</f>
        <v/>
      </c>
      <c r="AG270" s="127"/>
      <c r="AH270" s="127"/>
      <c r="AI270" s="127"/>
      <c r="AJ270" s="128"/>
      <c r="AK270" s="128"/>
      <c r="AL270" s="129"/>
    </row>
    <row r="271" spans="1:38" ht="24.95" customHeight="1" x14ac:dyDescent="0.25">
      <c r="A271" s="97" t="str">
        <f t="shared" si="24"/>
        <v>15SAM075</v>
      </c>
      <c r="B271" s="172">
        <v>75</v>
      </c>
      <c r="C271" s="97" t="s">
        <v>57</v>
      </c>
      <c r="D271" s="98" t="s">
        <v>40</v>
      </c>
      <c r="E271" s="124" t="s">
        <v>230</v>
      </c>
      <c r="F271" s="124" t="s">
        <v>1064</v>
      </c>
      <c r="G271" s="251"/>
      <c r="H271" s="34" t="s">
        <v>60</v>
      </c>
      <c r="I271" s="126">
        <v>210012985</v>
      </c>
      <c r="J271" s="47" t="s">
        <v>45</v>
      </c>
      <c r="K271" s="126">
        <v>430.58</v>
      </c>
      <c r="L271" s="149" t="s">
        <v>61</v>
      </c>
      <c r="M271" s="186" t="s">
        <v>61</v>
      </c>
      <c r="N271" s="265">
        <v>42240</v>
      </c>
      <c r="O271" s="260">
        <v>42242</v>
      </c>
      <c r="P271" s="106" t="s">
        <v>891</v>
      </c>
      <c r="Q271" s="138" t="s">
        <v>1061</v>
      </c>
      <c r="R271" s="246"/>
      <c r="S271" s="37">
        <v>0</v>
      </c>
      <c r="T271" s="36" t="str">
        <f t="shared" ca="1" si="22"/>
        <v>Empty</v>
      </c>
      <c r="U271" s="37" t="s">
        <v>1062</v>
      </c>
      <c r="V271" s="37"/>
      <c r="W271" s="38"/>
      <c r="X271" s="39"/>
      <c r="Y271" s="39"/>
      <c r="Z271" s="40"/>
      <c r="AA271" s="41" t="str">
        <f t="shared" ca="1" si="23"/>
        <v/>
      </c>
      <c r="AB271" s="40"/>
      <c r="AC271" s="116"/>
      <c r="AD271" s="116"/>
      <c r="AE271" s="40"/>
      <c r="AF271" s="136" t="str">
        <f t="shared" ca="1" si="25"/>
        <v/>
      </c>
      <c r="AG271" s="127"/>
      <c r="AH271" s="127"/>
      <c r="AI271" s="127"/>
      <c r="AJ271" s="128"/>
      <c r="AK271" s="128"/>
      <c r="AL271" s="129"/>
    </row>
    <row r="272" spans="1:38" ht="24.95" customHeight="1" x14ac:dyDescent="0.25">
      <c r="A272" s="97" t="str">
        <f t="shared" si="24"/>
        <v>15SAM076</v>
      </c>
      <c r="B272" s="172">
        <v>76</v>
      </c>
      <c r="C272" s="97" t="s">
        <v>57</v>
      </c>
      <c r="D272" s="98" t="s">
        <v>40</v>
      </c>
      <c r="E272" s="124" t="s">
        <v>230</v>
      </c>
      <c r="F272" s="124" t="s">
        <v>1065</v>
      </c>
      <c r="G272" s="251"/>
      <c r="H272" s="34" t="s">
        <v>60</v>
      </c>
      <c r="I272" s="126">
        <v>210012986</v>
      </c>
      <c r="J272" s="47" t="s">
        <v>45</v>
      </c>
      <c r="K272" s="126">
        <v>400.56</v>
      </c>
      <c r="L272" s="149" t="s">
        <v>61</v>
      </c>
      <c r="M272" s="186" t="s">
        <v>61</v>
      </c>
      <c r="N272" s="265">
        <v>42240</v>
      </c>
      <c r="O272" s="260">
        <v>42242</v>
      </c>
      <c r="P272" s="106" t="s">
        <v>1066</v>
      </c>
      <c r="Q272" s="138" t="s">
        <v>1061</v>
      </c>
      <c r="R272" s="246"/>
      <c r="S272" s="37">
        <v>0</v>
      </c>
      <c r="T272" s="36" t="str">
        <f t="shared" ca="1" si="22"/>
        <v>Empty</v>
      </c>
      <c r="U272" s="37" t="s">
        <v>1062</v>
      </c>
      <c r="V272" s="37"/>
      <c r="W272" s="38"/>
      <c r="X272" s="39"/>
      <c r="Y272" s="39"/>
      <c r="Z272" s="40"/>
      <c r="AA272" s="41" t="str">
        <f t="shared" ca="1" si="23"/>
        <v/>
      </c>
      <c r="AB272" s="40"/>
      <c r="AC272" s="116"/>
      <c r="AD272" s="116"/>
      <c r="AE272" s="40"/>
      <c r="AF272" s="136" t="str">
        <f t="shared" ca="1" si="25"/>
        <v/>
      </c>
      <c r="AG272" s="127"/>
      <c r="AH272" s="127"/>
      <c r="AI272" s="127"/>
      <c r="AJ272" s="128"/>
      <c r="AK272" s="128"/>
      <c r="AL272" s="129"/>
    </row>
    <row r="273" spans="1:38" ht="24.95" customHeight="1" x14ac:dyDescent="0.25">
      <c r="A273" s="97" t="str">
        <f t="shared" si="24"/>
        <v>15SAM077</v>
      </c>
      <c r="B273" s="173">
        <v>77</v>
      </c>
      <c r="C273" s="97" t="s">
        <v>57</v>
      </c>
      <c r="D273" s="98" t="s">
        <v>170</v>
      </c>
      <c r="E273" s="124" t="s">
        <v>739</v>
      </c>
      <c r="F273" s="124" t="s">
        <v>1067</v>
      </c>
      <c r="G273" s="251"/>
      <c r="H273" s="34" t="s">
        <v>60</v>
      </c>
      <c r="I273" s="132" t="s">
        <v>1068</v>
      </c>
      <c r="J273" s="34" t="s">
        <v>45</v>
      </c>
      <c r="K273" s="126">
        <v>322.36</v>
      </c>
      <c r="L273" s="149" t="s">
        <v>61</v>
      </c>
      <c r="M273" s="186" t="s">
        <v>61</v>
      </c>
      <c r="N273" s="265">
        <v>42249</v>
      </c>
      <c r="O273" s="260">
        <v>42263</v>
      </c>
      <c r="P273" s="106" t="s">
        <v>1069</v>
      </c>
      <c r="Q273" s="107" t="s">
        <v>212</v>
      </c>
      <c r="R273" s="244"/>
      <c r="S273" s="37">
        <v>0</v>
      </c>
      <c r="T273" s="36" t="str">
        <f t="shared" ca="1" si="22"/>
        <v>Empty</v>
      </c>
      <c r="U273" s="37"/>
      <c r="V273" s="37"/>
      <c r="W273" s="38"/>
      <c r="X273" s="39"/>
      <c r="Y273" s="39"/>
      <c r="Z273" s="40"/>
      <c r="AA273" s="41" t="str">
        <f t="shared" ca="1" si="23"/>
        <v/>
      </c>
      <c r="AB273" s="40"/>
      <c r="AC273" s="116"/>
      <c r="AD273" s="116"/>
      <c r="AE273" s="40"/>
      <c r="AF273" s="136" t="str">
        <f t="shared" ca="1" si="25"/>
        <v/>
      </c>
      <c r="AG273" s="127"/>
      <c r="AH273" s="127"/>
      <c r="AI273" s="127"/>
      <c r="AJ273" s="128"/>
      <c r="AK273" s="128"/>
      <c r="AL273" s="129"/>
    </row>
    <row r="274" spans="1:38" ht="30" customHeight="1" x14ac:dyDescent="0.25">
      <c r="A274" s="114" t="str">
        <f t="shared" si="24"/>
        <v>15REF078</v>
      </c>
      <c r="B274" s="174">
        <v>78</v>
      </c>
      <c r="C274" s="114" t="s">
        <v>39</v>
      </c>
      <c r="D274" s="115" t="s">
        <v>744</v>
      </c>
      <c r="E274" s="124" t="s">
        <v>41</v>
      </c>
      <c r="F274" s="124" t="s">
        <v>694</v>
      </c>
      <c r="G274" s="251"/>
      <c r="H274" s="34" t="s">
        <v>43</v>
      </c>
      <c r="I274" s="126" t="s">
        <v>695</v>
      </c>
      <c r="J274" s="47" t="s">
        <v>180</v>
      </c>
      <c r="K274" s="126">
        <v>212.68</v>
      </c>
      <c r="L274" s="126" t="s">
        <v>696</v>
      </c>
      <c r="M274" s="104" t="s">
        <v>697</v>
      </c>
      <c r="N274" s="265">
        <v>42250</v>
      </c>
      <c r="O274" s="260">
        <v>42257</v>
      </c>
      <c r="P274" s="106" t="s">
        <v>124</v>
      </c>
      <c r="Q274" s="107" t="s">
        <v>777</v>
      </c>
      <c r="R274" s="244"/>
      <c r="S274" s="37">
        <v>0</v>
      </c>
      <c r="T274" s="36" t="str">
        <f t="shared" ca="1" si="22"/>
        <v>Empty</v>
      </c>
      <c r="U274" s="37" t="s">
        <v>778</v>
      </c>
      <c r="V274" s="95" t="s">
        <v>573</v>
      </c>
      <c r="W274" s="38"/>
      <c r="X274" s="39"/>
      <c r="Y274" s="39"/>
      <c r="Z274" s="40"/>
      <c r="AA274" s="41" t="str">
        <f t="shared" ca="1" si="23"/>
        <v/>
      </c>
      <c r="AB274" s="40"/>
      <c r="AC274" s="116"/>
      <c r="AD274" s="116"/>
      <c r="AE274" s="40"/>
      <c r="AF274" s="136" t="str">
        <f t="shared" ca="1" si="25"/>
        <v/>
      </c>
      <c r="AG274" s="127"/>
      <c r="AH274" s="127"/>
      <c r="AI274" s="127"/>
      <c r="AJ274" s="128"/>
      <c r="AK274" s="128"/>
      <c r="AL274" s="129"/>
    </row>
    <row r="275" spans="1:38" ht="24.95" customHeight="1" x14ac:dyDescent="0.25">
      <c r="A275" s="114" t="str">
        <f t="shared" si="24"/>
        <v>15REF079</v>
      </c>
      <c r="B275" s="174">
        <v>79</v>
      </c>
      <c r="C275" s="114" t="s">
        <v>39</v>
      </c>
      <c r="D275" s="115" t="s">
        <v>170</v>
      </c>
      <c r="E275" s="124" t="s">
        <v>41</v>
      </c>
      <c r="F275" s="124" t="s">
        <v>723</v>
      </c>
      <c r="G275" s="251" t="s">
        <v>724</v>
      </c>
      <c r="H275" s="34" t="s">
        <v>43</v>
      </c>
      <c r="I275" s="126" t="s">
        <v>725</v>
      </c>
      <c r="J275" s="34" t="s">
        <v>45</v>
      </c>
      <c r="K275" s="126">
        <v>94.11</v>
      </c>
      <c r="L275" s="126">
        <v>275875</v>
      </c>
      <c r="M275" s="104" t="s">
        <v>726</v>
      </c>
      <c r="N275" s="265">
        <v>42251</v>
      </c>
      <c r="O275" s="260">
        <v>42617</v>
      </c>
      <c r="P275" s="106" t="s">
        <v>721</v>
      </c>
      <c r="Q275" s="107" t="s">
        <v>49</v>
      </c>
      <c r="R275" s="244"/>
      <c r="S275" s="37">
        <f>1000-25.4</f>
        <v>974.6</v>
      </c>
      <c r="T275" s="36">
        <f t="shared" ca="1" si="22"/>
        <v>750</v>
      </c>
      <c r="U275" s="37"/>
      <c r="V275" s="37"/>
      <c r="W275" s="38">
        <v>42661</v>
      </c>
      <c r="X275" s="39" t="s">
        <v>728</v>
      </c>
      <c r="Y275" s="39" t="s">
        <v>1428</v>
      </c>
      <c r="Z275" s="40" t="s">
        <v>49</v>
      </c>
      <c r="AA275" s="41">
        <f t="shared" ca="1" si="23"/>
        <v>706</v>
      </c>
      <c r="AB275" s="40"/>
      <c r="AC275" s="116"/>
      <c r="AD275" s="116"/>
      <c r="AE275" s="40"/>
      <c r="AF275" s="136" t="str">
        <f t="shared" ca="1" si="25"/>
        <v/>
      </c>
      <c r="AG275" s="127"/>
      <c r="AH275" s="127"/>
      <c r="AI275" s="127"/>
      <c r="AJ275" s="128"/>
      <c r="AK275" s="128"/>
      <c r="AL275" s="129"/>
    </row>
    <row r="276" spans="1:38" ht="24.95" customHeight="1" x14ac:dyDescent="0.25">
      <c r="A276" s="114" t="str">
        <f t="shared" si="24"/>
        <v>15REF080</v>
      </c>
      <c r="B276" s="175">
        <v>80</v>
      </c>
      <c r="C276" s="114" t="s">
        <v>39</v>
      </c>
      <c r="D276" s="115" t="s">
        <v>170</v>
      </c>
      <c r="E276" s="124" t="s">
        <v>41</v>
      </c>
      <c r="F276" s="124" t="s">
        <v>763</v>
      </c>
      <c r="G276" s="251"/>
      <c r="H276" s="34" t="s">
        <v>43</v>
      </c>
      <c r="I276" s="126" t="s">
        <v>764</v>
      </c>
      <c r="J276" s="34" t="s">
        <v>45</v>
      </c>
      <c r="K276" s="126">
        <v>390.9</v>
      </c>
      <c r="L276" s="126" t="s">
        <v>765</v>
      </c>
      <c r="M276" s="104" t="s">
        <v>766</v>
      </c>
      <c r="N276" s="265">
        <v>42251</v>
      </c>
      <c r="O276" s="260"/>
      <c r="P276" s="106" t="s">
        <v>767</v>
      </c>
      <c r="Q276" s="107" t="s">
        <v>768</v>
      </c>
      <c r="R276" s="244"/>
      <c r="S276" s="37"/>
      <c r="T276" s="36" t="str">
        <f t="shared" ca="1" si="22"/>
        <v/>
      </c>
      <c r="U276" s="37"/>
      <c r="V276" s="37"/>
      <c r="W276" s="38"/>
      <c r="X276" s="39"/>
      <c r="Y276" s="39"/>
      <c r="Z276" s="40"/>
      <c r="AA276" s="41" t="str">
        <f t="shared" ca="1" si="23"/>
        <v/>
      </c>
      <c r="AB276" s="40"/>
      <c r="AC276" s="116"/>
      <c r="AD276" s="116"/>
      <c r="AE276" s="40"/>
      <c r="AF276" s="136" t="str">
        <f t="shared" ca="1" si="25"/>
        <v/>
      </c>
      <c r="AG276" s="127"/>
      <c r="AH276" s="127"/>
      <c r="AI276" s="127"/>
      <c r="AJ276" s="128"/>
      <c r="AK276" s="128"/>
      <c r="AL276" s="129"/>
    </row>
    <row r="277" spans="1:38" ht="24.95" customHeight="1" x14ac:dyDescent="0.25">
      <c r="A277" s="97" t="str">
        <f t="shared" si="24"/>
        <v>15SAM081</v>
      </c>
      <c r="B277" s="172">
        <v>81</v>
      </c>
      <c r="C277" s="97" t="s">
        <v>57</v>
      </c>
      <c r="D277" s="98" t="s">
        <v>40</v>
      </c>
      <c r="E277" s="124" t="s">
        <v>230</v>
      </c>
      <c r="F277" s="124" t="s">
        <v>1070</v>
      </c>
      <c r="G277" s="251"/>
      <c r="H277" s="34" t="s">
        <v>60</v>
      </c>
      <c r="I277" s="126">
        <v>210013038</v>
      </c>
      <c r="J277" s="47" t="s">
        <v>45</v>
      </c>
      <c r="K277" s="126">
        <v>385.54300000000001</v>
      </c>
      <c r="L277" s="132" t="s">
        <v>61</v>
      </c>
      <c r="M277" s="105" t="s">
        <v>61</v>
      </c>
      <c r="N277" s="265">
        <v>42254</v>
      </c>
      <c r="O277" s="260">
        <v>42254</v>
      </c>
      <c r="P277" s="106" t="s">
        <v>86</v>
      </c>
      <c r="Q277" s="138" t="s">
        <v>1061</v>
      </c>
      <c r="R277" s="246"/>
      <c r="S277" s="37">
        <v>0</v>
      </c>
      <c r="T277" s="36" t="str">
        <f t="shared" ca="1" si="22"/>
        <v>Empty</v>
      </c>
      <c r="U277" s="37" t="s">
        <v>1071</v>
      </c>
      <c r="V277" s="37"/>
      <c r="W277" s="38"/>
      <c r="X277" s="39"/>
      <c r="Y277" s="39"/>
      <c r="Z277" s="40"/>
      <c r="AA277" s="41" t="str">
        <f t="shared" ca="1" si="23"/>
        <v/>
      </c>
      <c r="AB277" s="40"/>
      <c r="AC277" s="116"/>
      <c r="AD277" s="116"/>
      <c r="AE277" s="40"/>
      <c r="AF277" s="136" t="str">
        <f t="shared" ca="1" si="25"/>
        <v/>
      </c>
      <c r="AG277" s="127"/>
      <c r="AH277" s="127"/>
      <c r="AI277" s="127"/>
      <c r="AJ277" s="128"/>
      <c r="AK277" s="128"/>
      <c r="AL277" s="129"/>
    </row>
    <row r="278" spans="1:38" ht="24.95" customHeight="1" x14ac:dyDescent="0.25">
      <c r="A278" s="97" t="str">
        <f t="shared" si="24"/>
        <v>15SAM082</v>
      </c>
      <c r="B278" s="172">
        <v>82</v>
      </c>
      <c r="C278" s="97" t="s">
        <v>57</v>
      </c>
      <c r="D278" s="98" t="s">
        <v>40</v>
      </c>
      <c r="E278" s="124" t="s">
        <v>739</v>
      </c>
      <c r="F278" s="135" t="s">
        <v>769</v>
      </c>
      <c r="G278" s="251"/>
      <c r="H278" s="34" t="s">
        <v>60</v>
      </c>
      <c r="I278" s="126" t="s">
        <v>770</v>
      </c>
      <c r="J278" s="47" t="s">
        <v>45</v>
      </c>
      <c r="K278" s="126">
        <v>320.83999999999997</v>
      </c>
      <c r="L278" s="132" t="s">
        <v>61</v>
      </c>
      <c r="M278" s="105" t="s">
        <v>61</v>
      </c>
      <c r="N278" s="265">
        <v>42160</v>
      </c>
      <c r="O278" s="260"/>
      <c r="P278" s="106" t="s">
        <v>771</v>
      </c>
      <c r="Q278" s="107" t="s">
        <v>212</v>
      </c>
      <c r="R278" s="244"/>
      <c r="S278" s="37"/>
      <c r="T278" s="36" t="str">
        <f t="shared" ca="1" si="22"/>
        <v/>
      </c>
      <c r="U278" s="37"/>
      <c r="V278" s="37"/>
      <c r="W278" s="38"/>
      <c r="X278" s="39"/>
      <c r="Y278" s="39"/>
      <c r="Z278" s="40"/>
      <c r="AA278" s="41" t="str">
        <f t="shared" ca="1" si="23"/>
        <v/>
      </c>
      <c r="AB278" s="40"/>
      <c r="AC278" s="116"/>
      <c r="AD278" s="116"/>
      <c r="AE278" s="40"/>
      <c r="AF278" s="136" t="str">
        <f t="shared" ca="1" si="25"/>
        <v/>
      </c>
      <c r="AG278" s="127"/>
      <c r="AH278" s="127"/>
      <c r="AI278" s="127"/>
      <c r="AJ278" s="128"/>
      <c r="AK278" s="128"/>
      <c r="AL278" s="129"/>
    </row>
    <row r="279" spans="1:38" ht="24.95" customHeight="1" x14ac:dyDescent="0.25">
      <c r="A279" s="97" t="str">
        <f t="shared" si="24"/>
        <v>15SAM083</v>
      </c>
      <c r="B279" s="173">
        <v>83</v>
      </c>
      <c r="C279" s="97" t="s">
        <v>57</v>
      </c>
      <c r="D279" s="98" t="s">
        <v>40</v>
      </c>
      <c r="E279" s="124" t="s">
        <v>739</v>
      </c>
      <c r="F279" s="124" t="s">
        <v>772</v>
      </c>
      <c r="G279" s="251"/>
      <c r="H279" s="34" t="s">
        <v>60</v>
      </c>
      <c r="I279" s="126" t="s">
        <v>773</v>
      </c>
      <c r="J279" s="47" t="s">
        <v>45</v>
      </c>
      <c r="K279" s="126">
        <v>320.81</v>
      </c>
      <c r="L279" s="132" t="s">
        <v>61</v>
      </c>
      <c r="M279" s="105" t="s">
        <v>61</v>
      </c>
      <c r="N279" s="265">
        <v>42160</v>
      </c>
      <c r="O279" s="260"/>
      <c r="P279" s="106" t="s">
        <v>774</v>
      </c>
      <c r="Q279" s="107" t="s">
        <v>212</v>
      </c>
      <c r="R279" s="244"/>
      <c r="S279" s="37"/>
      <c r="T279" s="36" t="str">
        <f t="shared" ca="1" si="22"/>
        <v/>
      </c>
      <c r="U279" s="37"/>
      <c r="V279" s="37"/>
      <c r="W279" s="38"/>
      <c r="X279" s="39"/>
      <c r="Y279" s="39"/>
      <c r="Z279" s="40"/>
      <c r="AA279" s="41" t="str">
        <f t="shared" ca="1" si="23"/>
        <v/>
      </c>
      <c r="AB279" s="40"/>
      <c r="AC279" s="116"/>
      <c r="AD279" s="116"/>
      <c r="AE279" s="40"/>
      <c r="AF279" s="136" t="str">
        <f t="shared" ca="1" si="25"/>
        <v/>
      </c>
      <c r="AG279" s="127"/>
      <c r="AH279" s="127"/>
      <c r="AI279" s="127"/>
      <c r="AJ279" s="128"/>
      <c r="AK279" s="128"/>
      <c r="AL279" s="129"/>
    </row>
    <row r="280" spans="1:38" ht="24.95" customHeight="1" x14ac:dyDescent="0.25">
      <c r="A280" s="97" t="str">
        <f t="shared" si="24"/>
        <v>15SAM084</v>
      </c>
      <c r="B280" s="172">
        <v>84</v>
      </c>
      <c r="C280" s="97" t="s">
        <v>57</v>
      </c>
      <c r="D280" s="98" t="s">
        <v>40</v>
      </c>
      <c r="E280" s="124" t="s">
        <v>739</v>
      </c>
      <c r="F280" s="124" t="s">
        <v>1520</v>
      </c>
      <c r="G280" s="251"/>
      <c r="H280" s="34" t="s">
        <v>60</v>
      </c>
      <c r="I280" s="126"/>
      <c r="J280" s="47" t="s">
        <v>45</v>
      </c>
      <c r="K280" s="126"/>
      <c r="L280" s="132" t="s">
        <v>61</v>
      </c>
      <c r="M280" s="105" t="s">
        <v>61</v>
      </c>
      <c r="N280" s="265"/>
      <c r="O280" s="260">
        <v>42151</v>
      </c>
      <c r="P280" s="106"/>
      <c r="Q280" s="107" t="s">
        <v>212</v>
      </c>
      <c r="R280" s="244"/>
      <c r="S280" s="37"/>
      <c r="T280" s="36" t="str">
        <f t="shared" ca="1" si="22"/>
        <v/>
      </c>
      <c r="U280" s="37"/>
      <c r="V280" s="37"/>
      <c r="W280" s="38">
        <v>42151</v>
      </c>
      <c r="X280" s="39" t="s">
        <v>50</v>
      </c>
      <c r="Y280" s="39" t="s">
        <v>775</v>
      </c>
      <c r="Z280" s="40" t="s">
        <v>212</v>
      </c>
      <c r="AA280" s="41">
        <f t="shared" ca="1" si="23"/>
        <v>1207</v>
      </c>
      <c r="AB280" s="40"/>
      <c r="AC280" s="116"/>
      <c r="AD280" s="116"/>
      <c r="AE280" s="40"/>
      <c r="AF280" s="136" t="str">
        <f t="shared" ca="1" si="25"/>
        <v/>
      </c>
      <c r="AG280" s="127"/>
      <c r="AH280" s="127"/>
      <c r="AI280" s="127"/>
      <c r="AJ280" s="128"/>
      <c r="AK280" s="128"/>
      <c r="AL280" s="129"/>
    </row>
    <row r="281" spans="1:38" ht="24.95" customHeight="1" x14ac:dyDescent="0.25">
      <c r="A281" s="97" t="str">
        <f t="shared" si="24"/>
        <v>15SAM085</v>
      </c>
      <c r="B281" s="172">
        <v>85</v>
      </c>
      <c r="C281" s="97" t="s">
        <v>57</v>
      </c>
      <c r="D281" s="98" t="s">
        <v>40</v>
      </c>
      <c r="E281" s="124" t="s">
        <v>739</v>
      </c>
      <c r="F281" s="124" t="s">
        <v>694</v>
      </c>
      <c r="G281" s="251"/>
      <c r="H281" s="34" t="s">
        <v>43</v>
      </c>
      <c r="I281" s="126" t="s">
        <v>695</v>
      </c>
      <c r="J281" s="47" t="s">
        <v>180</v>
      </c>
      <c r="K281" s="126">
        <v>212.68</v>
      </c>
      <c r="L281" s="126" t="s">
        <v>696</v>
      </c>
      <c r="M281" s="104" t="s">
        <v>697</v>
      </c>
      <c r="N281" s="265">
        <v>42258</v>
      </c>
      <c r="O281" s="260">
        <v>42261</v>
      </c>
      <c r="P281" s="106" t="s">
        <v>776</v>
      </c>
      <c r="Q281" s="107" t="s">
        <v>777</v>
      </c>
      <c r="R281" s="244"/>
      <c r="S281" s="37">
        <f>250-98.8-9.62-10.6-24.5</f>
        <v>106.47999999999999</v>
      </c>
      <c r="T281" s="36">
        <f t="shared" ca="1" si="22"/>
        <v>1100</v>
      </c>
      <c r="U281" s="37" t="s">
        <v>778</v>
      </c>
      <c r="V281" s="37"/>
      <c r="W281" s="38">
        <v>42481</v>
      </c>
      <c r="X281" s="39" t="s">
        <v>898</v>
      </c>
      <c r="Y281" s="39" t="s">
        <v>1251</v>
      </c>
      <c r="Z281" s="40" t="s">
        <v>49</v>
      </c>
      <c r="AA281" s="41">
        <f t="shared" ca="1" si="23"/>
        <v>883</v>
      </c>
      <c r="AB281" s="40"/>
      <c r="AC281" s="116"/>
      <c r="AD281" s="116"/>
      <c r="AE281" s="40"/>
      <c r="AF281" s="136" t="str">
        <f t="shared" ca="1" si="25"/>
        <v/>
      </c>
      <c r="AG281" s="127"/>
      <c r="AH281" s="127"/>
      <c r="AI281" s="127"/>
      <c r="AJ281" s="128"/>
      <c r="AK281" s="128"/>
      <c r="AL281" s="129"/>
    </row>
    <row r="282" spans="1:38" ht="24.95" customHeight="1" x14ac:dyDescent="0.25">
      <c r="A282" s="114" t="str">
        <f t="shared" si="24"/>
        <v>15REF086</v>
      </c>
      <c r="B282" s="175">
        <v>86</v>
      </c>
      <c r="C282" s="114" t="s">
        <v>39</v>
      </c>
      <c r="D282" s="115" t="s">
        <v>40</v>
      </c>
      <c r="E282" s="124" t="s">
        <v>41</v>
      </c>
      <c r="F282" s="124" t="s">
        <v>1072</v>
      </c>
      <c r="G282" s="251"/>
      <c r="H282" s="34" t="s">
        <v>43</v>
      </c>
      <c r="I282" s="126" t="s">
        <v>1073</v>
      </c>
      <c r="J282" s="47" t="s">
        <v>105</v>
      </c>
      <c r="K282" s="126">
        <v>413.47</v>
      </c>
      <c r="L282" s="126" t="s">
        <v>1074</v>
      </c>
      <c r="M282" s="104" t="s">
        <v>1075</v>
      </c>
      <c r="N282" s="265">
        <v>42271</v>
      </c>
      <c r="O282" s="260">
        <v>42292</v>
      </c>
      <c r="P282" s="106" t="s">
        <v>194</v>
      </c>
      <c r="Q282" s="107" t="s">
        <v>49</v>
      </c>
      <c r="R282" s="244"/>
      <c r="S282" s="37">
        <v>0</v>
      </c>
      <c r="T282" s="36" t="str">
        <f t="shared" ca="1" si="22"/>
        <v>Empty</v>
      </c>
      <c r="U282" s="37" t="s">
        <v>1076</v>
      </c>
      <c r="V282" s="37"/>
      <c r="W282" s="130">
        <v>42292</v>
      </c>
      <c r="X282" s="93" t="s">
        <v>50</v>
      </c>
      <c r="Y282" s="93" t="s">
        <v>1077</v>
      </c>
      <c r="Z282" s="92" t="s">
        <v>49</v>
      </c>
      <c r="AA282" s="94">
        <f t="shared" ca="1" si="23"/>
        <v>1069</v>
      </c>
      <c r="AB282" s="40"/>
      <c r="AC282" s="116"/>
      <c r="AD282" s="116"/>
      <c r="AE282" s="40"/>
      <c r="AF282" s="136" t="str">
        <f t="shared" ca="1" si="25"/>
        <v/>
      </c>
      <c r="AG282" s="127"/>
      <c r="AH282" s="127"/>
      <c r="AI282" s="127"/>
      <c r="AJ282" s="128"/>
      <c r="AK282" s="128"/>
      <c r="AL282" s="129"/>
    </row>
    <row r="283" spans="1:38" ht="24.95" customHeight="1" x14ac:dyDescent="0.25">
      <c r="A283" s="114" t="str">
        <f t="shared" si="24"/>
        <v>15REF087</v>
      </c>
      <c r="B283" s="174">
        <v>87</v>
      </c>
      <c r="C283" s="114" t="s">
        <v>39</v>
      </c>
      <c r="D283" s="115" t="s">
        <v>40</v>
      </c>
      <c r="E283" s="124" t="s">
        <v>41</v>
      </c>
      <c r="F283" s="124" t="s">
        <v>1072</v>
      </c>
      <c r="G283" s="251"/>
      <c r="H283" s="34" t="s">
        <v>43</v>
      </c>
      <c r="I283" s="126" t="s">
        <v>1073</v>
      </c>
      <c r="J283" s="47" t="s">
        <v>105</v>
      </c>
      <c r="K283" s="126">
        <v>413.47</v>
      </c>
      <c r="L283" s="126" t="s">
        <v>1074</v>
      </c>
      <c r="M283" s="104" t="s">
        <v>1075</v>
      </c>
      <c r="N283" s="265">
        <v>42271</v>
      </c>
      <c r="O283" s="260">
        <v>42304</v>
      </c>
      <c r="P283" s="106" t="s">
        <v>194</v>
      </c>
      <c r="Q283" s="107" t="s">
        <v>49</v>
      </c>
      <c r="R283" s="244"/>
      <c r="S283" s="37">
        <v>0</v>
      </c>
      <c r="T283" s="36" t="str">
        <f t="shared" ca="1" si="22"/>
        <v>Empty</v>
      </c>
      <c r="U283" s="37" t="s">
        <v>1076</v>
      </c>
      <c r="V283" s="37"/>
      <c r="W283" s="38">
        <v>42304</v>
      </c>
      <c r="X283" s="39" t="s">
        <v>50</v>
      </c>
      <c r="Y283" s="39" t="s">
        <v>1077</v>
      </c>
      <c r="Z283" s="40" t="s">
        <v>49</v>
      </c>
      <c r="AA283" s="41">
        <f t="shared" ca="1" si="23"/>
        <v>1057</v>
      </c>
      <c r="AB283" s="40"/>
      <c r="AC283" s="116"/>
      <c r="AD283" s="116"/>
      <c r="AE283" s="40"/>
      <c r="AF283" s="136" t="str">
        <f t="shared" ca="1" si="25"/>
        <v/>
      </c>
      <c r="AG283" s="127"/>
      <c r="AH283" s="127"/>
      <c r="AI283" s="127"/>
      <c r="AJ283" s="128"/>
      <c r="AK283" s="128"/>
      <c r="AL283" s="129"/>
    </row>
    <row r="284" spans="1:38" ht="24.95" customHeight="1" x14ac:dyDescent="0.25">
      <c r="A284" s="97" t="str">
        <f t="shared" si="24"/>
        <v>15SAM088</v>
      </c>
      <c r="B284" s="172">
        <v>88</v>
      </c>
      <c r="C284" s="97" t="s">
        <v>57</v>
      </c>
      <c r="D284" s="98" t="s">
        <v>170</v>
      </c>
      <c r="E284" s="124" t="s">
        <v>289</v>
      </c>
      <c r="F284" s="124" t="s">
        <v>779</v>
      </c>
      <c r="G284" s="251"/>
      <c r="H284" s="34" t="s">
        <v>330</v>
      </c>
      <c r="I284" s="126" t="s">
        <v>780</v>
      </c>
      <c r="J284" s="47" t="s">
        <v>180</v>
      </c>
      <c r="K284" s="126">
        <v>197.13</v>
      </c>
      <c r="L284" s="126" t="s">
        <v>781</v>
      </c>
      <c r="M284" s="104" t="s">
        <v>782</v>
      </c>
      <c r="N284" s="265">
        <v>42272</v>
      </c>
      <c r="O284" s="260">
        <v>42464</v>
      </c>
      <c r="P284" s="106" t="s">
        <v>183</v>
      </c>
      <c r="Q284" s="107" t="s">
        <v>510</v>
      </c>
      <c r="R284" s="244"/>
      <c r="S284" s="37">
        <v>0</v>
      </c>
      <c r="T284" s="36" t="str">
        <f t="shared" ref="T284:T348" ca="1" si="26">IF(S284="","",IF(S284=0,"Empty",IF(O284="","",IF(O284,DAYS360(O284,TODAY())))))</f>
        <v>Empty</v>
      </c>
      <c r="U284" s="37" t="s">
        <v>1252</v>
      </c>
      <c r="V284" s="37"/>
      <c r="W284" s="38">
        <v>42098</v>
      </c>
      <c r="X284" s="39" t="s">
        <v>1253</v>
      </c>
      <c r="Y284" s="39" t="s">
        <v>1035</v>
      </c>
      <c r="Z284" s="40" t="s">
        <v>49</v>
      </c>
      <c r="AA284" s="41">
        <f t="shared" ca="1" si="23"/>
        <v>1260</v>
      </c>
      <c r="AB284" s="40"/>
      <c r="AC284" s="116"/>
      <c r="AD284" s="116"/>
      <c r="AE284" s="40"/>
      <c r="AF284" s="136" t="str">
        <f t="shared" ca="1" si="25"/>
        <v/>
      </c>
      <c r="AG284" s="127"/>
      <c r="AH284" s="127"/>
      <c r="AI284" s="127"/>
      <c r="AJ284" s="128"/>
      <c r="AK284" s="128"/>
      <c r="AL284" s="129"/>
    </row>
    <row r="285" spans="1:38" ht="24.95" customHeight="1" x14ac:dyDescent="0.25">
      <c r="A285" s="97" t="str">
        <f t="shared" si="24"/>
        <v>15SAM089</v>
      </c>
      <c r="B285" s="173">
        <v>89</v>
      </c>
      <c r="C285" s="97" t="s">
        <v>57</v>
      </c>
      <c r="D285" s="98" t="s">
        <v>170</v>
      </c>
      <c r="E285" s="124" t="s">
        <v>289</v>
      </c>
      <c r="F285" s="124" t="s">
        <v>919</v>
      </c>
      <c r="G285" s="251"/>
      <c r="H285" s="34" t="s">
        <v>60</v>
      </c>
      <c r="I285" s="126">
        <v>219324</v>
      </c>
      <c r="J285" s="47" t="s">
        <v>180</v>
      </c>
      <c r="K285" s="126">
        <v>383.42599999999999</v>
      </c>
      <c r="L285" s="126">
        <v>1700241431</v>
      </c>
      <c r="M285" s="105" t="s">
        <v>61</v>
      </c>
      <c r="N285" s="265">
        <v>42275</v>
      </c>
      <c r="O285" s="260">
        <v>42275</v>
      </c>
      <c r="P285" s="106" t="s">
        <v>1078</v>
      </c>
      <c r="Q285" s="107" t="s">
        <v>212</v>
      </c>
      <c r="R285" s="244"/>
      <c r="S285" s="37">
        <v>0</v>
      </c>
      <c r="T285" s="36" t="str">
        <f t="shared" ca="1" si="26"/>
        <v>Empty</v>
      </c>
      <c r="U285" s="37" t="s">
        <v>1079</v>
      </c>
      <c r="V285" s="37"/>
      <c r="W285" s="38">
        <v>42275</v>
      </c>
      <c r="X285" s="39" t="s">
        <v>50</v>
      </c>
      <c r="Y285" s="39" t="s">
        <v>1080</v>
      </c>
      <c r="Z285" s="40" t="s">
        <v>212</v>
      </c>
      <c r="AA285" s="41">
        <f t="shared" ca="1" si="23"/>
        <v>1086</v>
      </c>
      <c r="AB285" s="40"/>
      <c r="AC285" s="116"/>
      <c r="AD285" s="116"/>
      <c r="AE285" s="40"/>
      <c r="AF285" s="136" t="str">
        <f t="shared" ca="1" si="25"/>
        <v/>
      </c>
      <c r="AG285" s="127"/>
      <c r="AH285" s="127"/>
      <c r="AI285" s="127"/>
      <c r="AJ285" s="128"/>
      <c r="AK285" s="128"/>
      <c r="AL285" s="129"/>
    </row>
    <row r="286" spans="1:38" ht="24.95" customHeight="1" x14ac:dyDescent="0.25">
      <c r="A286" s="97" t="str">
        <f t="shared" si="24"/>
        <v>15SAM090</v>
      </c>
      <c r="B286" s="172">
        <v>90</v>
      </c>
      <c r="C286" s="97" t="s">
        <v>57</v>
      </c>
      <c r="D286" s="98" t="s">
        <v>170</v>
      </c>
      <c r="E286" s="124" t="s">
        <v>289</v>
      </c>
      <c r="F286" s="124" t="s">
        <v>923</v>
      </c>
      <c r="G286" s="251"/>
      <c r="H286" s="34" t="s">
        <v>60</v>
      </c>
      <c r="I286" s="126">
        <v>219324</v>
      </c>
      <c r="J286" s="47" t="s">
        <v>180</v>
      </c>
      <c r="K286" s="126">
        <v>383.42599999999999</v>
      </c>
      <c r="L286" s="126">
        <v>1700241429</v>
      </c>
      <c r="M286" s="105" t="s">
        <v>61</v>
      </c>
      <c r="N286" s="265">
        <v>42275</v>
      </c>
      <c r="O286" s="260">
        <v>42275</v>
      </c>
      <c r="P286" s="106" t="s">
        <v>155</v>
      </c>
      <c r="Q286" s="107" t="s">
        <v>212</v>
      </c>
      <c r="R286" s="244"/>
      <c r="S286" s="37">
        <v>0</v>
      </c>
      <c r="T286" s="36" t="str">
        <f t="shared" ca="1" si="26"/>
        <v>Empty</v>
      </c>
      <c r="U286" s="37" t="s">
        <v>1079</v>
      </c>
      <c r="V286" s="37"/>
      <c r="W286" s="38">
        <v>42275</v>
      </c>
      <c r="X286" s="39" t="s">
        <v>50</v>
      </c>
      <c r="Y286" s="39" t="s">
        <v>1080</v>
      </c>
      <c r="Z286" s="40" t="s">
        <v>212</v>
      </c>
      <c r="AA286" s="41">
        <f t="shared" ca="1" si="23"/>
        <v>1086</v>
      </c>
      <c r="AB286" s="40"/>
      <c r="AC286" s="116"/>
      <c r="AD286" s="116"/>
      <c r="AE286" s="40"/>
      <c r="AF286" s="136" t="str">
        <f t="shared" ca="1" si="25"/>
        <v/>
      </c>
      <c r="AG286" s="127"/>
      <c r="AH286" s="127"/>
      <c r="AI286" s="127"/>
      <c r="AJ286" s="128"/>
      <c r="AK286" s="128"/>
      <c r="AL286" s="129"/>
    </row>
    <row r="287" spans="1:38" ht="24.95" customHeight="1" x14ac:dyDescent="0.25">
      <c r="A287" s="97" t="str">
        <f t="shared" si="24"/>
        <v>15SAM091</v>
      </c>
      <c r="B287" s="172">
        <v>91</v>
      </c>
      <c r="C287" s="97" t="s">
        <v>57</v>
      </c>
      <c r="D287" s="98" t="s">
        <v>40</v>
      </c>
      <c r="E287" s="124" t="s">
        <v>739</v>
      </c>
      <c r="F287" s="124" t="s">
        <v>1081</v>
      </c>
      <c r="G287" s="251" t="s">
        <v>1082</v>
      </c>
      <c r="H287" s="34" t="s">
        <v>60</v>
      </c>
      <c r="I287" s="126" t="s">
        <v>1083</v>
      </c>
      <c r="J287" s="47" t="s">
        <v>45</v>
      </c>
      <c r="K287" s="126">
        <v>248.11</v>
      </c>
      <c r="L287" s="132" t="s">
        <v>61</v>
      </c>
      <c r="M287" s="105" t="s">
        <v>61</v>
      </c>
      <c r="N287" s="265">
        <v>42289</v>
      </c>
      <c r="O287" s="260">
        <v>42290</v>
      </c>
      <c r="P287" s="106" t="s">
        <v>1084</v>
      </c>
      <c r="Q287" s="107" t="s">
        <v>49</v>
      </c>
      <c r="R287" s="244"/>
      <c r="S287" s="37">
        <v>0</v>
      </c>
      <c r="T287" s="36" t="str">
        <f t="shared" ca="1" si="26"/>
        <v>Empty</v>
      </c>
      <c r="U287" s="37" t="s">
        <v>1085</v>
      </c>
      <c r="V287" s="37"/>
      <c r="W287" s="38"/>
      <c r="X287" s="39"/>
      <c r="Y287" s="39"/>
      <c r="Z287" s="40"/>
      <c r="AA287" s="41" t="str">
        <f t="shared" ca="1" si="23"/>
        <v/>
      </c>
      <c r="AB287" s="40"/>
      <c r="AC287" s="116"/>
      <c r="AD287" s="116"/>
      <c r="AE287" s="40"/>
      <c r="AF287" s="136" t="str">
        <f t="shared" ca="1" si="25"/>
        <v/>
      </c>
      <c r="AG287" s="127"/>
      <c r="AH287" s="127"/>
      <c r="AI287" s="127"/>
      <c r="AJ287" s="128"/>
      <c r="AK287" s="128"/>
      <c r="AL287" s="129"/>
    </row>
    <row r="288" spans="1:38" ht="24.95" customHeight="1" x14ac:dyDescent="0.25">
      <c r="A288" s="133" t="str">
        <f t="shared" si="24"/>
        <v>15REF092</v>
      </c>
      <c r="B288" s="187">
        <v>92</v>
      </c>
      <c r="C288" s="133" t="s">
        <v>39</v>
      </c>
      <c r="D288" s="134" t="s">
        <v>744</v>
      </c>
      <c r="E288" s="124" t="s">
        <v>41</v>
      </c>
      <c r="F288" s="124" t="s">
        <v>783</v>
      </c>
      <c r="G288" s="251"/>
      <c r="H288" s="34" t="s">
        <v>43</v>
      </c>
      <c r="I288" s="126" t="s">
        <v>784</v>
      </c>
      <c r="J288" s="47" t="s">
        <v>180</v>
      </c>
      <c r="K288" s="126"/>
      <c r="L288" s="126" t="s">
        <v>785</v>
      </c>
      <c r="M288" s="105" t="s">
        <v>61</v>
      </c>
      <c r="N288" s="265">
        <v>42290</v>
      </c>
      <c r="O288" s="260"/>
      <c r="P288" s="106" t="s">
        <v>786</v>
      </c>
      <c r="Q288" s="107"/>
      <c r="R288" s="244"/>
      <c r="S288" s="37"/>
      <c r="T288" s="36" t="str">
        <f t="shared" ca="1" si="26"/>
        <v/>
      </c>
      <c r="U288" s="37"/>
      <c r="V288" s="37"/>
      <c r="W288" s="38"/>
      <c r="X288" s="39"/>
      <c r="Y288" s="39"/>
      <c r="Z288" s="40"/>
      <c r="AA288" s="41" t="str">
        <f t="shared" ca="1" si="23"/>
        <v/>
      </c>
      <c r="AB288" s="40"/>
      <c r="AC288" s="116"/>
      <c r="AD288" s="116"/>
      <c r="AE288" s="40"/>
      <c r="AF288" s="136" t="str">
        <f t="shared" ca="1" si="25"/>
        <v/>
      </c>
      <c r="AG288" s="127"/>
      <c r="AH288" s="127"/>
      <c r="AI288" s="127"/>
      <c r="AJ288" s="128"/>
      <c r="AK288" s="128"/>
      <c r="AL288" s="129"/>
    </row>
    <row r="289" spans="1:38" ht="24.95" customHeight="1" x14ac:dyDescent="0.25">
      <c r="A289" s="133" t="str">
        <f t="shared" si="24"/>
        <v>15REF093</v>
      </c>
      <c r="B289" s="185">
        <v>93</v>
      </c>
      <c r="C289" s="133" t="s">
        <v>39</v>
      </c>
      <c r="D289" s="134" t="s">
        <v>40</v>
      </c>
      <c r="E289" s="124" t="s">
        <v>41</v>
      </c>
      <c r="F289" s="124" t="s">
        <v>787</v>
      </c>
      <c r="G289" s="251"/>
      <c r="H289" s="34" t="s">
        <v>43</v>
      </c>
      <c r="I289" s="126" t="s">
        <v>788</v>
      </c>
      <c r="J289" s="47" t="s">
        <v>105</v>
      </c>
      <c r="K289" s="126">
        <v>286.75</v>
      </c>
      <c r="L289" s="126" t="s">
        <v>789</v>
      </c>
      <c r="M289" s="104" t="s">
        <v>790</v>
      </c>
      <c r="N289" s="265">
        <v>42290</v>
      </c>
      <c r="O289" s="260"/>
      <c r="P289" s="106" t="s">
        <v>160</v>
      </c>
      <c r="Q289" s="107" t="s">
        <v>49</v>
      </c>
      <c r="R289" s="244"/>
      <c r="S289" s="37"/>
      <c r="T289" s="36" t="str">
        <f t="shared" ca="1" si="26"/>
        <v/>
      </c>
      <c r="U289" s="37"/>
      <c r="V289" s="37"/>
      <c r="W289" s="38"/>
      <c r="X289" s="39"/>
      <c r="Y289" s="39"/>
      <c r="Z289" s="40"/>
      <c r="AA289" s="41" t="str">
        <f t="shared" ca="1" si="23"/>
        <v/>
      </c>
      <c r="AB289" s="40"/>
      <c r="AC289" s="116"/>
      <c r="AD289" s="116"/>
      <c r="AE289" s="40"/>
      <c r="AF289" s="136" t="str">
        <f t="shared" ca="1" si="25"/>
        <v/>
      </c>
      <c r="AG289" s="127"/>
      <c r="AH289" s="127"/>
      <c r="AI289" s="127"/>
      <c r="AJ289" s="128"/>
      <c r="AK289" s="128"/>
      <c r="AL289" s="129"/>
    </row>
    <row r="290" spans="1:38" ht="24.95" customHeight="1" x14ac:dyDescent="0.25">
      <c r="A290" s="97" t="str">
        <f t="shared" si="24"/>
        <v>15SAM094</v>
      </c>
      <c r="B290" s="172">
        <v>94</v>
      </c>
      <c r="C290" s="97" t="s">
        <v>57</v>
      </c>
      <c r="D290" s="98" t="s">
        <v>824</v>
      </c>
      <c r="E290" s="124" t="s">
        <v>825</v>
      </c>
      <c r="F290" s="188" t="s">
        <v>1086</v>
      </c>
      <c r="G290" s="251" t="s">
        <v>1087</v>
      </c>
      <c r="H290" s="34" t="s">
        <v>112</v>
      </c>
      <c r="I290" s="126" t="s">
        <v>1088</v>
      </c>
      <c r="J290" s="47" t="s">
        <v>105</v>
      </c>
      <c r="K290" s="126">
        <v>3037</v>
      </c>
      <c r="L290" s="126">
        <v>1085</v>
      </c>
      <c r="M290" s="104" t="s">
        <v>1089</v>
      </c>
      <c r="N290" s="265">
        <v>42291</v>
      </c>
      <c r="O290" s="260">
        <v>42296</v>
      </c>
      <c r="P290" s="106" t="s">
        <v>1090</v>
      </c>
      <c r="Q290" s="107" t="s">
        <v>1091</v>
      </c>
      <c r="R290" s="244"/>
      <c r="S290" s="37">
        <v>0</v>
      </c>
      <c r="T290" s="36" t="str">
        <f t="shared" ca="1" si="26"/>
        <v>Empty</v>
      </c>
      <c r="U290" s="37" t="s">
        <v>829</v>
      </c>
      <c r="V290" s="37"/>
      <c r="W290" s="38"/>
      <c r="X290" s="39"/>
      <c r="Y290" s="39"/>
      <c r="Z290" s="40"/>
      <c r="AA290" s="41" t="str">
        <f t="shared" ca="1" si="23"/>
        <v/>
      </c>
      <c r="AB290" s="40"/>
      <c r="AC290" s="116"/>
      <c r="AD290" s="116"/>
      <c r="AE290" s="40"/>
      <c r="AF290" s="136" t="str">
        <f t="shared" ca="1" si="25"/>
        <v/>
      </c>
      <c r="AG290" s="127"/>
      <c r="AH290" s="127"/>
      <c r="AI290" s="127"/>
      <c r="AJ290" s="128"/>
      <c r="AK290" s="128"/>
      <c r="AL290" s="129"/>
    </row>
    <row r="291" spans="1:38" ht="24.95" customHeight="1" x14ac:dyDescent="0.25">
      <c r="A291" s="97" t="str">
        <f t="shared" si="24"/>
        <v>15SAM095</v>
      </c>
      <c r="B291" s="173">
        <v>95</v>
      </c>
      <c r="C291" s="97" t="s">
        <v>57</v>
      </c>
      <c r="D291" s="98" t="s">
        <v>824</v>
      </c>
      <c r="E291" s="124" t="s">
        <v>825</v>
      </c>
      <c r="F291" s="124" t="s">
        <v>826</v>
      </c>
      <c r="G291" s="251"/>
      <c r="H291" s="34" t="s">
        <v>60</v>
      </c>
      <c r="I291" s="126" t="s">
        <v>61</v>
      </c>
      <c r="J291" s="47" t="s">
        <v>105</v>
      </c>
      <c r="K291" s="126">
        <v>159.22999999999999</v>
      </c>
      <c r="L291" s="126" t="s">
        <v>61</v>
      </c>
      <c r="M291" s="104" t="s">
        <v>61</v>
      </c>
      <c r="N291" s="265">
        <v>42214</v>
      </c>
      <c r="O291" s="260">
        <v>42282</v>
      </c>
      <c r="P291" s="106" t="s">
        <v>1092</v>
      </c>
      <c r="Q291" s="107" t="s">
        <v>828</v>
      </c>
      <c r="R291" s="244"/>
      <c r="S291" s="37">
        <v>0</v>
      </c>
      <c r="T291" s="36" t="str">
        <f t="shared" ca="1" si="26"/>
        <v>Empty</v>
      </c>
      <c r="U291" s="37"/>
      <c r="V291" s="37"/>
      <c r="W291" s="38"/>
      <c r="X291" s="39"/>
      <c r="Y291" s="39"/>
      <c r="Z291" s="40"/>
      <c r="AA291" s="41" t="str">
        <f t="shared" ca="1" si="23"/>
        <v/>
      </c>
      <c r="AB291" s="40"/>
      <c r="AC291" s="116"/>
      <c r="AD291" s="116"/>
      <c r="AE291" s="40"/>
      <c r="AF291" s="136" t="str">
        <f t="shared" ca="1" si="25"/>
        <v/>
      </c>
      <c r="AG291" s="127"/>
      <c r="AH291" s="127"/>
      <c r="AI291" s="127"/>
      <c r="AJ291" s="128"/>
      <c r="AK291" s="128"/>
      <c r="AL291" s="129"/>
    </row>
    <row r="292" spans="1:38" ht="24.95" customHeight="1" x14ac:dyDescent="0.25">
      <c r="A292" s="97" t="str">
        <f t="shared" si="24"/>
        <v>15SAM096</v>
      </c>
      <c r="B292" s="172">
        <v>96</v>
      </c>
      <c r="C292" s="97" t="s">
        <v>57</v>
      </c>
      <c r="D292" s="98" t="s">
        <v>824</v>
      </c>
      <c r="E292" s="124" t="s">
        <v>825</v>
      </c>
      <c r="F292" s="124" t="s">
        <v>830</v>
      </c>
      <c r="G292" s="251"/>
      <c r="H292" s="34" t="s">
        <v>60</v>
      </c>
      <c r="I292" s="126" t="s">
        <v>61</v>
      </c>
      <c r="J292" s="47" t="s">
        <v>105</v>
      </c>
      <c r="K292" s="126">
        <v>209.28</v>
      </c>
      <c r="L292" s="126" t="s">
        <v>61</v>
      </c>
      <c r="M292" s="104" t="s">
        <v>61</v>
      </c>
      <c r="N292" s="265">
        <v>42214</v>
      </c>
      <c r="O292" s="260">
        <v>42282</v>
      </c>
      <c r="P292" s="106" t="s">
        <v>1093</v>
      </c>
      <c r="Q292" s="107" t="s">
        <v>828</v>
      </c>
      <c r="R292" s="244"/>
      <c r="S292" s="37">
        <v>0</v>
      </c>
      <c r="T292" s="36" t="str">
        <f t="shared" ca="1" si="26"/>
        <v>Empty</v>
      </c>
      <c r="U292" s="37"/>
      <c r="V292" s="37"/>
      <c r="W292" s="38"/>
      <c r="X292" s="39"/>
      <c r="Y292" s="39"/>
      <c r="Z292" s="40"/>
      <c r="AA292" s="41" t="str">
        <f t="shared" ca="1" si="23"/>
        <v/>
      </c>
      <c r="AB292" s="40"/>
      <c r="AC292" s="116"/>
      <c r="AD292" s="116"/>
      <c r="AE292" s="40"/>
      <c r="AF292" s="136" t="str">
        <f t="shared" ca="1" si="25"/>
        <v/>
      </c>
      <c r="AG292" s="127"/>
      <c r="AH292" s="127"/>
      <c r="AI292" s="127"/>
      <c r="AJ292" s="128"/>
      <c r="AK292" s="128"/>
      <c r="AL292" s="129"/>
    </row>
    <row r="293" spans="1:38" ht="24.95" customHeight="1" x14ac:dyDescent="0.25">
      <c r="A293" s="97" t="str">
        <f t="shared" si="24"/>
        <v>15SAM097</v>
      </c>
      <c r="B293" s="172">
        <v>97</v>
      </c>
      <c r="C293" s="97" t="s">
        <v>57</v>
      </c>
      <c r="D293" s="98" t="s">
        <v>170</v>
      </c>
      <c r="E293" s="124" t="s">
        <v>289</v>
      </c>
      <c r="F293" s="124" t="s">
        <v>791</v>
      </c>
      <c r="G293" s="251" t="s">
        <v>792</v>
      </c>
      <c r="H293" s="34" t="s">
        <v>112</v>
      </c>
      <c r="I293" s="126" t="s">
        <v>793</v>
      </c>
      <c r="J293" s="47" t="s">
        <v>105</v>
      </c>
      <c r="K293" s="126">
        <v>1019.24</v>
      </c>
      <c r="L293" s="126">
        <v>1818</v>
      </c>
      <c r="M293" s="104" t="s">
        <v>794</v>
      </c>
      <c r="N293" s="265">
        <v>42298</v>
      </c>
      <c r="O293" s="260"/>
      <c r="P293" s="106" t="s">
        <v>194</v>
      </c>
      <c r="Q293" s="107" t="s">
        <v>795</v>
      </c>
      <c r="R293" s="244"/>
      <c r="S293" s="37"/>
      <c r="T293" s="36" t="str">
        <f t="shared" ca="1" si="26"/>
        <v/>
      </c>
      <c r="U293" s="37" t="s">
        <v>796</v>
      </c>
      <c r="V293" s="37"/>
      <c r="W293" s="38"/>
      <c r="X293" s="39"/>
      <c r="Y293" s="39"/>
      <c r="Z293" s="40"/>
      <c r="AA293" s="41" t="str">
        <f t="shared" ca="1" si="23"/>
        <v/>
      </c>
      <c r="AB293" s="40"/>
      <c r="AC293" s="116"/>
      <c r="AD293" s="116"/>
      <c r="AE293" s="40"/>
      <c r="AF293" s="136" t="str">
        <f t="shared" ca="1" si="25"/>
        <v/>
      </c>
      <c r="AG293" s="127"/>
      <c r="AH293" s="127"/>
      <c r="AI293" s="127"/>
      <c r="AJ293" s="128"/>
      <c r="AK293" s="128"/>
      <c r="AL293" s="129"/>
    </row>
    <row r="294" spans="1:38" ht="24.95" customHeight="1" x14ac:dyDescent="0.25">
      <c r="A294" s="97" t="str">
        <f t="shared" si="24"/>
        <v>15SAM098</v>
      </c>
      <c r="B294" s="173">
        <v>98</v>
      </c>
      <c r="C294" s="97" t="s">
        <v>57</v>
      </c>
      <c r="D294" s="98" t="s">
        <v>170</v>
      </c>
      <c r="E294" s="124" t="s">
        <v>289</v>
      </c>
      <c r="F294" s="124" t="s">
        <v>873</v>
      </c>
      <c r="G294" s="251" t="s">
        <v>1094</v>
      </c>
      <c r="H294" s="34" t="s">
        <v>112</v>
      </c>
      <c r="I294" s="126" t="s">
        <v>875</v>
      </c>
      <c r="J294" s="47" t="s">
        <v>105</v>
      </c>
      <c r="K294" s="126">
        <v>1197.4000000000001</v>
      </c>
      <c r="L294" s="126">
        <v>1843</v>
      </c>
      <c r="M294" s="104" t="s">
        <v>876</v>
      </c>
      <c r="N294" s="265">
        <v>42298</v>
      </c>
      <c r="O294" s="261">
        <v>42374</v>
      </c>
      <c r="P294" s="106" t="s">
        <v>194</v>
      </c>
      <c r="Q294" s="107" t="s">
        <v>1095</v>
      </c>
      <c r="R294" s="244"/>
      <c r="S294" s="37">
        <v>0</v>
      </c>
      <c r="T294" s="36" t="str">
        <f ca="1">IF(S294="","",IF(S294=0,"Empty",IF(O295="","",IF(O295,DAYS360(O295,TODAY())))))</f>
        <v>Empty</v>
      </c>
      <c r="U294" s="37" t="s">
        <v>796</v>
      </c>
      <c r="V294" s="37"/>
      <c r="W294" s="38"/>
      <c r="X294" s="39"/>
      <c r="Y294" s="39"/>
      <c r="Z294" s="40"/>
      <c r="AA294" s="41" t="str">
        <f t="shared" ca="1" si="23"/>
        <v/>
      </c>
      <c r="AB294" s="40"/>
      <c r="AC294" s="116"/>
      <c r="AD294" s="116"/>
      <c r="AE294" s="40"/>
      <c r="AF294" s="136" t="str">
        <f t="shared" ca="1" si="25"/>
        <v/>
      </c>
      <c r="AG294" s="127"/>
      <c r="AH294" s="127"/>
      <c r="AI294" s="127"/>
      <c r="AJ294" s="128"/>
      <c r="AK294" s="128"/>
      <c r="AL294" s="129"/>
    </row>
    <row r="295" spans="1:38" ht="24.95" customHeight="1" x14ac:dyDescent="0.25">
      <c r="A295" s="97" t="str">
        <f t="shared" si="24"/>
        <v>15SAM099</v>
      </c>
      <c r="B295" s="172">
        <v>99</v>
      </c>
      <c r="C295" s="97" t="s">
        <v>57</v>
      </c>
      <c r="D295" s="98" t="s">
        <v>170</v>
      </c>
      <c r="E295" s="124" t="s">
        <v>289</v>
      </c>
      <c r="F295" s="124" t="s">
        <v>873</v>
      </c>
      <c r="G295" s="251" t="s">
        <v>1094</v>
      </c>
      <c r="H295" s="34" t="s">
        <v>112</v>
      </c>
      <c r="I295" s="126" t="s">
        <v>875</v>
      </c>
      <c r="J295" s="47" t="s">
        <v>105</v>
      </c>
      <c r="K295" s="126">
        <v>1197.4000000000001</v>
      </c>
      <c r="L295" s="126">
        <v>1843</v>
      </c>
      <c r="M295" s="104" t="s">
        <v>876</v>
      </c>
      <c r="N295" s="265">
        <v>42298</v>
      </c>
      <c r="O295" s="260">
        <v>42366</v>
      </c>
      <c r="P295" s="106" t="s">
        <v>194</v>
      </c>
      <c r="Q295" s="107" t="s">
        <v>1095</v>
      </c>
      <c r="R295" s="244"/>
      <c r="S295" s="37">
        <v>0</v>
      </c>
      <c r="T295" s="36" t="str">
        <f ca="1">IF(S295="","",IF(S295=0,"Empty",IF(#REF!="","",IF(#REF!,DAYS360(#REF!,TODAY())))))</f>
        <v>Empty</v>
      </c>
      <c r="U295" s="37" t="s">
        <v>796</v>
      </c>
      <c r="V295" s="37"/>
      <c r="W295" s="38"/>
      <c r="X295" s="39"/>
      <c r="Y295" s="39"/>
      <c r="Z295" s="40"/>
      <c r="AA295" s="41" t="str">
        <f t="shared" ca="1" si="23"/>
        <v/>
      </c>
      <c r="AB295" s="40"/>
      <c r="AC295" s="116"/>
      <c r="AD295" s="116"/>
      <c r="AE295" s="40"/>
      <c r="AF295" s="136" t="str">
        <f t="shared" ca="1" si="25"/>
        <v/>
      </c>
      <c r="AG295" s="127"/>
      <c r="AH295" s="127"/>
      <c r="AI295" s="127"/>
      <c r="AJ295" s="128"/>
      <c r="AK295" s="128"/>
      <c r="AL295" s="129"/>
    </row>
    <row r="296" spans="1:38" ht="24.95" customHeight="1" x14ac:dyDescent="0.25">
      <c r="A296" s="97" t="str">
        <f>IF(C296="","",CONCATENATE(15,MID(C296,1,3),B296))</f>
        <v>15SAM100</v>
      </c>
      <c r="B296" s="172">
        <v>100</v>
      </c>
      <c r="C296" s="97" t="s">
        <v>57</v>
      </c>
      <c r="D296" s="98" t="s">
        <v>170</v>
      </c>
      <c r="E296" s="124" t="s">
        <v>739</v>
      </c>
      <c r="F296" s="124" t="s">
        <v>797</v>
      </c>
      <c r="G296" s="251"/>
      <c r="H296" s="34" t="s">
        <v>43</v>
      </c>
      <c r="I296" s="126" t="s">
        <v>798</v>
      </c>
      <c r="J296" s="47" t="s">
        <v>180</v>
      </c>
      <c r="K296" s="126">
        <v>303.33</v>
      </c>
      <c r="L296" s="126">
        <v>90221</v>
      </c>
      <c r="M296" s="104" t="s">
        <v>799</v>
      </c>
      <c r="N296" s="265">
        <v>42303</v>
      </c>
      <c r="O296" s="260">
        <v>42304</v>
      </c>
      <c r="P296" s="106" t="s">
        <v>139</v>
      </c>
      <c r="Q296" s="107" t="s">
        <v>212</v>
      </c>
      <c r="R296" s="244"/>
      <c r="S296" s="37">
        <f>25-14-3.2-3.03</f>
        <v>4.7699999999999996</v>
      </c>
      <c r="T296" s="36">
        <f t="shared" ca="1" si="26"/>
        <v>1057</v>
      </c>
      <c r="U296" s="37" t="s">
        <v>800</v>
      </c>
      <c r="V296" s="37"/>
      <c r="W296" s="38">
        <v>42304</v>
      </c>
      <c r="X296" s="39" t="s">
        <v>248</v>
      </c>
      <c r="Y296" s="39" t="s">
        <v>801</v>
      </c>
      <c r="Z296" s="40" t="s">
        <v>212</v>
      </c>
      <c r="AA296" s="41">
        <f t="shared" ca="1" si="23"/>
        <v>1057</v>
      </c>
      <c r="AB296" s="346">
        <v>42766</v>
      </c>
      <c r="AC296" s="116" t="s">
        <v>2087</v>
      </c>
      <c r="AD296" s="116" t="s">
        <v>1217</v>
      </c>
      <c r="AE296" s="40" t="s">
        <v>212</v>
      </c>
      <c r="AF296" s="136">
        <f t="shared" ca="1" si="25"/>
        <v>604</v>
      </c>
      <c r="AG296" s="373">
        <v>42921</v>
      </c>
      <c r="AH296" s="127" t="s">
        <v>248</v>
      </c>
      <c r="AI296" s="127" t="s">
        <v>335</v>
      </c>
      <c r="AJ296" s="128" t="s">
        <v>212</v>
      </c>
      <c r="AK296" s="128"/>
      <c r="AL296" s="129"/>
    </row>
    <row r="297" spans="1:38" ht="24.95" customHeight="1" x14ac:dyDescent="0.25">
      <c r="A297" s="97" t="str">
        <f>IF(C297="","",CONCATENATE(15,MID(C297,1,3),B297))</f>
        <v>15SAM101</v>
      </c>
      <c r="B297" s="173">
        <v>101</v>
      </c>
      <c r="C297" s="97" t="s">
        <v>57</v>
      </c>
      <c r="D297" s="98" t="s">
        <v>170</v>
      </c>
      <c r="E297" s="124" t="s">
        <v>739</v>
      </c>
      <c r="F297" s="124" t="s">
        <v>1096</v>
      </c>
      <c r="G297" s="251"/>
      <c r="H297" s="34" t="s">
        <v>43</v>
      </c>
      <c r="I297" s="126" t="s">
        <v>1097</v>
      </c>
      <c r="J297" s="47" t="s">
        <v>180</v>
      </c>
      <c r="K297" s="126">
        <v>376.45</v>
      </c>
      <c r="L297" s="126" t="s">
        <v>1098</v>
      </c>
      <c r="M297" s="104" t="s">
        <v>1099</v>
      </c>
      <c r="N297" s="265">
        <v>42303</v>
      </c>
      <c r="O297" s="260">
        <v>42304</v>
      </c>
      <c r="P297" s="106" t="s">
        <v>86</v>
      </c>
      <c r="Q297" s="107" t="s">
        <v>1100</v>
      </c>
      <c r="R297" s="244"/>
      <c r="S297" s="37">
        <v>0</v>
      </c>
      <c r="T297" s="36" t="str">
        <f t="shared" ca="1" si="26"/>
        <v>Empty</v>
      </c>
      <c r="U297" s="37" t="s">
        <v>800</v>
      </c>
      <c r="V297" s="37" t="s">
        <v>1101</v>
      </c>
      <c r="W297" s="38">
        <v>42304</v>
      </c>
      <c r="X297" s="39" t="s">
        <v>248</v>
      </c>
      <c r="Y297" s="39" t="s">
        <v>700</v>
      </c>
      <c r="Z297" s="40" t="s">
        <v>212</v>
      </c>
      <c r="AA297" s="41">
        <f t="shared" ca="1" si="23"/>
        <v>1057</v>
      </c>
      <c r="AB297" s="40"/>
      <c r="AC297" s="116"/>
      <c r="AD297" s="116"/>
      <c r="AE297" s="40"/>
      <c r="AF297" s="136" t="str">
        <f t="shared" ca="1" si="25"/>
        <v/>
      </c>
      <c r="AG297" s="127"/>
      <c r="AH297" s="127"/>
      <c r="AI297" s="127"/>
      <c r="AJ297" s="128"/>
      <c r="AK297" s="128"/>
      <c r="AL297" s="129"/>
    </row>
    <row r="298" spans="1:38" ht="24.95" customHeight="1" x14ac:dyDescent="0.25">
      <c r="A298" s="97" t="str">
        <f>IF(C298="","",CONCATENATE(15,MID(C298,1,3),B298))</f>
        <v>15SAM102</v>
      </c>
      <c r="B298" s="172">
        <v>102</v>
      </c>
      <c r="C298" s="97" t="s">
        <v>57</v>
      </c>
      <c r="D298" s="98" t="s">
        <v>824</v>
      </c>
      <c r="E298" s="124" t="s">
        <v>516</v>
      </c>
      <c r="F298" s="124" t="s">
        <v>1102</v>
      </c>
      <c r="G298" s="251"/>
      <c r="H298" s="34" t="s">
        <v>60</v>
      </c>
      <c r="I298" s="126" t="s">
        <v>1103</v>
      </c>
      <c r="J298" s="34" t="s">
        <v>45</v>
      </c>
      <c r="K298" s="126">
        <v>386.22500000000002</v>
      </c>
      <c r="L298" s="132" t="s">
        <v>61</v>
      </c>
      <c r="M298" s="105" t="s">
        <v>61</v>
      </c>
      <c r="N298" s="265">
        <v>42300</v>
      </c>
      <c r="O298" s="260">
        <v>42310</v>
      </c>
      <c r="P298" s="106" t="s">
        <v>1104</v>
      </c>
      <c r="Q298" s="107" t="s">
        <v>212</v>
      </c>
      <c r="R298" s="244"/>
      <c r="S298" s="37">
        <v>0</v>
      </c>
      <c r="T298" s="36" t="str">
        <f t="shared" ca="1" si="26"/>
        <v>Empty</v>
      </c>
      <c r="U298" s="37" t="s">
        <v>1105</v>
      </c>
      <c r="V298" s="37"/>
      <c r="W298" s="38"/>
      <c r="X298" s="39"/>
      <c r="Y298" s="39"/>
      <c r="Z298" s="40"/>
      <c r="AA298" s="41" t="str">
        <f t="shared" ca="1" si="23"/>
        <v/>
      </c>
      <c r="AB298" s="40"/>
      <c r="AC298" s="116"/>
      <c r="AD298" s="116"/>
      <c r="AE298" s="40"/>
      <c r="AF298" s="136" t="str">
        <f t="shared" ca="1" si="25"/>
        <v/>
      </c>
      <c r="AG298" s="127"/>
      <c r="AH298" s="127"/>
      <c r="AI298" s="127"/>
      <c r="AJ298" s="128"/>
      <c r="AK298" s="128"/>
      <c r="AL298" s="129"/>
    </row>
    <row r="299" spans="1:38" ht="24.95" customHeight="1" x14ac:dyDescent="0.25">
      <c r="A299" s="97" t="str">
        <f t="shared" ref="A299:A334" si="27">IF(C299="","",CONCATENATE(15,MID(C299,1,3),B299))</f>
        <v>15SAM103</v>
      </c>
      <c r="B299" s="172">
        <v>103</v>
      </c>
      <c r="C299" s="97" t="s">
        <v>57</v>
      </c>
      <c r="D299" s="98" t="s">
        <v>40</v>
      </c>
      <c r="E299" s="124" t="s">
        <v>739</v>
      </c>
      <c r="F299" s="124" t="s">
        <v>1106</v>
      </c>
      <c r="G299" s="251"/>
      <c r="H299" s="34" t="s">
        <v>60</v>
      </c>
      <c r="I299" s="126" t="s">
        <v>1107</v>
      </c>
      <c r="J299" s="47" t="s">
        <v>45</v>
      </c>
      <c r="K299" s="126">
        <v>352.43400000000003</v>
      </c>
      <c r="L299" s="132" t="s">
        <v>61</v>
      </c>
      <c r="M299" s="105" t="s">
        <v>61</v>
      </c>
      <c r="N299" s="265">
        <v>42305</v>
      </c>
      <c r="O299" s="260">
        <v>42306</v>
      </c>
      <c r="P299" s="106" t="s">
        <v>1108</v>
      </c>
      <c r="Q299" s="107" t="s">
        <v>212</v>
      </c>
      <c r="R299" s="244"/>
      <c r="S299" s="37">
        <v>0</v>
      </c>
      <c r="T299" s="36" t="str">
        <f t="shared" ca="1" si="26"/>
        <v>Empty</v>
      </c>
      <c r="U299" s="37" t="s">
        <v>1109</v>
      </c>
      <c r="V299" s="37"/>
      <c r="W299" s="38">
        <v>42306</v>
      </c>
      <c r="X299" s="39" t="s">
        <v>248</v>
      </c>
      <c r="Y299" s="181" t="s">
        <v>1110</v>
      </c>
      <c r="Z299" s="40" t="s">
        <v>212</v>
      </c>
      <c r="AA299" s="41">
        <f t="shared" ca="1" si="23"/>
        <v>1055</v>
      </c>
      <c r="AB299" s="40"/>
      <c r="AC299" s="116"/>
      <c r="AD299" s="116"/>
      <c r="AE299" s="40"/>
      <c r="AF299" s="136" t="str">
        <f t="shared" ca="1" si="25"/>
        <v/>
      </c>
      <c r="AG299" s="127"/>
      <c r="AH299" s="127"/>
      <c r="AI299" s="127"/>
      <c r="AJ299" s="128"/>
      <c r="AK299" s="128"/>
      <c r="AL299" s="129"/>
    </row>
    <row r="300" spans="1:38" ht="24.95" customHeight="1" x14ac:dyDescent="0.25">
      <c r="A300" s="97" t="str">
        <f t="shared" si="27"/>
        <v>15SAM104</v>
      </c>
      <c r="B300" s="173">
        <v>104</v>
      </c>
      <c r="C300" s="97" t="s">
        <v>57</v>
      </c>
      <c r="D300" s="98" t="s">
        <v>40</v>
      </c>
      <c r="E300" s="124" t="s">
        <v>739</v>
      </c>
      <c r="F300" s="124" t="s">
        <v>1111</v>
      </c>
      <c r="G300" s="251"/>
      <c r="H300" s="34" t="s">
        <v>60</v>
      </c>
      <c r="I300" s="126" t="s">
        <v>1112</v>
      </c>
      <c r="J300" s="47" t="s">
        <v>45</v>
      </c>
      <c r="K300" s="126">
        <v>402.87799999999999</v>
      </c>
      <c r="L300" s="132" t="s">
        <v>61</v>
      </c>
      <c r="M300" s="105" t="s">
        <v>61</v>
      </c>
      <c r="N300" s="265">
        <v>42305</v>
      </c>
      <c r="O300" s="260">
        <v>42306</v>
      </c>
      <c r="P300" s="106" t="s">
        <v>1113</v>
      </c>
      <c r="Q300" s="107" t="s">
        <v>212</v>
      </c>
      <c r="R300" s="244"/>
      <c r="S300" s="37">
        <v>0</v>
      </c>
      <c r="T300" s="36" t="str">
        <f t="shared" ca="1" si="26"/>
        <v>Empty</v>
      </c>
      <c r="U300" s="37" t="s">
        <v>1109</v>
      </c>
      <c r="V300" s="37"/>
      <c r="W300" s="38">
        <v>42306</v>
      </c>
      <c r="X300" s="39" t="s">
        <v>248</v>
      </c>
      <c r="Y300" s="181" t="s">
        <v>1110</v>
      </c>
      <c r="Z300" s="40" t="s">
        <v>212</v>
      </c>
      <c r="AA300" s="41">
        <f t="shared" ca="1" si="23"/>
        <v>1055</v>
      </c>
      <c r="AB300" s="40"/>
      <c r="AC300" s="116"/>
      <c r="AD300" s="116"/>
      <c r="AE300" s="40"/>
      <c r="AF300" s="136" t="str">
        <f t="shared" ca="1" si="25"/>
        <v/>
      </c>
      <c r="AG300" s="127"/>
      <c r="AH300" s="127"/>
      <c r="AI300" s="127"/>
      <c r="AJ300" s="128"/>
      <c r="AK300" s="128"/>
      <c r="AL300" s="129"/>
    </row>
    <row r="301" spans="1:38" ht="24.95" customHeight="1" x14ac:dyDescent="0.25">
      <c r="A301" s="97" t="str">
        <f t="shared" si="27"/>
        <v>15SAM105</v>
      </c>
      <c r="B301" s="172">
        <v>105</v>
      </c>
      <c r="C301" s="97" t="s">
        <v>57</v>
      </c>
      <c r="D301" s="98" t="s">
        <v>170</v>
      </c>
      <c r="E301" s="124" t="s">
        <v>416</v>
      </c>
      <c r="F301" s="124" t="s">
        <v>903</v>
      </c>
      <c r="G301" s="251"/>
      <c r="H301" s="34" t="s">
        <v>60</v>
      </c>
      <c r="I301" s="126">
        <v>350.84300000000002</v>
      </c>
      <c r="J301" s="47" t="s">
        <v>180</v>
      </c>
      <c r="K301" s="126">
        <v>350.84300000000002</v>
      </c>
      <c r="L301" s="132" t="s">
        <v>61</v>
      </c>
      <c r="M301" s="105" t="s">
        <v>61</v>
      </c>
      <c r="N301" s="265">
        <v>42306</v>
      </c>
      <c r="O301" s="260">
        <v>42307</v>
      </c>
      <c r="P301" s="106" t="s">
        <v>1114</v>
      </c>
      <c r="Q301" s="107" t="s">
        <v>212</v>
      </c>
      <c r="R301" s="244"/>
      <c r="S301" s="37">
        <v>0</v>
      </c>
      <c r="T301" s="36" t="s">
        <v>1115</v>
      </c>
      <c r="U301" s="37" t="s">
        <v>1116</v>
      </c>
      <c r="V301" s="37"/>
      <c r="W301" s="38"/>
      <c r="X301" s="39"/>
      <c r="Y301" s="39"/>
      <c r="Z301" s="40"/>
      <c r="AA301" s="41" t="str">
        <f t="shared" ca="1" si="23"/>
        <v/>
      </c>
      <c r="AB301" s="40"/>
      <c r="AC301" s="116"/>
      <c r="AD301" s="116"/>
      <c r="AE301" s="40"/>
      <c r="AF301" s="136" t="str">
        <f t="shared" ca="1" si="25"/>
        <v/>
      </c>
      <c r="AG301" s="127"/>
      <c r="AH301" s="127"/>
      <c r="AI301" s="127"/>
      <c r="AJ301" s="128"/>
      <c r="AK301" s="128"/>
      <c r="AL301" s="129"/>
    </row>
    <row r="302" spans="1:38" ht="24.95" customHeight="1" x14ac:dyDescent="0.25">
      <c r="A302" s="97" t="str">
        <f t="shared" si="27"/>
        <v>15SAM106</v>
      </c>
      <c r="B302" s="172">
        <v>106</v>
      </c>
      <c r="C302" s="97" t="s">
        <v>57</v>
      </c>
      <c r="D302" s="98" t="s">
        <v>170</v>
      </c>
      <c r="E302" s="124" t="s">
        <v>416</v>
      </c>
      <c r="F302" s="124" t="s">
        <v>1117</v>
      </c>
      <c r="G302" s="251"/>
      <c r="H302" s="34" t="s">
        <v>60</v>
      </c>
      <c r="I302" s="126" t="s">
        <v>1118</v>
      </c>
      <c r="J302" s="47" t="s">
        <v>180</v>
      </c>
      <c r="K302" s="126">
        <v>230.66900000000001</v>
      </c>
      <c r="L302" s="132" t="s">
        <v>61</v>
      </c>
      <c r="M302" s="105" t="s">
        <v>61</v>
      </c>
      <c r="N302" s="265">
        <v>42306</v>
      </c>
      <c r="O302" s="260">
        <v>42362</v>
      </c>
      <c r="P302" s="106" t="s">
        <v>86</v>
      </c>
      <c r="Q302" s="107" t="s">
        <v>212</v>
      </c>
      <c r="R302" s="244"/>
      <c r="S302" s="37">
        <v>0</v>
      </c>
      <c r="T302" s="36" t="str">
        <f t="shared" ca="1" si="26"/>
        <v>Empty</v>
      </c>
      <c r="U302" s="37" t="s">
        <v>1116</v>
      </c>
      <c r="V302" s="37"/>
      <c r="W302" s="38">
        <v>42362</v>
      </c>
      <c r="X302" s="39" t="s">
        <v>248</v>
      </c>
      <c r="Y302" s="39" t="s">
        <v>1119</v>
      </c>
      <c r="Z302" s="40" t="s">
        <v>212</v>
      </c>
      <c r="AA302" s="41">
        <f t="shared" ca="1" si="23"/>
        <v>1000</v>
      </c>
      <c r="AB302" s="40"/>
      <c r="AC302" s="116"/>
      <c r="AD302" s="116"/>
      <c r="AE302" s="40"/>
      <c r="AF302" s="136" t="str">
        <f t="shared" ca="1" si="25"/>
        <v/>
      </c>
      <c r="AG302" s="127"/>
      <c r="AH302" s="127"/>
      <c r="AI302" s="127"/>
      <c r="AJ302" s="128"/>
      <c r="AK302" s="128"/>
      <c r="AL302" s="129"/>
    </row>
    <row r="303" spans="1:38" ht="24.95" customHeight="1" x14ac:dyDescent="0.25">
      <c r="A303" s="97" t="str">
        <f t="shared" si="27"/>
        <v>15SAM107</v>
      </c>
      <c r="B303" s="173">
        <v>107</v>
      </c>
      <c r="C303" s="97" t="s">
        <v>57</v>
      </c>
      <c r="D303" s="98" t="s">
        <v>40</v>
      </c>
      <c r="E303" s="124" t="s">
        <v>739</v>
      </c>
      <c r="F303" s="124" t="s">
        <v>1120</v>
      </c>
      <c r="G303" s="251" t="s">
        <v>1121</v>
      </c>
      <c r="H303" s="34" t="s">
        <v>112</v>
      </c>
      <c r="I303" s="126" t="s">
        <v>1122</v>
      </c>
      <c r="J303" s="47" t="s">
        <v>45</v>
      </c>
      <c r="K303" s="126">
        <v>248.11</v>
      </c>
      <c r="L303" s="132" t="s">
        <v>1123</v>
      </c>
      <c r="M303" s="189" t="s">
        <v>1124</v>
      </c>
      <c r="N303" s="265">
        <v>42307</v>
      </c>
      <c r="O303" s="260">
        <v>42310</v>
      </c>
      <c r="P303" s="106" t="s">
        <v>124</v>
      </c>
      <c r="Q303" s="107" t="s">
        <v>510</v>
      </c>
      <c r="R303" s="244"/>
      <c r="S303" s="37">
        <v>0</v>
      </c>
      <c r="T303" s="36" t="str">
        <f t="shared" ca="1" si="26"/>
        <v>Empty</v>
      </c>
      <c r="U303" s="37" t="s">
        <v>1085</v>
      </c>
      <c r="V303" s="37"/>
      <c r="W303" s="38"/>
      <c r="X303" s="39"/>
      <c r="Y303" s="39"/>
      <c r="Z303" s="40"/>
      <c r="AA303" s="41" t="str">
        <f t="shared" ca="1" si="23"/>
        <v/>
      </c>
      <c r="AB303" s="40"/>
      <c r="AC303" s="116"/>
      <c r="AD303" s="116"/>
      <c r="AE303" s="40"/>
      <c r="AF303" s="136" t="str">
        <f t="shared" ca="1" si="25"/>
        <v/>
      </c>
      <c r="AG303" s="127"/>
      <c r="AH303" s="127"/>
      <c r="AI303" s="127"/>
      <c r="AJ303" s="128"/>
      <c r="AK303" s="128"/>
      <c r="AL303" s="129"/>
    </row>
    <row r="304" spans="1:38" ht="24.95" customHeight="1" x14ac:dyDescent="0.25">
      <c r="A304" s="97" t="str">
        <f t="shared" si="27"/>
        <v>15SAM108</v>
      </c>
      <c r="B304" s="172">
        <v>108</v>
      </c>
      <c r="C304" s="97" t="s">
        <v>57</v>
      </c>
      <c r="D304" s="98" t="s">
        <v>40</v>
      </c>
      <c r="E304" s="124" t="s">
        <v>739</v>
      </c>
      <c r="F304" s="124" t="s">
        <v>1120</v>
      </c>
      <c r="G304" s="251" t="s">
        <v>1121</v>
      </c>
      <c r="H304" s="34" t="s">
        <v>112</v>
      </c>
      <c r="I304" s="126" t="s">
        <v>1122</v>
      </c>
      <c r="J304" s="47" t="s">
        <v>45</v>
      </c>
      <c r="K304" s="126">
        <v>248.11</v>
      </c>
      <c r="L304" s="132" t="s">
        <v>1123</v>
      </c>
      <c r="M304" s="105" t="s">
        <v>1124</v>
      </c>
      <c r="N304" s="265">
        <v>42307</v>
      </c>
      <c r="O304" s="260">
        <v>42310</v>
      </c>
      <c r="P304" s="106" t="s">
        <v>124</v>
      </c>
      <c r="Q304" s="107" t="s">
        <v>510</v>
      </c>
      <c r="R304" s="244"/>
      <c r="S304" s="37">
        <v>0</v>
      </c>
      <c r="T304" s="36" t="str">
        <f t="shared" ca="1" si="26"/>
        <v>Empty</v>
      </c>
      <c r="U304" s="37" t="s">
        <v>1085</v>
      </c>
      <c r="V304" s="37"/>
      <c r="W304" s="130">
        <v>42310</v>
      </c>
      <c r="X304" s="93" t="s">
        <v>334</v>
      </c>
      <c r="Y304" s="93" t="s">
        <v>729</v>
      </c>
      <c r="Z304" s="92" t="s">
        <v>49</v>
      </c>
      <c r="AA304" s="94">
        <f t="shared" ca="1" si="23"/>
        <v>1052</v>
      </c>
      <c r="AB304" s="40"/>
      <c r="AC304" s="116"/>
      <c r="AD304" s="116"/>
      <c r="AE304" s="40"/>
      <c r="AF304" s="136" t="str">
        <f t="shared" ca="1" si="25"/>
        <v/>
      </c>
      <c r="AG304" s="127"/>
      <c r="AH304" s="127"/>
      <c r="AI304" s="127"/>
      <c r="AJ304" s="128"/>
      <c r="AK304" s="128"/>
      <c r="AL304" s="129"/>
    </row>
    <row r="305" spans="1:38" ht="24.95" customHeight="1" x14ac:dyDescent="0.25">
      <c r="A305" s="97" t="str">
        <f t="shared" si="27"/>
        <v>15SAM109</v>
      </c>
      <c r="B305" s="172">
        <v>109</v>
      </c>
      <c r="C305" s="97" t="s">
        <v>57</v>
      </c>
      <c r="D305" s="98" t="s">
        <v>40</v>
      </c>
      <c r="E305" s="124" t="s">
        <v>739</v>
      </c>
      <c r="F305" s="124" t="s">
        <v>1120</v>
      </c>
      <c r="G305" s="251" t="s">
        <v>1121</v>
      </c>
      <c r="H305" s="34" t="s">
        <v>112</v>
      </c>
      <c r="I305" s="126" t="s">
        <v>1125</v>
      </c>
      <c r="J305" s="34" t="s">
        <v>45</v>
      </c>
      <c r="K305" s="126">
        <v>248.11</v>
      </c>
      <c r="L305" s="190" t="s">
        <v>1123</v>
      </c>
      <c r="M305" s="105" t="s">
        <v>1124</v>
      </c>
      <c r="N305" s="265">
        <v>42312</v>
      </c>
      <c r="O305" s="260">
        <v>42317</v>
      </c>
      <c r="P305" s="106" t="s">
        <v>124</v>
      </c>
      <c r="Q305" s="107" t="s">
        <v>510</v>
      </c>
      <c r="R305" s="244"/>
      <c r="S305" s="37">
        <v>0</v>
      </c>
      <c r="T305" s="36" t="str">
        <f t="shared" ca="1" si="26"/>
        <v>Empty</v>
      </c>
      <c r="U305" s="37" t="s">
        <v>1085</v>
      </c>
      <c r="V305" s="37"/>
      <c r="W305" s="130">
        <v>42317</v>
      </c>
      <c r="X305" s="93" t="s">
        <v>334</v>
      </c>
      <c r="Y305" s="93" t="s">
        <v>729</v>
      </c>
      <c r="Z305" s="92" t="s">
        <v>49</v>
      </c>
      <c r="AA305" s="94">
        <f t="shared" ca="1" si="23"/>
        <v>1045</v>
      </c>
      <c r="AB305" s="40"/>
      <c r="AC305" s="116"/>
      <c r="AD305" s="116"/>
      <c r="AE305" s="40"/>
      <c r="AF305" s="136" t="str">
        <f t="shared" ca="1" si="25"/>
        <v/>
      </c>
      <c r="AG305" s="127"/>
      <c r="AH305" s="127"/>
      <c r="AI305" s="127"/>
      <c r="AJ305" s="128"/>
      <c r="AK305" s="128"/>
      <c r="AL305" s="129"/>
    </row>
    <row r="306" spans="1:38" ht="24.95" customHeight="1" x14ac:dyDescent="0.25">
      <c r="A306" s="114" t="str">
        <f t="shared" si="27"/>
        <v>15REF110</v>
      </c>
      <c r="B306" s="175">
        <v>110</v>
      </c>
      <c r="C306" s="114" t="s">
        <v>39</v>
      </c>
      <c r="D306" s="115" t="s">
        <v>40</v>
      </c>
      <c r="E306" s="124" t="s">
        <v>41</v>
      </c>
      <c r="F306" s="124" t="s">
        <v>860</v>
      </c>
      <c r="G306" s="251" t="s">
        <v>802</v>
      </c>
      <c r="H306" s="34" t="s">
        <v>330</v>
      </c>
      <c r="I306" s="126" t="s">
        <v>971</v>
      </c>
      <c r="J306" s="47" t="s">
        <v>180</v>
      </c>
      <c r="K306" s="126">
        <v>340.78</v>
      </c>
      <c r="L306" s="126" t="s">
        <v>862</v>
      </c>
      <c r="M306" s="104" t="s">
        <v>863</v>
      </c>
      <c r="N306" s="265">
        <v>42318</v>
      </c>
      <c r="O306" s="260">
        <v>42380</v>
      </c>
      <c r="P306" s="106" t="s">
        <v>183</v>
      </c>
      <c r="Q306" s="107" t="s">
        <v>504</v>
      </c>
      <c r="R306" s="244"/>
      <c r="S306" s="37">
        <v>0</v>
      </c>
      <c r="T306" s="36" t="str">
        <f t="shared" ca="1" si="26"/>
        <v>Empty</v>
      </c>
      <c r="U306" s="37" t="s">
        <v>958</v>
      </c>
      <c r="V306" s="37"/>
      <c r="W306" s="38">
        <v>42380</v>
      </c>
      <c r="X306" s="39" t="s">
        <v>248</v>
      </c>
      <c r="Y306" s="39" t="s">
        <v>729</v>
      </c>
      <c r="Z306" s="40" t="s">
        <v>212</v>
      </c>
      <c r="AA306" s="136">
        <f t="shared" ca="1" si="23"/>
        <v>983</v>
      </c>
      <c r="AB306" s="40"/>
      <c r="AC306" s="116"/>
      <c r="AD306" s="116"/>
      <c r="AE306" s="40"/>
      <c r="AF306" s="136" t="str">
        <f t="shared" ca="1" si="25"/>
        <v/>
      </c>
      <c r="AG306" s="127"/>
      <c r="AH306" s="127"/>
      <c r="AI306" s="127"/>
      <c r="AJ306" s="128"/>
      <c r="AK306" s="128"/>
      <c r="AL306" s="129"/>
    </row>
    <row r="307" spans="1:38" ht="24.95" customHeight="1" x14ac:dyDescent="0.25">
      <c r="A307" s="114" t="str">
        <f t="shared" si="27"/>
        <v>15REF111</v>
      </c>
      <c r="B307" s="174">
        <v>111</v>
      </c>
      <c r="C307" s="114" t="s">
        <v>39</v>
      </c>
      <c r="D307" s="115" t="s">
        <v>170</v>
      </c>
      <c r="E307" s="124" t="s">
        <v>41</v>
      </c>
      <c r="F307" s="124" t="s">
        <v>1541</v>
      </c>
      <c r="G307" s="251" t="s">
        <v>802</v>
      </c>
      <c r="H307" s="34" t="s">
        <v>330</v>
      </c>
      <c r="I307" s="126" t="s">
        <v>803</v>
      </c>
      <c r="J307" s="47" t="s">
        <v>180</v>
      </c>
      <c r="K307" s="126">
        <v>303.14</v>
      </c>
      <c r="L307" s="126" t="s">
        <v>804</v>
      </c>
      <c r="M307" s="104" t="s">
        <v>805</v>
      </c>
      <c r="N307" s="265">
        <v>42318</v>
      </c>
      <c r="O307" s="260"/>
      <c r="P307" s="106" t="s">
        <v>183</v>
      </c>
      <c r="Q307" s="107" t="s">
        <v>628</v>
      </c>
      <c r="R307" s="244"/>
      <c r="S307" s="37">
        <v>0</v>
      </c>
      <c r="T307" s="36" t="str">
        <f t="shared" ca="1" si="26"/>
        <v>Empty</v>
      </c>
      <c r="U307" s="37" t="s">
        <v>1252</v>
      </c>
      <c r="V307" s="37"/>
      <c r="W307" s="38"/>
      <c r="X307" s="39"/>
      <c r="Y307" s="39"/>
      <c r="Z307" s="40"/>
      <c r="AA307" s="136" t="str">
        <f t="shared" ca="1" si="23"/>
        <v/>
      </c>
      <c r="AB307" s="40"/>
      <c r="AC307" s="116"/>
      <c r="AD307" s="116"/>
      <c r="AE307" s="40"/>
      <c r="AF307" s="136" t="str">
        <f t="shared" ca="1" si="25"/>
        <v/>
      </c>
      <c r="AG307" s="127"/>
      <c r="AH307" s="127"/>
      <c r="AI307" s="127"/>
      <c r="AJ307" s="128"/>
      <c r="AK307" s="128"/>
      <c r="AL307" s="129"/>
    </row>
    <row r="308" spans="1:38" ht="24.95" customHeight="1" x14ac:dyDescent="0.25">
      <c r="A308" s="114" t="str">
        <f t="shared" si="27"/>
        <v>15REF112</v>
      </c>
      <c r="B308" s="174">
        <v>112</v>
      </c>
      <c r="C308" s="114" t="s">
        <v>39</v>
      </c>
      <c r="D308" s="115" t="s">
        <v>744</v>
      </c>
      <c r="E308" s="124" t="s">
        <v>41</v>
      </c>
      <c r="F308" s="124" t="s">
        <v>779</v>
      </c>
      <c r="G308" s="251" t="s">
        <v>1126</v>
      </c>
      <c r="H308" s="34" t="s">
        <v>330</v>
      </c>
      <c r="I308" s="126" t="s">
        <v>1127</v>
      </c>
      <c r="J308" s="47" t="s">
        <v>180</v>
      </c>
      <c r="K308" s="126">
        <v>197.13</v>
      </c>
      <c r="L308" s="126" t="s">
        <v>781</v>
      </c>
      <c r="M308" s="104" t="s">
        <v>782</v>
      </c>
      <c r="N308" s="265">
        <v>42318</v>
      </c>
      <c r="O308" s="260">
        <v>42380</v>
      </c>
      <c r="P308" s="106" t="s">
        <v>183</v>
      </c>
      <c r="Q308" s="107" t="s">
        <v>510</v>
      </c>
      <c r="R308" s="244"/>
      <c r="S308" s="37">
        <v>0</v>
      </c>
      <c r="T308" s="36" t="str">
        <f t="shared" ca="1" si="26"/>
        <v>Empty</v>
      </c>
      <c r="U308" s="37" t="s">
        <v>958</v>
      </c>
      <c r="V308" s="37"/>
      <c r="W308" s="38">
        <v>42380</v>
      </c>
      <c r="X308" s="39" t="s">
        <v>898</v>
      </c>
      <c r="Y308" s="39" t="s">
        <v>729</v>
      </c>
      <c r="Z308" s="40" t="s">
        <v>49</v>
      </c>
      <c r="AA308" s="136">
        <f t="shared" ca="1" si="23"/>
        <v>983</v>
      </c>
      <c r="AB308" s="40"/>
      <c r="AC308" s="116"/>
      <c r="AD308" s="116"/>
      <c r="AE308" s="40"/>
      <c r="AF308" s="136" t="str">
        <f t="shared" ca="1" si="25"/>
        <v/>
      </c>
      <c r="AG308" s="127"/>
      <c r="AH308" s="127"/>
      <c r="AI308" s="127"/>
      <c r="AJ308" s="128"/>
      <c r="AK308" s="128"/>
      <c r="AL308" s="129"/>
    </row>
    <row r="309" spans="1:38" ht="24.95" customHeight="1" x14ac:dyDescent="0.25">
      <c r="A309" s="97" t="str">
        <f t="shared" si="27"/>
        <v>15SAM113</v>
      </c>
      <c r="B309" s="173">
        <v>113</v>
      </c>
      <c r="C309" s="97" t="s">
        <v>57</v>
      </c>
      <c r="D309" s="98" t="s">
        <v>40</v>
      </c>
      <c r="E309" s="124" t="s">
        <v>739</v>
      </c>
      <c r="F309" s="124" t="s">
        <v>1120</v>
      </c>
      <c r="G309" s="251" t="s">
        <v>1121</v>
      </c>
      <c r="H309" s="34" t="s">
        <v>112</v>
      </c>
      <c r="I309" s="126" t="s">
        <v>1125</v>
      </c>
      <c r="J309" s="34" t="s">
        <v>45</v>
      </c>
      <c r="K309" s="126">
        <v>248.11</v>
      </c>
      <c r="L309" s="190" t="s">
        <v>1123</v>
      </c>
      <c r="M309" s="190" t="s">
        <v>1124</v>
      </c>
      <c r="N309" s="265">
        <v>42321</v>
      </c>
      <c r="O309" s="260">
        <v>42324</v>
      </c>
      <c r="P309" s="106" t="s">
        <v>124</v>
      </c>
      <c r="Q309" s="107" t="s">
        <v>510</v>
      </c>
      <c r="R309" s="244"/>
      <c r="S309" s="37">
        <v>0</v>
      </c>
      <c r="T309" s="36" t="str">
        <f t="shared" ca="1" si="26"/>
        <v>Empty</v>
      </c>
      <c r="U309" s="37" t="s">
        <v>1085</v>
      </c>
      <c r="V309" s="37"/>
      <c r="W309" s="38"/>
      <c r="X309" s="39"/>
      <c r="Y309" s="39"/>
      <c r="Z309" s="40"/>
      <c r="AA309" s="136" t="str">
        <f t="shared" ca="1" si="23"/>
        <v/>
      </c>
      <c r="AB309" s="40"/>
      <c r="AC309" s="116"/>
      <c r="AD309" s="116"/>
      <c r="AE309" s="40"/>
      <c r="AF309" s="136" t="str">
        <f t="shared" ca="1" si="25"/>
        <v/>
      </c>
      <c r="AG309" s="127"/>
      <c r="AH309" s="127"/>
      <c r="AI309" s="127"/>
      <c r="AJ309" s="128"/>
      <c r="AK309" s="128"/>
      <c r="AL309" s="129"/>
    </row>
    <row r="310" spans="1:38" ht="24.95" customHeight="1" x14ac:dyDescent="0.25">
      <c r="A310" s="97" t="str">
        <f t="shared" si="27"/>
        <v>15SAM114</v>
      </c>
      <c r="B310" s="172">
        <v>114</v>
      </c>
      <c r="C310" s="97" t="s">
        <v>57</v>
      </c>
      <c r="D310" s="98" t="s">
        <v>40</v>
      </c>
      <c r="E310" s="124" t="s">
        <v>739</v>
      </c>
      <c r="F310" s="124" t="s">
        <v>1120</v>
      </c>
      <c r="G310" s="251" t="s">
        <v>1121</v>
      </c>
      <c r="H310" s="34" t="s">
        <v>112</v>
      </c>
      <c r="I310" s="126" t="s">
        <v>1125</v>
      </c>
      <c r="J310" s="34" t="s">
        <v>45</v>
      </c>
      <c r="K310" s="126">
        <v>248.11</v>
      </c>
      <c r="L310" s="190" t="s">
        <v>1123</v>
      </c>
      <c r="M310" s="190" t="s">
        <v>1124</v>
      </c>
      <c r="N310" s="265">
        <v>42321</v>
      </c>
      <c r="O310" s="260">
        <v>42325</v>
      </c>
      <c r="P310" s="106" t="s">
        <v>124</v>
      </c>
      <c r="Q310" s="107" t="s">
        <v>510</v>
      </c>
      <c r="R310" s="244"/>
      <c r="S310" s="37">
        <v>0</v>
      </c>
      <c r="T310" s="36" t="str">
        <f t="shared" ca="1" si="26"/>
        <v>Empty</v>
      </c>
      <c r="U310" s="37" t="s">
        <v>1085</v>
      </c>
      <c r="V310" s="37"/>
      <c r="W310" s="38"/>
      <c r="X310" s="39"/>
      <c r="Y310" s="39"/>
      <c r="Z310" s="40"/>
      <c r="AA310" s="136" t="str">
        <f t="shared" ca="1" si="23"/>
        <v/>
      </c>
      <c r="AB310" s="40"/>
      <c r="AC310" s="116"/>
      <c r="AD310" s="116"/>
      <c r="AE310" s="40"/>
      <c r="AF310" s="136" t="str">
        <f t="shared" ca="1" si="25"/>
        <v/>
      </c>
      <c r="AG310" s="127"/>
      <c r="AH310" s="127"/>
      <c r="AI310" s="127"/>
      <c r="AJ310" s="128"/>
      <c r="AK310" s="128"/>
      <c r="AL310" s="129"/>
    </row>
    <row r="311" spans="1:38" ht="24.95" customHeight="1" x14ac:dyDescent="0.25">
      <c r="A311" s="97" t="str">
        <f t="shared" si="27"/>
        <v>15SAM115</v>
      </c>
      <c r="B311" s="172">
        <v>115</v>
      </c>
      <c r="C311" s="97" t="s">
        <v>57</v>
      </c>
      <c r="D311" s="98" t="s">
        <v>170</v>
      </c>
      <c r="E311" s="124" t="s">
        <v>739</v>
      </c>
      <c r="F311" s="124" t="s">
        <v>1128</v>
      </c>
      <c r="G311" s="251"/>
      <c r="H311" s="34" t="s">
        <v>60</v>
      </c>
      <c r="I311" s="126" t="s">
        <v>1129</v>
      </c>
      <c r="J311" s="34" t="s">
        <v>45</v>
      </c>
      <c r="K311" s="126">
        <v>386.423</v>
      </c>
      <c r="L311" s="126" t="s">
        <v>61</v>
      </c>
      <c r="M311" s="104" t="s">
        <v>61</v>
      </c>
      <c r="N311" s="265">
        <v>42324</v>
      </c>
      <c r="O311" s="260">
        <v>42295</v>
      </c>
      <c r="P311" s="106" t="s">
        <v>1130</v>
      </c>
      <c r="Q311" s="107" t="s">
        <v>685</v>
      </c>
      <c r="R311" s="244"/>
      <c r="S311" s="37">
        <v>0</v>
      </c>
      <c r="T311" s="36" t="str">
        <f t="shared" ca="1" si="26"/>
        <v>Empty</v>
      </c>
      <c r="U311" s="37" t="s">
        <v>1131</v>
      </c>
      <c r="V311" s="37"/>
      <c r="W311" s="38"/>
      <c r="X311" s="39"/>
      <c r="Y311" s="39"/>
      <c r="Z311" s="40"/>
      <c r="AA311" s="136" t="str">
        <f t="shared" ca="1" si="23"/>
        <v/>
      </c>
      <c r="AB311" s="40"/>
      <c r="AC311" s="116"/>
      <c r="AD311" s="116"/>
      <c r="AE311" s="40"/>
      <c r="AF311" s="136" t="str">
        <f t="shared" ca="1" si="25"/>
        <v/>
      </c>
      <c r="AG311" s="127"/>
      <c r="AH311" s="127"/>
      <c r="AI311" s="127"/>
      <c r="AJ311" s="128"/>
      <c r="AK311" s="128"/>
      <c r="AL311" s="129"/>
    </row>
    <row r="312" spans="1:38" ht="24.95" customHeight="1" x14ac:dyDescent="0.25">
      <c r="A312" s="97" t="str">
        <f t="shared" si="27"/>
        <v>15SAM116</v>
      </c>
      <c r="B312" s="173">
        <v>116</v>
      </c>
      <c r="C312" s="97" t="s">
        <v>57</v>
      </c>
      <c r="D312" s="98" t="s">
        <v>170</v>
      </c>
      <c r="E312" s="124" t="s">
        <v>739</v>
      </c>
      <c r="F312" s="124" t="s">
        <v>1132</v>
      </c>
      <c r="G312" s="251"/>
      <c r="H312" s="34" t="s">
        <v>60</v>
      </c>
      <c r="I312" s="126" t="s">
        <v>1133</v>
      </c>
      <c r="J312" s="34" t="s">
        <v>45</v>
      </c>
      <c r="K312" s="126">
        <v>338.40699999999998</v>
      </c>
      <c r="L312" s="126" t="s">
        <v>61</v>
      </c>
      <c r="M312" s="104" t="s">
        <v>61</v>
      </c>
      <c r="N312" s="265">
        <v>42324</v>
      </c>
      <c r="O312" s="260">
        <v>42295</v>
      </c>
      <c r="P312" s="106" t="s">
        <v>1134</v>
      </c>
      <c r="Q312" s="107" t="s">
        <v>685</v>
      </c>
      <c r="R312" s="244"/>
      <c r="S312" s="37">
        <v>0</v>
      </c>
      <c r="T312" s="36" t="str">
        <f t="shared" ca="1" si="26"/>
        <v>Empty</v>
      </c>
      <c r="U312" s="37" t="s">
        <v>1131</v>
      </c>
      <c r="V312" s="37"/>
      <c r="W312" s="38"/>
      <c r="X312" s="39"/>
      <c r="Y312" s="39"/>
      <c r="Z312" s="40"/>
      <c r="AA312" s="136" t="str">
        <f t="shared" ca="1" si="23"/>
        <v/>
      </c>
      <c r="AB312" s="40"/>
      <c r="AC312" s="116"/>
      <c r="AD312" s="116"/>
      <c r="AE312" s="40"/>
      <c r="AF312" s="136" t="str">
        <f t="shared" ca="1" si="25"/>
        <v/>
      </c>
      <c r="AG312" s="127"/>
      <c r="AH312" s="127"/>
      <c r="AI312" s="127"/>
      <c r="AJ312" s="128"/>
      <c r="AK312" s="128"/>
      <c r="AL312" s="129"/>
    </row>
    <row r="313" spans="1:38" ht="24.95" customHeight="1" x14ac:dyDescent="0.25">
      <c r="A313" s="114" t="str">
        <f t="shared" si="27"/>
        <v>15REF117</v>
      </c>
      <c r="B313" s="174">
        <v>117</v>
      </c>
      <c r="C313" s="114" t="s">
        <v>39</v>
      </c>
      <c r="D313" s="115" t="s">
        <v>40</v>
      </c>
      <c r="E313" s="124" t="s">
        <v>41</v>
      </c>
      <c r="F313" s="124" t="s">
        <v>3188</v>
      </c>
      <c r="G313" s="251" t="s">
        <v>2201</v>
      </c>
      <c r="H313" s="34" t="s">
        <v>43</v>
      </c>
      <c r="I313" s="126" t="s">
        <v>807</v>
      </c>
      <c r="J313" s="34" t="s">
        <v>180</v>
      </c>
      <c r="K313" s="126">
        <v>509.29</v>
      </c>
      <c r="L313" s="126">
        <v>14343</v>
      </c>
      <c r="M313" s="104" t="s">
        <v>808</v>
      </c>
      <c r="N313" s="265">
        <v>42325</v>
      </c>
      <c r="O313" s="260">
        <v>42529</v>
      </c>
      <c r="P313" s="106" t="s">
        <v>183</v>
      </c>
      <c r="Q313" s="34" t="s">
        <v>125</v>
      </c>
      <c r="R313" s="84"/>
      <c r="S313" s="37">
        <v>0</v>
      </c>
      <c r="T313" s="36" t="str">
        <f t="shared" ca="1" si="26"/>
        <v>Empty</v>
      </c>
      <c r="U313" s="37" t="s">
        <v>1412</v>
      </c>
      <c r="V313" s="37"/>
      <c r="W313" s="38">
        <v>42529</v>
      </c>
      <c r="X313" s="39" t="s">
        <v>248</v>
      </c>
      <c r="Y313" s="39" t="s">
        <v>1217</v>
      </c>
      <c r="Z313" s="40" t="s">
        <v>49</v>
      </c>
      <c r="AA313" s="136">
        <f t="shared" ca="1" si="23"/>
        <v>836</v>
      </c>
      <c r="AB313" s="40"/>
      <c r="AC313" s="116"/>
      <c r="AD313" s="116"/>
      <c r="AE313" s="40"/>
      <c r="AF313" s="136" t="str">
        <f t="shared" ca="1" si="25"/>
        <v/>
      </c>
      <c r="AG313" s="127"/>
      <c r="AH313" s="127"/>
      <c r="AI313" s="127"/>
      <c r="AJ313" s="128"/>
      <c r="AK313" s="128"/>
      <c r="AL313" s="129"/>
    </row>
    <row r="314" spans="1:38" ht="24.95" customHeight="1" x14ac:dyDescent="0.25">
      <c r="A314" s="97" t="str">
        <f t="shared" si="27"/>
        <v>15SAM118</v>
      </c>
      <c r="B314" s="172">
        <v>118</v>
      </c>
      <c r="C314" s="97" t="s">
        <v>57</v>
      </c>
      <c r="D314" s="98" t="s">
        <v>40</v>
      </c>
      <c r="E314" s="124" t="s">
        <v>1135</v>
      </c>
      <c r="F314" s="124" t="s">
        <v>1136</v>
      </c>
      <c r="G314" s="251"/>
      <c r="H314" s="34" t="s">
        <v>1137</v>
      </c>
      <c r="I314" s="126" t="s">
        <v>1138</v>
      </c>
      <c r="J314" s="47" t="s">
        <v>105</v>
      </c>
      <c r="K314" s="191" t="s">
        <v>1139</v>
      </c>
      <c r="L314" s="126" t="s">
        <v>1140</v>
      </c>
      <c r="M314" s="137" t="s">
        <v>61</v>
      </c>
      <c r="N314" s="265">
        <v>42326</v>
      </c>
      <c r="O314" s="262">
        <v>42326</v>
      </c>
      <c r="P314" s="106" t="s">
        <v>1141</v>
      </c>
      <c r="Q314" s="107" t="s">
        <v>1142</v>
      </c>
      <c r="R314" s="244"/>
      <c r="S314" s="37">
        <v>0</v>
      </c>
      <c r="T314" s="36" t="str">
        <f t="shared" ca="1" si="26"/>
        <v>Empty</v>
      </c>
      <c r="U314" s="37" t="s">
        <v>1143</v>
      </c>
      <c r="V314" s="37"/>
      <c r="W314" s="130">
        <v>42326</v>
      </c>
      <c r="X314" s="93" t="s">
        <v>1144</v>
      </c>
      <c r="Y314" s="93" t="s">
        <v>1145</v>
      </c>
      <c r="Z314" s="92" t="s">
        <v>1146</v>
      </c>
      <c r="AA314" s="146">
        <f t="shared" ca="1" si="23"/>
        <v>1036</v>
      </c>
      <c r="AB314" s="40"/>
      <c r="AC314" s="116"/>
      <c r="AD314" s="116"/>
      <c r="AE314" s="40"/>
      <c r="AF314" s="136" t="str">
        <f t="shared" ca="1" si="25"/>
        <v/>
      </c>
      <c r="AG314" s="127"/>
      <c r="AH314" s="127"/>
      <c r="AI314" s="127"/>
      <c r="AJ314" s="128"/>
      <c r="AK314" s="128"/>
      <c r="AL314" s="129"/>
    </row>
    <row r="315" spans="1:38" ht="24.95" customHeight="1" x14ac:dyDescent="0.25">
      <c r="A315" s="97" t="str">
        <f t="shared" si="27"/>
        <v>15SAM119</v>
      </c>
      <c r="B315" s="173">
        <v>119</v>
      </c>
      <c r="C315" s="97" t="s">
        <v>57</v>
      </c>
      <c r="D315" s="98" t="s">
        <v>40</v>
      </c>
      <c r="E315" s="124" t="s">
        <v>739</v>
      </c>
      <c r="F315" s="124" t="s">
        <v>1120</v>
      </c>
      <c r="G315" s="251" t="s">
        <v>1121</v>
      </c>
      <c r="H315" s="34" t="s">
        <v>112</v>
      </c>
      <c r="I315" s="126" t="s">
        <v>1122</v>
      </c>
      <c r="J315" s="34" t="s">
        <v>45</v>
      </c>
      <c r="K315" s="126">
        <v>248.11</v>
      </c>
      <c r="L315" s="190" t="s">
        <v>1123</v>
      </c>
      <c r="M315" s="190" t="s">
        <v>1124</v>
      </c>
      <c r="N315" s="265">
        <v>42326</v>
      </c>
      <c r="O315" s="260">
        <v>42356</v>
      </c>
      <c r="P315" s="106" t="s">
        <v>124</v>
      </c>
      <c r="Q315" s="107" t="s">
        <v>510</v>
      </c>
      <c r="R315" s="244"/>
      <c r="S315" s="37">
        <v>0</v>
      </c>
      <c r="T315" s="36" t="str">
        <f t="shared" ca="1" si="26"/>
        <v>Empty</v>
      </c>
      <c r="U315" s="37" t="s">
        <v>1085</v>
      </c>
      <c r="V315" s="37"/>
      <c r="W315" s="38"/>
      <c r="X315" s="39"/>
      <c r="Y315" s="39"/>
      <c r="Z315" s="40"/>
      <c r="AA315" s="136" t="str">
        <f t="shared" ca="1" si="23"/>
        <v/>
      </c>
      <c r="AB315" s="40"/>
      <c r="AC315" s="116"/>
      <c r="AD315" s="116"/>
      <c r="AE315" s="40"/>
      <c r="AF315" s="136" t="str">
        <f t="shared" ca="1" si="25"/>
        <v/>
      </c>
      <c r="AG315" s="127"/>
      <c r="AH315" s="127"/>
      <c r="AI315" s="127"/>
      <c r="AJ315" s="128"/>
      <c r="AK315" s="128"/>
      <c r="AL315" s="129"/>
    </row>
    <row r="316" spans="1:38" ht="24.95" customHeight="1" x14ac:dyDescent="0.25">
      <c r="A316" s="97" t="str">
        <f t="shared" si="27"/>
        <v>15SAM120</v>
      </c>
      <c r="B316" s="172">
        <v>120</v>
      </c>
      <c r="C316" s="97" t="s">
        <v>57</v>
      </c>
      <c r="D316" s="98" t="s">
        <v>40</v>
      </c>
      <c r="E316" s="124" t="s">
        <v>739</v>
      </c>
      <c r="F316" s="124" t="s">
        <v>1120</v>
      </c>
      <c r="G316" s="251" t="s">
        <v>1121</v>
      </c>
      <c r="H316" s="34" t="s">
        <v>112</v>
      </c>
      <c r="I316" s="126" t="s">
        <v>1125</v>
      </c>
      <c r="J316" s="34" t="s">
        <v>45</v>
      </c>
      <c r="K316" s="126">
        <v>248.11</v>
      </c>
      <c r="L316" s="190" t="s">
        <v>1123</v>
      </c>
      <c r="M316" s="190" t="s">
        <v>1124</v>
      </c>
      <c r="N316" s="265">
        <v>42326</v>
      </c>
      <c r="O316" s="260">
        <v>42359</v>
      </c>
      <c r="P316" s="106" t="s">
        <v>124</v>
      </c>
      <c r="Q316" s="107" t="s">
        <v>510</v>
      </c>
      <c r="R316" s="244"/>
      <c r="S316" s="37">
        <v>0</v>
      </c>
      <c r="T316" s="36" t="str">
        <f t="shared" ca="1" si="26"/>
        <v>Empty</v>
      </c>
      <c r="U316" s="37" t="s">
        <v>1085</v>
      </c>
      <c r="V316" s="37"/>
      <c r="W316" s="38"/>
      <c r="X316" s="39"/>
      <c r="Y316" s="39"/>
      <c r="Z316" s="40"/>
      <c r="AA316" s="136" t="str">
        <f t="shared" ref="AA316:AA380" ca="1" si="28">IF(W316="","",IF(W316,DAYS360(W316,TODAY())))</f>
        <v/>
      </c>
      <c r="AB316" s="40"/>
      <c r="AC316" s="116"/>
      <c r="AD316" s="116"/>
      <c r="AE316" s="40"/>
      <c r="AF316" s="136" t="str">
        <f t="shared" ca="1" si="25"/>
        <v/>
      </c>
      <c r="AG316" s="127"/>
      <c r="AH316" s="127"/>
      <c r="AI316" s="127"/>
      <c r="AJ316" s="128"/>
      <c r="AK316" s="128"/>
      <c r="AL316" s="129"/>
    </row>
    <row r="317" spans="1:38" ht="24.95" customHeight="1" x14ac:dyDescent="0.25">
      <c r="A317" s="97" t="str">
        <f t="shared" si="27"/>
        <v>15SAM121</v>
      </c>
      <c r="B317" s="172">
        <v>121</v>
      </c>
      <c r="C317" s="97" t="s">
        <v>57</v>
      </c>
      <c r="D317" s="98" t="s">
        <v>40</v>
      </c>
      <c r="E317" s="124" t="s">
        <v>996</v>
      </c>
      <c r="F317" s="124" t="s">
        <v>1147</v>
      </c>
      <c r="G317" s="251"/>
      <c r="H317" s="34" t="s">
        <v>60</v>
      </c>
      <c r="I317" s="126">
        <v>19</v>
      </c>
      <c r="J317" s="34" t="s">
        <v>45</v>
      </c>
      <c r="K317" s="126">
        <v>355.3</v>
      </c>
      <c r="L317" s="126" t="s">
        <v>61</v>
      </c>
      <c r="M317" s="137" t="s">
        <v>61</v>
      </c>
      <c r="N317" s="265">
        <v>42328</v>
      </c>
      <c r="O317" s="260">
        <v>42349</v>
      </c>
      <c r="P317" s="106" t="s">
        <v>1148</v>
      </c>
      <c r="Q317" s="107" t="s">
        <v>212</v>
      </c>
      <c r="R317" s="244"/>
      <c r="S317" s="37">
        <v>0</v>
      </c>
      <c r="T317" s="36" t="str">
        <f t="shared" ca="1" si="26"/>
        <v>Empty</v>
      </c>
      <c r="U317" s="37" t="s">
        <v>1149</v>
      </c>
      <c r="V317" s="37"/>
      <c r="W317" s="38">
        <v>42349</v>
      </c>
      <c r="X317" s="39" t="s">
        <v>248</v>
      </c>
      <c r="Y317" s="39" t="s">
        <v>700</v>
      </c>
      <c r="Z317" s="40" t="s">
        <v>212</v>
      </c>
      <c r="AA317" s="136">
        <f t="shared" ca="1" si="28"/>
        <v>1013</v>
      </c>
      <c r="AB317" s="40"/>
      <c r="AC317" s="116"/>
      <c r="AD317" s="116"/>
      <c r="AE317" s="40"/>
      <c r="AF317" s="136" t="str">
        <f t="shared" ca="1" si="25"/>
        <v/>
      </c>
      <c r="AG317" s="127"/>
      <c r="AH317" s="127"/>
      <c r="AI317" s="127"/>
      <c r="AJ317" s="128"/>
      <c r="AK317" s="128"/>
      <c r="AL317" s="129"/>
    </row>
    <row r="318" spans="1:38" ht="24.95" customHeight="1" x14ac:dyDescent="0.25">
      <c r="A318" s="97" t="str">
        <f t="shared" si="27"/>
        <v>15SAM122</v>
      </c>
      <c r="B318" s="173">
        <v>122</v>
      </c>
      <c r="C318" s="97" t="s">
        <v>57</v>
      </c>
      <c r="D318" s="98" t="s">
        <v>40</v>
      </c>
      <c r="E318" s="124" t="s">
        <v>996</v>
      </c>
      <c r="F318" s="124" t="s">
        <v>1150</v>
      </c>
      <c r="G318" s="251"/>
      <c r="H318" s="34" t="s">
        <v>60</v>
      </c>
      <c r="I318" s="126">
        <v>1</v>
      </c>
      <c r="J318" s="34" t="s">
        <v>45</v>
      </c>
      <c r="K318" s="126">
        <v>395.46</v>
      </c>
      <c r="L318" s="126" t="s">
        <v>61</v>
      </c>
      <c r="M318" s="137" t="s">
        <v>61</v>
      </c>
      <c r="N318" s="265">
        <v>42328</v>
      </c>
      <c r="O318" s="260">
        <v>42349</v>
      </c>
      <c r="P318" s="106" t="s">
        <v>1151</v>
      </c>
      <c r="Q318" s="107" t="s">
        <v>212</v>
      </c>
      <c r="R318" s="244"/>
      <c r="S318" s="37">
        <v>0</v>
      </c>
      <c r="T318" s="36" t="str">
        <f t="shared" ca="1" si="26"/>
        <v>Empty</v>
      </c>
      <c r="U318" s="37" t="s">
        <v>1149</v>
      </c>
      <c r="V318" s="37"/>
      <c r="W318" s="38">
        <v>42349</v>
      </c>
      <c r="X318" s="39" t="s">
        <v>248</v>
      </c>
      <c r="Y318" s="39" t="s">
        <v>1152</v>
      </c>
      <c r="Z318" s="40" t="s">
        <v>212</v>
      </c>
      <c r="AA318" s="136">
        <f t="shared" ca="1" si="28"/>
        <v>1013</v>
      </c>
      <c r="AB318" s="40"/>
      <c r="AC318" s="116"/>
      <c r="AD318" s="116"/>
      <c r="AE318" s="40"/>
      <c r="AF318" s="136" t="str">
        <f t="shared" ca="1" si="25"/>
        <v/>
      </c>
      <c r="AG318" s="127"/>
      <c r="AH318" s="127"/>
      <c r="AI318" s="127"/>
      <c r="AJ318" s="128"/>
      <c r="AK318" s="128"/>
      <c r="AL318" s="129"/>
    </row>
    <row r="319" spans="1:38" ht="24.95" customHeight="1" x14ac:dyDescent="0.25">
      <c r="A319" s="97" t="str">
        <f t="shared" si="27"/>
        <v>15SAM123</v>
      </c>
      <c r="B319" s="172">
        <v>123</v>
      </c>
      <c r="C319" s="97" t="s">
        <v>57</v>
      </c>
      <c r="D319" s="98" t="s">
        <v>40</v>
      </c>
      <c r="E319" s="124" t="s">
        <v>996</v>
      </c>
      <c r="F319" s="124" t="s">
        <v>1153</v>
      </c>
      <c r="G319" s="251"/>
      <c r="H319" s="34" t="s">
        <v>60</v>
      </c>
      <c r="I319" s="126">
        <v>1</v>
      </c>
      <c r="J319" s="34" t="s">
        <v>45</v>
      </c>
      <c r="K319" s="126">
        <v>345.28</v>
      </c>
      <c r="L319" s="126" t="s">
        <v>61</v>
      </c>
      <c r="M319" s="137" t="s">
        <v>61</v>
      </c>
      <c r="N319" s="265">
        <v>42328</v>
      </c>
      <c r="O319" s="260">
        <v>42349</v>
      </c>
      <c r="P319" s="106" t="s">
        <v>1154</v>
      </c>
      <c r="Q319" s="107" t="s">
        <v>212</v>
      </c>
      <c r="R319" s="244"/>
      <c r="S319" s="37">
        <v>0</v>
      </c>
      <c r="T319" s="36" t="str">
        <f t="shared" ca="1" si="26"/>
        <v>Empty</v>
      </c>
      <c r="U319" s="37" t="s">
        <v>1149</v>
      </c>
      <c r="V319" s="37"/>
      <c r="W319" s="38">
        <v>42349</v>
      </c>
      <c r="X319" s="39" t="s">
        <v>248</v>
      </c>
      <c r="Y319" s="39" t="s">
        <v>1155</v>
      </c>
      <c r="Z319" s="40" t="s">
        <v>212</v>
      </c>
      <c r="AA319" s="136">
        <f t="shared" ca="1" si="28"/>
        <v>1013</v>
      </c>
      <c r="AB319" s="40"/>
      <c r="AC319" s="116"/>
      <c r="AD319" s="116"/>
      <c r="AE319" s="40"/>
      <c r="AF319" s="136" t="str">
        <f t="shared" ca="1" si="25"/>
        <v/>
      </c>
      <c r="AG319" s="127"/>
      <c r="AH319" s="127"/>
      <c r="AI319" s="127"/>
      <c r="AJ319" s="128"/>
      <c r="AK319" s="128"/>
      <c r="AL319" s="129"/>
    </row>
    <row r="320" spans="1:38" ht="24.95" customHeight="1" x14ac:dyDescent="0.25">
      <c r="A320" s="97" t="str">
        <f t="shared" si="27"/>
        <v>15SAM124</v>
      </c>
      <c r="B320" s="172">
        <v>124</v>
      </c>
      <c r="C320" s="97" t="s">
        <v>57</v>
      </c>
      <c r="D320" s="98" t="s">
        <v>40</v>
      </c>
      <c r="E320" s="124" t="s">
        <v>730</v>
      </c>
      <c r="F320" s="124" t="s">
        <v>1156</v>
      </c>
      <c r="G320" s="251"/>
      <c r="H320" s="34" t="s">
        <v>60</v>
      </c>
      <c r="I320" s="126" t="s">
        <v>1157</v>
      </c>
      <c r="J320" s="34" t="s">
        <v>45</v>
      </c>
      <c r="K320" s="126">
        <v>498.63200000000001</v>
      </c>
      <c r="L320" s="126" t="s">
        <v>61</v>
      </c>
      <c r="M320" s="137" t="s">
        <v>61</v>
      </c>
      <c r="N320" s="265">
        <v>42331</v>
      </c>
      <c r="O320" s="260">
        <v>42332</v>
      </c>
      <c r="P320" s="106" t="s">
        <v>1158</v>
      </c>
      <c r="Q320" s="107" t="s">
        <v>212</v>
      </c>
      <c r="R320" s="244"/>
      <c r="S320" s="37">
        <v>0</v>
      </c>
      <c r="T320" s="36" t="str">
        <f t="shared" ca="1" si="26"/>
        <v>Empty</v>
      </c>
      <c r="U320" s="37" t="s">
        <v>814</v>
      </c>
      <c r="V320" s="37"/>
      <c r="W320" s="38">
        <v>42332</v>
      </c>
      <c r="X320" s="39" t="s">
        <v>248</v>
      </c>
      <c r="Y320" s="39" t="s">
        <v>1159</v>
      </c>
      <c r="Z320" s="40" t="s">
        <v>212</v>
      </c>
      <c r="AA320" s="136">
        <f t="shared" ca="1" si="28"/>
        <v>1030</v>
      </c>
      <c r="AB320" s="40"/>
      <c r="AC320" s="116"/>
      <c r="AD320" s="116"/>
      <c r="AE320" s="40"/>
      <c r="AF320" s="136" t="str">
        <f t="shared" ca="1" si="25"/>
        <v/>
      </c>
      <c r="AG320" s="127"/>
      <c r="AH320" s="127"/>
      <c r="AI320" s="127"/>
      <c r="AJ320" s="128"/>
      <c r="AK320" s="128"/>
      <c r="AL320" s="129"/>
    </row>
    <row r="321" spans="1:38" ht="24.95" customHeight="1" x14ac:dyDescent="0.25">
      <c r="A321" s="97" t="str">
        <f t="shared" si="27"/>
        <v>15SAM125</v>
      </c>
      <c r="B321" s="173">
        <v>125</v>
      </c>
      <c r="C321" s="97" t="s">
        <v>57</v>
      </c>
      <c r="D321" s="98" t="s">
        <v>40</v>
      </c>
      <c r="E321" s="124" t="s">
        <v>730</v>
      </c>
      <c r="F321" s="124" t="s">
        <v>809</v>
      </c>
      <c r="G321" s="252" t="s">
        <v>810</v>
      </c>
      <c r="H321" s="34" t="s">
        <v>43</v>
      </c>
      <c r="I321" s="126" t="s">
        <v>811</v>
      </c>
      <c r="J321" s="34" t="s">
        <v>45</v>
      </c>
      <c r="K321" s="126">
        <v>337.37</v>
      </c>
      <c r="L321" s="126" t="s">
        <v>812</v>
      </c>
      <c r="M321" s="104" t="s">
        <v>813</v>
      </c>
      <c r="N321" s="265">
        <v>42332</v>
      </c>
      <c r="O321" s="260">
        <v>42332</v>
      </c>
      <c r="P321" s="106" t="s">
        <v>139</v>
      </c>
      <c r="Q321" s="107" t="s">
        <v>212</v>
      </c>
      <c r="R321" s="244"/>
      <c r="S321" s="37">
        <v>0</v>
      </c>
      <c r="T321" s="36" t="str">
        <f t="shared" ca="1" si="26"/>
        <v>Empty</v>
      </c>
      <c r="U321" s="37" t="s">
        <v>814</v>
      </c>
      <c r="V321" s="37"/>
      <c r="W321" s="38">
        <v>42340</v>
      </c>
      <c r="X321" s="39" t="s">
        <v>248</v>
      </c>
      <c r="Y321" s="39" t="s">
        <v>815</v>
      </c>
      <c r="Z321" s="40" t="s">
        <v>212</v>
      </c>
      <c r="AA321" s="136">
        <f t="shared" ca="1" si="28"/>
        <v>1022</v>
      </c>
      <c r="AB321" s="40"/>
      <c r="AC321" s="116"/>
      <c r="AD321" s="116"/>
      <c r="AE321" s="40"/>
      <c r="AF321" s="136" t="str">
        <f t="shared" ca="1" si="25"/>
        <v/>
      </c>
      <c r="AG321" s="127"/>
      <c r="AH321" s="127"/>
      <c r="AI321" s="127"/>
      <c r="AJ321" s="128"/>
      <c r="AK321" s="128"/>
      <c r="AL321" s="129"/>
    </row>
    <row r="322" spans="1:38" ht="24.95" customHeight="1" x14ac:dyDescent="0.25">
      <c r="A322" s="97" t="str">
        <f t="shared" si="27"/>
        <v>15SAM126</v>
      </c>
      <c r="B322" s="172">
        <v>126</v>
      </c>
      <c r="C322" s="97" t="s">
        <v>57</v>
      </c>
      <c r="D322" s="98" t="s">
        <v>40</v>
      </c>
      <c r="E322" s="124" t="s">
        <v>730</v>
      </c>
      <c r="F322" s="124" t="s">
        <v>816</v>
      </c>
      <c r="G322" s="253" t="s">
        <v>817</v>
      </c>
      <c r="H322" s="34" t="s">
        <v>43</v>
      </c>
      <c r="I322" s="126" t="s">
        <v>818</v>
      </c>
      <c r="J322" s="34" t="s">
        <v>45</v>
      </c>
      <c r="K322" s="126">
        <v>438.31</v>
      </c>
      <c r="L322" s="126" t="s">
        <v>819</v>
      </c>
      <c r="M322" s="104" t="s">
        <v>820</v>
      </c>
      <c r="N322" s="265">
        <v>42332</v>
      </c>
      <c r="O322" s="260">
        <v>42332</v>
      </c>
      <c r="P322" s="106" t="s">
        <v>821</v>
      </c>
      <c r="Q322" s="107" t="s">
        <v>822</v>
      </c>
      <c r="R322" s="244"/>
      <c r="S322" s="37">
        <f>1000-15.3-13.1-77.5-51.4</f>
        <v>842.7</v>
      </c>
      <c r="T322" s="36">
        <f t="shared" ca="1" si="26"/>
        <v>1030</v>
      </c>
      <c r="U322" s="37" t="s">
        <v>814</v>
      </c>
      <c r="V322" s="37"/>
      <c r="W322" s="38">
        <v>42341</v>
      </c>
      <c r="X322" s="39" t="s">
        <v>248</v>
      </c>
      <c r="Y322" s="39" t="s">
        <v>823</v>
      </c>
      <c r="Z322" s="40" t="s">
        <v>49</v>
      </c>
      <c r="AA322" s="136">
        <f t="shared" ca="1" si="28"/>
        <v>1021</v>
      </c>
      <c r="AB322" s="40"/>
      <c r="AC322" s="116"/>
      <c r="AD322" s="116"/>
      <c r="AE322" s="40"/>
      <c r="AF322" s="136" t="str">
        <f t="shared" ca="1" si="25"/>
        <v/>
      </c>
      <c r="AG322" s="127"/>
      <c r="AH322" s="127"/>
      <c r="AI322" s="127"/>
      <c r="AJ322" s="128"/>
      <c r="AK322" s="128"/>
      <c r="AL322" s="129"/>
    </row>
    <row r="323" spans="1:38" ht="24.95" customHeight="1" x14ac:dyDescent="0.25">
      <c r="A323" s="97" t="str">
        <f t="shared" si="27"/>
        <v>15SAM127</v>
      </c>
      <c r="B323" s="172">
        <v>127</v>
      </c>
      <c r="C323" s="97" t="s">
        <v>57</v>
      </c>
      <c r="D323" s="98" t="s">
        <v>824</v>
      </c>
      <c r="E323" s="124" t="s">
        <v>516</v>
      </c>
      <c r="F323" s="124" t="s">
        <v>1160</v>
      </c>
      <c r="G323" s="252"/>
      <c r="H323" s="34" t="s">
        <v>60</v>
      </c>
      <c r="I323" s="126" t="s">
        <v>1161</v>
      </c>
      <c r="J323" s="34" t="s">
        <v>45</v>
      </c>
      <c r="K323" s="126">
        <v>309.13</v>
      </c>
      <c r="L323" s="126" t="s">
        <v>61</v>
      </c>
      <c r="M323" s="137" t="s">
        <v>61</v>
      </c>
      <c r="N323" s="265">
        <v>42333</v>
      </c>
      <c r="O323" s="260">
        <v>42335</v>
      </c>
      <c r="P323" s="106" t="s">
        <v>1162</v>
      </c>
      <c r="Q323" s="107" t="s">
        <v>212</v>
      </c>
      <c r="R323" s="244"/>
      <c r="S323" s="37">
        <v>0</v>
      </c>
      <c r="T323" s="36" t="str">
        <f t="shared" ca="1" si="26"/>
        <v>Empty</v>
      </c>
      <c r="U323" s="37" t="s">
        <v>1105</v>
      </c>
      <c r="V323" s="37"/>
      <c r="W323" s="38">
        <v>42335</v>
      </c>
      <c r="X323" s="39" t="s">
        <v>1163</v>
      </c>
      <c r="Y323" s="39" t="s">
        <v>1164</v>
      </c>
      <c r="Z323" s="40" t="s">
        <v>212</v>
      </c>
      <c r="AA323" s="136">
        <f t="shared" ca="1" si="28"/>
        <v>1027</v>
      </c>
      <c r="AB323" s="40"/>
      <c r="AC323" s="116"/>
      <c r="AD323" s="116"/>
      <c r="AE323" s="40"/>
      <c r="AF323" s="136" t="str">
        <f t="shared" ca="1" si="25"/>
        <v/>
      </c>
      <c r="AG323" s="127"/>
      <c r="AH323" s="127"/>
      <c r="AI323" s="127"/>
      <c r="AJ323" s="128"/>
      <c r="AK323" s="128"/>
      <c r="AL323" s="129"/>
    </row>
    <row r="324" spans="1:38" ht="24.95" customHeight="1" x14ac:dyDescent="0.25">
      <c r="A324" s="97" t="str">
        <f t="shared" si="27"/>
        <v>15SAM128</v>
      </c>
      <c r="B324" s="173">
        <v>128</v>
      </c>
      <c r="C324" s="97" t="s">
        <v>57</v>
      </c>
      <c r="D324" s="98" t="s">
        <v>170</v>
      </c>
      <c r="E324" s="124" t="s">
        <v>289</v>
      </c>
      <c r="F324" s="124" t="s">
        <v>1165</v>
      </c>
      <c r="G324" s="254" t="s">
        <v>61</v>
      </c>
      <c r="H324" s="34" t="s">
        <v>60</v>
      </c>
      <c r="I324" s="126" t="s">
        <v>61</v>
      </c>
      <c r="J324" s="34" t="s">
        <v>45</v>
      </c>
      <c r="K324" s="126">
        <v>383.42</v>
      </c>
      <c r="L324" s="126" t="s">
        <v>61</v>
      </c>
      <c r="M324" s="137" t="s">
        <v>61</v>
      </c>
      <c r="N324" s="265">
        <v>42335</v>
      </c>
      <c r="O324" s="260">
        <v>42338</v>
      </c>
      <c r="P324" s="106" t="s">
        <v>1166</v>
      </c>
      <c r="Q324" s="107" t="s">
        <v>212</v>
      </c>
      <c r="R324" s="244"/>
      <c r="S324" s="37">
        <v>0</v>
      </c>
      <c r="T324" s="36" t="str">
        <f t="shared" ca="1" si="26"/>
        <v>Empty</v>
      </c>
      <c r="U324" s="37" t="s">
        <v>1079</v>
      </c>
      <c r="V324" s="37"/>
      <c r="W324" s="38"/>
      <c r="X324" s="39"/>
      <c r="Y324" s="39"/>
      <c r="Z324" s="40"/>
      <c r="AA324" s="136" t="str">
        <f t="shared" ca="1" si="28"/>
        <v/>
      </c>
      <c r="AB324" s="40"/>
      <c r="AC324" s="116"/>
      <c r="AD324" s="116"/>
      <c r="AE324" s="40"/>
      <c r="AF324" s="136" t="str">
        <f t="shared" ca="1" si="25"/>
        <v/>
      </c>
      <c r="AG324" s="127"/>
      <c r="AH324" s="127"/>
      <c r="AI324" s="127"/>
      <c r="AJ324" s="128"/>
      <c r="AK324" s="128"/>
      <c r="AL324" s="129"/>
    </row>
    <row r="325" spans="1:38" ht="24.95" customHeight="1" x14ac:dyDescent="0.25">
      <c r="A325" s="97" t="str">
        <f t="shared" si="27"/>
        <v>15SAM129</v>
      </c>
      <c r="B325" s="172">
        <v>129</v>
      </c>
      <c r="C325" s="97" t="s">
        <v>57</v>
      </c>
      <c r="D325" s="98" t="s">
        <v>40</v>
      </c>
      <c r="E325" s="124" t="s">
        <v>1135</v>
      </c>
      <c r="F325" s="124" t="s">
        <v>1136</v>
      </c>
      <c r="G325" s="251"/>
      <c r="H325" s="34" t="s">
        <v>1137</v>
      </c>
      <c r="I325" s="126" t="s">
        <v>1138</v>
      </c>
      <c r="J325" s="47" t="s">
        <v>105</v>
      </c>
      <c r="K325" s="191" t="s">
        <v>1139</v>
      </c>
      <c r="L325" s="126" t="s">
        <v>1140</v>
      </c>
      <c r="M325" s="137" t="s">
        <v>61</v>
      </c>
      <c r="N325" s="265">
        <v>42334</v>
      </c>
      <c r="O325" s="260">
        <v>42342</v>
      </c>
      <c r="P325" s="106" t="s">
        <v>1141</v>
      </c>
      <c r="Q325" s="107" t="s">
        <v>1142</v>
      </c>
      <c r="R325" s="244"/>
      <c r="S325" s="37">
        <v>0</v>
      </c>
      <c r="T325" s="36" t="str">
        <f t="shared" ca="1" si="26"/>
        <v>Empty</v>
      </c>
      <c r="U325" s="37" t="s">
        <v>1143</v>
      </c>
      <c r="V325" s="37"/>
      <c r="W325" s="130">
        <v>42342</v>
      </c>
      <c r="X325" s="93" t="s">
        <v>1167</v>
      </c>
      <c r="Y325" s="93" t="s">
        <v>1168</v>
      </c>
      <c r="Z325" s="92" t="s">
        <v>1146</v>
      </c>
      <c r="AA325" s="146">
        <f t="shared" ca="1" si="28"/>
        <v>1020</v>
      </c>
      <c r="AB325" s="40"/>
      <c r="AC325" s="116"/>
      <c r="AD325" s="116"/>
      <c r="AE325" s="40"/>
      <c r="AF325" s="136" t="str">
        <f t="shared" ca="1" si="25"/>
        <v/>
      </c>
      <c r="AG325" s="127"/>
      <c r="AH325" s="127"/>
      <c r="AI325" s="127"/>
      <c r="AJ325" s="128"/>
      <c r="AK325" s="128"/>
      <c r="AL325" s="129"/>
    </row>
    <row r="326" spans="1:38" ht="24.95" customHeight="1" x14ac:dyDescent="0.25">
      <c r="A326" s="97" t="str">
        <f t="shared" si="27"/>
        <v>15SAM130</v>
      </c>
      <c r="B326" s="172">
        <v>130</v>
      </c>
      <c r="C326" s="97" t="s">
        <v>57</v>
      </c>
      <c r="D326" s="98" t="s">
        <v>40</v>
      </c>
      <c r="E326" s="124" t="s">
        <v>1135</v>
      </c>
      <c r="F326" s="124" t="s">
        <v>1169</v>
      </c>
      <c r="G326" s="251"/>
      <c r="H326" s="34" t="s">
        <v>112</v>
      </c>
      <c r="I326" s="126" t="s">
        <v>1170</v>
      </c>
      <c r="J326" s="47" t="s">
        <v>105</v>
      </c>
      <c r="K326" s="126">
        <v>436.26</v>
      </c>
      <c r="L326" s="126">
        <v>3915</v>
      </c>
      <c r="M326" s="104" t="s">
        <v>1171</v>
      </c>
      <c r="N326" s="265">
        <v>42334</v>
      </c>
      <c r="O326" s="260">
        <v>42342</v>
      </c>
      <c r="P326" s="106" t="s">
        <v>86</v>
      </c>
      <c r="Q326" s="107" t="s">
        <v>504</v>
      </c>
      <c r="R326" s="244"/>
      <c r="S326" s="37">
        <v>0</v>
      </c>
      <c r="T326" s="36" t="str">
        <f t="shared" ca="1" si="26"/>
        <v>Empty</v>
      </c>
      <c r="U326" s="37" t="s">
        <v>1143</v>
      </c>
      <c r="V326" s="37"/>
      <c r="W326" s="38">
        <v>42342</v>
      </c>
      <c r="X326" s="39" t="s">
        <v>1172</v>
      </c>
      <c r="Y326" s="39" t="s">
        <v>1173</v>
      </c>
      <c r="Z326" s="40" t="s">
        <v>212</v>
      </c>
      <c r="AA326" s="136">
        <f t="shared" ca="1" si="28"/>
        <v>1020</v>
      </c>
      <c r="AB326" s="40"/>
      <c r="AC326" s="116"/>
      <c r="AD326" s="116"/>
      <c r="AE326" s="40"/>
      <c r="AF326" s="136" t="str">
        <f t="shared" ca="1" si="25"/>
        <v/>
      </c>
      <c r="AG326" s="127"/>
      <c r="AH326" s="127"/>
      <c r="AI326" s="127"/>
      <c r="AJ326" s="128"/>
      <c r="AK326" s="128"/>
      <c r="AL326" s="129"/>
    </row>
    <row r="327" spans="1:38" ht="24.95" customHeight="1" x14ac:dyDescent="0.25">
      <c r="A327" s="97" t="str">
        <f t="shared" si="27"/>
        <v>15SAM131</v>
      </c>
      <c r="B327" s="173">
        <v>131</v>
      </c>
      <c r="C327" s="97" t="s">
        <v>57</v>
      </c>
      <c r="D327" s="98" t="s">
        <v>824</v>
      </c>
      <c r="E327" s="124" t="s">
        <v>825</v>
      </c>
      <c r="F327" s="124" t="s">
        <v>826</v>
      </c>
      <c r="G327" s="251"/>
      <c r="H327" s="34" t="s">
        <v>60</v>
      </c>
      <c r="I327" s="126" t="s">
        <v>61</v>
      </c>
      <c r="J327" s="47" t="s">
        <v>105</v>
      </c>
      <c r="K327" s="126">
        <v>159.22999999999999</v>
      </c>
      <c r="L327" s="126" t="s">
        <v>61</v>
      </c>
      <c r="M327" s="137" t="s">
        <v>61</v>
      </c>
      <c r="N327" s="265">
        <v>42340</v>
      </c>
      <c r="O327" s="260">
        <v>42390</v>
      </c>
      <c r="P327" s="106" t="s">
        <v>827</v>
      </c>
      <c r="Q327" s="107" t="s">
        <v>828</v>
      </c>
      <c r="R327" s="244"/>
      <c r="S327" s="37">
        <v>0</v>
      </c>
      <c r="T327" s="36" t="str">
        <f t="shared" ca="1" si="26"/>
        <v>Empty</v>
      </c>
      <c r="U327" s="37" t="s">
        <v>829</v>
      </c>
      <c r="V327" s="37" t="s">
        <v>1624</v>
      </c>
      <c r="W327" s="38"/>
      <c r="X327" s="39"/>
      <c r="Y327" s="39"/>
      <c r="Z327" s="40"/>
      <c r="AA327" s="136" t="str">
        <f t="shared" ca="1" si="28"/>
        <v/>
      </c>
      <c r="AB327" s="40"/>
      <c r="AC327" s="116"/>
      <c r="AD327" s="116"/>
      <c r="AE327" s="40"/>
      <c r="AF327" s="136" t="str">
        <f t="shared" ca="1" si="25"/>
        <v/>
      </c>
      <c r="AG327" s="127"/>
      <c r="AH327" s="127"/>
      <c r="AI327" s="127"/>
      <c r="AJ327" s="128"/>
      <c r="AK327" s="128"/>
      <c r="AL327" s="129"/>
    </row>
    <row r="328" spans="1:38" ht="24.95" customHeight="1" x14ac:dyDescent="0.25">
      <c r="A328" s="97" t="str">
        <f t="shared" si="27"/>
        <v>15SAM132</v>
      </c>
      <c r="B328" s="172">
        <v>132</v>
      </c>
      <c r="C328" s="97" t="s">
        <v>57</v>
      </c>
      <c r="D328" s="98" t="s">
        <v>824</v>
      </c>
      <c r="E328" s="124" t="s">
        <v>825</v>
      </c>
      <c r="F328" s="124" t="s">
        <v>830</v>
      </c>
      <c r="G328" s="251"/>
      <c r="H328" s="34" t="s">
        <v>60</v>
      </c>
      <c r="I328" s="126" t="s">
        <v>61</v>
      </c>
      <c r="J328" s="47" t="s">
        <v>105</v>
      </c>
      <c r="K328" s="126">
        <v>209.28</v>
      </c>
      <c r="L328" s="126" t="s">
        <v>61</v>
      </c>
      <c r="M328" s="137" t="s">
        <v>61</v>
      </c>
      <c r="N328" s="265">
        <v>42340</v>
      </c>
      <c r="O328" s="260">
        <v>42355</v>
      </c>
      <c r="P328" s="106" t="s">
        <v>831</v>
      </c>
      <c r="Q328" s="107" t="s">
        <v>828</v>
      </c>
      <c r="R328" s="244"/>
      <c r="S328" s="37">
        <f>202.8-1.73-1.04-1.28-2.17-1.27-1.05-2.08-2.1-2.08-4.25-6.28-6.28-1.45-2.21-1.07-1.5-3.3-2-3-2-2.13-2.7-14.6-1.09-6.2-20.3-2.51-1.63-11.5-1.81-2.1-1.1-1.08-1.65</f>
        <v>84.260000000000019</v>
      </c>
      <c r="T328" s="36">
        <f t="shared" ca="1" si="26"/>
        <v>1007</v>
      </c>
      <c r="U328" s="37" t="s">
        <v>1601</v>
      </c>
      <c r="V328" s="37"/>
      <c r="W328" s="38"/>
      <c r="X328" s="39"/>
      <c r="Y328" s="39"/>
      <c r="Z328" s="40"/>
      <c r="AA328" s="136" t="str">
        <f t="shared" ca="1" si="28"/>
        <v/>
      </c>
      <c r="AB328" s="40"/>
      <c r="AC328" s="116"/>
      <c r="AD328" s="116"/>
      <c r="AE328" s="40"/>
      <c r="AF328" s="136" t="str">
        <f t="shared" ca="1" si="25"/>
        <v/>
      </c>
      <c r="AG328" s="127"/>
      <c r="AH328" s="127"/>
      <c r="AI328" s="127"/>
      <c r="AJ328" s="128"/>
      <c r="AK328" s="128"/>
      <c r="AL328" s="129"/>
    </row>
    <row r="329" spans="1:38" ht="24.95" customHeight="1" x14ac:dyDescent="0.25">
      <c r="A329" s="97" t="str">
        <f t="shared" si="27"/>
        <v>15SAM133</v>
      </c>
      <c r="B329" s="172">
        <v>133</v>
      </c>
      <c r="C329" s="97" t="s">
        <v>57</v>
      </c>
      <c r="D329" s="98" t="s">
        <v>170</v>
      </c>
      <c r="E329" s="124" t="s">
        <v>416</v>
      </c>
      <c r="F329" s="124" t="s">
        <v>1174</v>
      </c>
      <c r="G329" s="251"/>
      <c r="H329" s="34" t="s">
        <v>43</v>
      </c>
      <c r="I329" s="126" t="s">
        <v>1175</v>
      </c>
      <c r="J329" s="47" t="s">
        <v>180</v>
      </c>
      <c r="K329" s="126">
        <v>378.39</v>
      </c>
      <c r="L329" s="126" t="s">
        <v>1176</v>
      </c>
      <c r="M329" s="104" t="s">
        <v>1177</v>
      </c>
      <c r="N329" s="265">
        <v>42341</v>
      </c>
      <c r="O329" s="260">
        <v>42341</v>
      </c>
      <c r="P329" s="106" t="s">
        <v>497</v>
      </c>
      <c r="Q329" s="107" t="s">
        <v>212</v>
      </c>
      <c r="R329" s="244"/>
      <c r="S329" s="37">
        <v>0</v>
      </c>
      <c r="T329" s="36" t="str">
        <f t="shared" ca="1" si="26"/>
        <v>Empty</v>
      </c>
      <c r="U329" s="37" t="s">
        <v>1116</v>
      </c>
      <c r="V329" s="37"/>
      <c r="W329" s="38"/>
      <c r="X329" s="39"/>
      <c r="Y329" s="39"/>
      <c r="Z329" s="40"/>
      <c r="AA329" s="136" t="str">
        <f t="shared" ca="1" si="28"/>
        <v/>
      </c>
      <c r="AB329" s="40"/>
      <c r="AC329" s="116"/>
      <c r="AD329" s="116"/>
      <c r="AE329" s="40"/>
      <c r="AF329" s="136" t="str">
        <f t="shared" ca="1" si="25"/>
        <v/>
      </c>
      <c r="AG329" s="127"/>
      <c r="AH329" s="127"/>
      <c r="AI329" s="127"/>
      <c r="AJ329" s="128"/>
      <c r="AK329" s="128"/>
      <c r="AL329" s="129"/>
    </row>
    <row r="330" spans="1:38" ht="24.95" customHeight="1" x14ac:dyDescent="0.25">
      <c r="A330" s="114" t="str">
        <f t="shared" si="27"/>
        <v>15REF134</v>
      </c>
      <c r="B330" s="175">
        <v>134</v>
      </c>
      <c r="C330" s="114" t="s">
        <v>39</v>
      </c>
      <c r="D330" s="115" t="s">
        <v>40</v>
      </c>
      <c r="E330" s="124" t="s">
        <v>41</v>
      </c>
      <c r="F330" s="124" t="s">
        <v>832</v>
      </c>
      <c r="G330" s="251"/>
      <c r="H330" s="34" t="s">
        <v>43</v>
      </c>
      <c r="I330" s="126" t="s">
        <v>833</v>
      </c>
      <c r="J330" s="34" t="s">
        <v>45</v>
      </c>
      <c r="K330" s="126">
        <v>373.9</v>
      </c>
      <c r="L330" s="126" t="s">
        <v>834</v>
      </c>
      <c r="M330" s="104" t="s">
        <v>835</v>
      </c>
      <c r="N330" s="265">
        <v>42346</v>
      </c>
      <c r="O330" s="260">
        <v>42348</v>
      </c>
      <c r="P330" s="106" t="s">
        <v>48</v>
      </c>
      <c r="Q330" s="107" t="s">
        <v>836</v>
      </c>
      <c r="R330" s="244"/>
      <c r="S330" s="37">
        <f>25000-41.8-6.68</f>
        <v>24951.52</v>
      </c>
      <c r="T330" s="36">
        <f t="shared" ca="1" si="26"/>
        <v>1014</v>
      </c>
      <c r="U330" s="37" t="s">
        <v>837</v>
      </c>
      <c r="V330" s="37" t="s">
        <v>838</v>
      </c>
      <c r="W330" s="38">
        <v>42675</v>
      </c>
      <c r="X330" s="39" t="s">
        <v>839</v>
      </c>
      <c r="Y330" s="39" t="s">
        <v>840</v>
      </c>
      <c r="Z330" s="40" t="s">
        <v>49</v>
      </c>
      <c r="AA330" s="136">
        <f t="shared" ca="1" si="28"/>
        <v>693</v>
      </c>
      <c r="AB330" s="40"/>
      <c r="AC330" s="116"/>
      <c r="AD330" s="116"/>
      <c r="AE330" s="40"/>
      <c r="AF330" s="136" t="str">
        <f t="shared" ca="1" si="25"/>
        <v/>
      </c>
      <c r="AG330" s="127"/>
      <c r="AH330" s="127"/>
      <c r="AI330" s="127"/>
      <c r="AJ330" s="128"/>
      <c r="AK330" s="128"/>
      <c r="AL330" s="129"/>
    </row>
    <row r="331" spans="1:38" ht="24.95" customHeight="1" x14ac:dyDescent="0.25">
      <c r="A331" s="97" t="str">
        <f t="shared" si="27"/>
        <v>15SAM135</v>
      </c>
      <c r="B331" s="172">
        <v>135</v>
      </c>
      <c r="C331" s="97" t="s">
        <v>57</v>
      </c>
      <c r="D331" s="98" t="s">
        <v>40</v>
      </c>
      <c r="E331" s="124" t="s">
        <v>1135</v>
      </c>
      <c r="F331" s="124" t="s">
        <v>1178</v>
      </c>
      <c r="G331" s="251"/>
      <c r="H331" s="34" t="s">
        <v>1137</v>
      </c>
      <c r="I331" s="126" t="s">
        <v>1138</v>
      </c>
      <c r="J331" s="47" t="s">
        <v>105</v>
      </c>
      <c r="K331" s="191" t="s">
        <v>1139</v>
      </c>
      <c r="L331" s="126" t="s">
        <v>1140</v>
      </c>
      <c r="M331" s="137"/>
      <c r="N331" s="265">
        <v>42347</v>
      </c>
      <c r="O331" s="260">
        <v>42349</v>
      </c>
      <c r="P331" s="106" t="s">
        <v>1141</v>
      </c>
      <c r="Q331" s="107" t="s">
        <v>1142</v>
      </c>
      <c r="R331" s="244"/>
      <c r="S331" s="37">
        <v>0</v>
      </c>
      <c r="T331" s="36" t="str">
        <f t="shared" ca="1" si="26"/>
        <v>Empty</v>
      </c>
      <c r="U331" s="37" t="s">
        <v>1143</v>
      </c>
      <c r="V331" s="37"/>
      <c r="W331" s="38">
        <v>42349</v>
      </c>
      <c r="X331" s="39" t="s">
        <v>1167</v>
      </c>
      <c r="Y331" s="39" t="s">
        <v>1179</v>
      </c>
      <c r="Z331" s="179" t="s">
        <v>1146</v>
      </c>
      <c r="AA331" s="136">
        <f t="shared" ca="1" si="28"/>
        <v>1013</v>
      </c>
      <c r="AB331" s="40"/>
      <c r="AC331" s="116"/>
      <c r="AD331" s="116"/>
      <c r="AE331" s="40"/>
      <c r="AF331" s="136" t="str">
        <f t="shared" ca="1" si="25"/>
        <v/>
      </c>
      <c r="AG331" s="127"/>
      <c r="AH331" s="127"/>
      <c r="AI331" s="127"/>
      <c r="AJ331" s="128"/>
      <c r="AK331" s="128"/>
      <c r="AL331" s="129"/>
    </row>
    <row r="332" spans="1:38" ht="24.95" customHeight="1" x14ac:dyDescent="0.25">
      <c r="A332" s="97" t="str">
        <f t="shared" si="27"/>
        <v>15REF136</v>
      </c>
      <c r="B332" s="172">
        <v>136</v>
      </c>
      <c r="C332" s="97" t="s">
        <v>39</v>
      </c>
      <c r="D332" s="98" t="s">
        <v>170</v>
      </c>
      <c r="E332" s="124" t="s">
        <v>41</v>
      </c>
      <c r="F332" s="124" t="s">
        <v>841</v>
      </c>
      <c r="G332" s="251" t="s">
        <v>842</v>
      </c>
      <c r="H332" s="34" t="s">
        <v>112</v>
      </c>
      <c r="I332" s="126" t="s">
        <v>843</v>
      </c>
      <c r="J332" s="47" t="s">
        <v>45</v>
      </c>
      <c r="K332" s="126">
        <v>351.35</v>
      </c>
      <c r="L332" s="126">
        <v>5252</v>
      </c>
      <c r="M332" s="104" t="s">
        <v>844</v>
      </c>
      <c r="N332" s="265">
        <v>42355</v>
      </c>
      <c r="O332" s="260">
        <v>42361</v>
      </c>
      <c r="P332" s="106" t="s">
        <v>183</v>
      </c>
      <c r="Q332" s="138" t="s">
        <v>845</v>
      </c>
      <c r="R332" s="246"/>
      <c r="S332" s="37">
        <f>50-3.6</f>
        <v>46.4</v>
      </c>
      <c r="T332" s="36">
        <f t="shared" ca="1" si="26"/>
        <v>1001</v>
      </c>
      <c r="U332" s="37"/>
      <c r="V332" s="37"/>
      <c r="W332" s="38"/>
      <c r="X332" s="39"/>
      <c r="Y332" s="39"/>
      <c r="Z332" s="40"/>
      <c r="AA332" s="136" t="str">
        <f t="shared" ca="1" si="28"/>
        <v/>
      </c>
      <c r="AB332" s="40"/>
      <c r="AC332" s="116"/>
      <c r="AD332" s="116"/>
      <c r="AE332" s="40"/>
      <c r="AF332" s="136" t="str">
        <f t="shared" ca="1" si="25"/>
        <v/>
      </c>
      <c r="AG332" s="127"/>
      <c r="AH332" s="127"/>
      <c r="AI332" s="127"/>
      <c r="AJ332" s="128"/>
      <c r="AK332" s="128"/>
      <c r="AL332" s="129"/>
    </row>
    <row r="333" spans="1:38" ht="24.95" customHeight="1" x14ac:dyDescent="0.25">
      <c r="A333" s="97" t="str">
        <f t="shared" si="27"/>
        <v>15SAM137</v>
      </c>
      <c r="B333" s="173">
        <v>137</v>
      </c>
      <c r="C333" s="97" t="s">
        <v>57</v>
      </c>
      <c r="D333" s="98" t="s">
        <v>170</v>
      </c>
      <c r="E333" s="124" t="s">
        <v>846</v>
      </c>
      <c r="F333" s="139" t="s">
        <v>847</v>
      </c>
      <c r="G333" s="251"/>
      <c r="H333" s="34" t="s">
        <v>60</v>
      </c>
      <c r="I333" s="126" t="s">
        <v>848</v>
      </c>
      <c r="J333" s="34" t="s">
        <v>180</v>
      </c>
      <c r="K333" s="126">
        <v>444.45</v>
      </c>
      <c r="L333" s="126"/>
      <c r="M333" s="137"/>
      <c r="N333" s="265">
        <v>42360</v>
      </c>
      <c r="O333" s="260">
        <v>42367</v>
      </c>
      <c r="P333" s="106" t="s">
        <v>409</v>
      </c>
      <c r="Q333" s="107" t="s">
        <v>212</v>
      </c>
      <c r="R333" s="244"/>
      <c r="S333" s="37">
        <f>20-4.84</f>
        <v>15.16</v>
      </c>
      <c r="T333" s="36">
        <f t="shared" ca="1" si="26"/>
        <v>995</v>
      </c>
      <c r="U333" s="37" t="s">
        <v>849</v>
      </c>
      <c r="V333" s="37"/>
      <c r="W333" s="38">
        <v>42367</v>
      </c>
      <c r="X333" s="39" t="s">
        <v>850</v>
      </c>
      <c r="Y333" s="39" t="s">
        <v>700</v>
      </c>
      <c r="Z333" s="40" t="s">
        <v>212</v>
      </c>
      <c r="AA333" s="136">
        <f t="shared" ca="1" si="28"/>
        <v>995</v>
      </c>
      <c r="AB333" s="40"/>
      <c r="AC333" s="116"/>
      <c r="AD333" s="116"/>
      <c r="AE333" s="40"/>
      <c r="AF333" s="136" t="str">
        <f t="shared" ca="1" si="25"/>
        <v/>
      </c>
      <c r="AG333" s="127"/>
      <c r="AH333" s="127"/>
      <c r="AI333" s="127"/>
      <c r="AJ333" s="128"/>
      <c r="AK333" s="128"/>
      <c r="AL333" s="129"/>
    </row>
    <row r="334" spans="1:38" ht="24.95" customHeight="1" thickBot="1" x14ac:dyDescent="0.3">
      <c r="A334" s="337" t="str">
        <f t="shared" si="27"/>
        <v>15SAM138</v>
      </c>
      <c r="B334" s="336">
        <v>138</v>
      </c>
      <c r="C334" s="337" t="s">
        <v>57</v>
      </c>
      <c r="D334" s="338" t="s">
        <v>170</v>
      </c>
      <c r="E334" s="316" t="s">
        <v>846</v>
      </c>
      <c r="F334" s="339" t="s">
        <v>851</v>
      </c>
      <c r="G334" s="317"/>
      <c r="H334" s="318" t="s">
        <v>60</v>
      </c>
      <c r="I334" s="319" t="s">
        <v>852</v>
      </c>
      <c r="J334" s="318" t="s">
        <v>180</v>
      </c>
      <c r="K334" s="319">
        <v>182.65</v>
      </c>
      <c r="L334" s="319"/>
      <c r="M334" s="340"/>
      <c r="N334" s="321">
        <v>42360</v>
      </c>
      <c r="O334" s="322">
        <v>42367</v>
      </c>
      <c r="P334" s="323" t="s">
        <v>86</v>
      </c>
      <c r="Q334" s="324" t="s">
        <v>49</v>
      </c>
      <c r="R334" s="325"/>
      <c r="S334" s="326">
        <f>10-1.89</f>
        <v>8.11</v>
      </c>
      <c r="T334" s="327">
        <f t="shared" ca="1" si="26"/>
        <v>995</v>
      </c>
      <c r="U334" s="326" t="s">
        <v>849</v>
      </c>
      <c r="V334" s="326"/>
      <c r="W334" s="328">
        <v>42367</v>
      </c>
      <c r="X334" s="329" t="s">
        <v>50</v>
      </c>
      <c r="Y334" s="329" t="s">
        <v>853</v>
      </c>
      <c r="Z334" s="331" t="s">
        <v>49</v>
      </c>
      <c r="AA334" s="332">
        <f t="shared" ca="1" si="28"/>
        <v>995</v>
      </c>
      <c r="AB334" s="331"/>
      <c r="AC334" s="329"/>
      <c r="AD334" s="329"/>
      <c r="AE334" s="331"/>
      <c r="AF334" s="332" t="str">
        <f t="shared" ref="AF334:AF342" ca="1" si="29">IF(AB334="","",IF(AB334,DAYS360(AB334,TODAY())))</f>
        <v/>
      </c>
      <c r="AG334" s="333"/>
      <c r="AH334" s="333"/>
      <c r="AI334" s="333"/>
      <c r="AJ334" s="334"/>
      <c r="AK334" s="334"/>
      <c r="AL334" s="335"/>
    </row>
    <row r="335" spans="1:38" s="388" customFormat="1" ht="24.95" customHeight="1" x14ac:dyDescent="0.25">
      <c r="A335" s="644"/>
      <c r="B335" s="206"/>
      <c r="C335" s="644"/>
      <c r="D335" s="645"/>
      <c r="E335" s="278"/>
      <c r="F335" s="646"/>
      <c r="G335" s="600"/>
      <c r="H335" s="218"/>
      <c r="I335" s="372"/>
      <c r="J335" s="218"/>
      <c r="K335" s="372"/>
      <c r="L335" s="372"/>
      <c r="M335" s="647"/>
      <c r="N335" s="602"/>
      <c r="O335" s="603"/>
      <c r="P335" s="375"/>
      <c r="Q335" s="297"/>
      <c r="R335" s="604"/>
      <c r="S335" s="237"/>
      <c r="T335" s="36"/>
      <c r="U335" s="237"/>
      <c r="V335" s="237"/>
      <c r="W335" s="399"/>
      <c r="X335" s="400"/>
      <c r="Y335" s="400"/>
      <c r="Z335" s="400"/>
      <c r="AA335" s="606"/>
      <c r="AB335" s="400"/>
      <c r="AC335" s="400"/>
      <c r="AD335" s="400"/>
      <c r="AE335" s="400"/>
      <c r="AF335" s="606"/>
      <c r="AG335" s="607"/>
      <c r="AH335" s="607"/>
      <c r="AI335" s="607"/>
      <c r="AJ335" s="608"/>
      <c r="AK335" s="608"/>
      <c r="AL335" s="609"/>
    </row>
    <row r="336" spans="1:38" ht="24.95" customHeight="1" x14ac:dyDescent="0.25">
      <c r="A336" s="142" t="str">
        <f>IF(C336="","",CONCATENATE(16,MID(C336,1,3),IF(B336&lt;10,"00",0),B336))</f>
        <v>16SAM001</v>
      </c>
      <c r="B336" s="192">
        <v>1</v>
      </c>
      <c r="C336" s="142" t="s">
        <v>57</v>
      </c>
      <c r="D336" s="143" t="s">
        <v>170</v>
      </c>
      <c r="E336" s="301" t="s">
        <v>289</v>
      </c>
      <c r="F336" s="301" t="s">
        <v>873</v>
      </c>
      <c r="G336" s="302" t="s">
        <v>874</v>
      </c>
      <c r="H336" s="34" t="s">
        <v>112</v>
      </c>
      <c r="I336" s="303" t="s">
        <v>875</v>
      </c>
      <c r="J336" s="47" t="s">
        <v>105</v>
      </c>
      <c r="K336" s="303">
        <v>1197.4000000000001</v>
      </c>
      <c r="L336" s="303">
        <v>1843</v>
      </c>
      <c r="M336" s="284" t="s">
        <v>876</v>
      </c>
      <c r="N336" s="304">
        <v>42374</v>
      </c>
      <c r="O336" s="305">
        <v>42375</v>
      </c>
      <c r="P336" s="306" t="s">
        <v>194</v>
      </c>
      <c r="Q336" s="307" t="s">
        <v>877</v>
      </c>
      <c r="R336" s="244"/>
      <c r="S336" s="37">
        <v>0</v>
      </c>
      <c r="T336" s="36" t="str">
        <f t="shared" ca="1" si="26"/>
        <v>Empty</v>
      </c>
      <c r="U336" s="37" t="s">
        <v>796</v>
      </c>
      <c r="V336" s="37"/>
      <c r="W336" s="44"/>
      <c r="X336" s="40"/>
      <c r="Y336" s="40"/>
      <c r="Z336" s="40"/>
      <c r="AA336" s="309" t="str">
        <f t="shared" ca="1" si="28"/>
        <v/>
      </c>
      <c r="AB336" s="40"/>
      <c r="AC336" s="110"/>
      <c r="AD336" s="110"/>
      <c r="AE336" s="40"/>
      <c r="AF336" s="309" t="str">
        <f t="shared" ca="1" si="29"/>
        <v/>
      </c>
      <c r="AG336" s="310"/>
      <c r="AH336" s="310"/>
      <c r="AI336" s="310"/>
      <c r="AJ336" s="311"/>
      <c r="AK336" s="311"/>
      <c r="AL336" s="312"/>
    </row>
    <row r="337" spans="1:38" ht="24.95" customHeight="1" x14ac:dyDescent="0.25">
      <c r="A337" s="142" t="str">
        <f t="shared" ref="A337:A400" si="30">IF(C337="","",CONCATENATE(16,MID(C337,1,3),IF(B337&lt;10,"00",0),B337))</f>
        <v>16SAM002</v>
      </c>
      <c r="B337" s="192">
        <v>2</v>
      </c>
      <c r="C337" s="142" t="s">
        <v>57</v>
      </c>
      <c r="D337" s="143" t="s">
        <v>170</v>
      </c>
      <c r="E337" s="124" t="s">
        <v>289</v>
      </c>
      <c r="F337" s="124" t="s">
        <v>873</v>
      </c>
      <c r="G337" s="251" t="s">
        <v>874</v>
      </c>
      <c r="H337" s="34" t="s">
        <v>112</v>
      </c>
      <c r="I337" s="126" t="s">
        <v>875</v>
      </c>
      <c r="J337" s="47" t="s">
        <v>105</v>
      </c>
      <c r="K337" s="126">
        <v>1197.4000000000001</v>
      </c>
      <c r="L337" s="126">
        <v>1843</v>
      </c>
      <c r="M337" s="104" t="s">
        <v>876</v>
      </c>
      <c r="N337" s="265">
        <v>42374</v>
      </c>
      <c r="O337" s="260">
        <v>42376</v>
      </c>
      <c r="P337" s="106" t="s">
        <v>194</v>
      </c>
      <c r="Q337" s="107" t="s">
        <v>877</v>
      </c>
      <c r="R337" s="244"/>
      <c r="S337" s="37">
        <v>0</v>
      </c>
      <c r="T337" s="36" t="str">
        <f t="shared" ca="1" si="26"/>
        <v>Empty</v>
      </c>
      <c r="U337" s="37" t="s">
        <v>796</v>
      </c>
      <c r="V337" s="37"/>
      <c r="W337" s="38"/>
      <c r="X337" s="39"/>
      <c r="Y337" s="39"/>
      <c r="Z337" s="40"/>
      <c r="AA337" s="136" t="str">
        <f t="shared" ca="1" si="28"/>
        <v/>
      </c>
      <c r="AB337" s="40"/>
      <c r="AC337" s="116"/>
      <c r="AD337" s="116"/>
      <c r="AE337" s="40"/>
      <c r="AF337" s="136" t="str">
        <f t="shared" ca="1" si="29"/>
        <v/>
      </c>
      <c r="AG337" s="127"/>
      <c r="AH337" s="127"/>
      <c r="AI337" s="127"/>
      <c r="AJ337" s="128"/>
      <c r="AK337" s="128"/>
      <c r="AL337" s="129"/>
    </row>
    <row r="338" spans="1:38" ht="24.95" customHeight="1" x14ac:dyDescent="0.25">
      <c r="A338" s="140" t="str">
        <f t="shared" si="30"/>
        <v>16REF003</v>
      </c>
      <c r="B338" s="193">
        <v>3</v>
      </c>
      <c r="C338" s="140" t="s">
        <v>39</v>
      </c>
      <c r="D338" s="141" t="s">
        <v>824</v>
      </c>
      <c r="E338" s="124" t="s">
        <v>41</v>
      </c>
      <c r="F338" s="124" t="s">
        <v>531</v>
      </c>
      <c r="G338" s="252" t="s">
        <v>854</v>
      </c>
      <c r="H338" s="34" t="s">
        <v>43</v>
      </c>
      <c r="I338" s="126" t="s">
        <v>855</v>
      </c>
      <c r="J338" s="34" t="s">
        <v>45</v>
      </c>
      <c r="K338" s="126">
        <v>171.24</v>
      </c>
      <c r="L338" s="126" t="s">
        <v>856</v>
      </c>
      <c r="M338" s="104" t="s">
        <v>857</v>
      </c>
      <c r="N338" s="265">
        <v>42375</v>
      </c>
      <c r="O338" s="260"/>
      <c r="P338" s="106" t="s">
        <v>86</v>
      </c>
      <c r="Q338" s="107" t="s">
        <v>858</v>
      </c>
      <c r="R338" s="244"/>
      <c r="S338" s="37"/>
      <c r="T338" s="36" t="str">
        <f t="shared" ca="1" si="26"/>
        <v/>
      </c>
      <c r="U338" s="37"/>
      <c r="V338" s="37"/>
      <c r="W338" s="38"/>
      <c r="X338" s="39"/>
      <c r="Y338" s="39"/>
      <c r="Z338" s="40"/>
      <c r="AA338" s="136" t="str">
        <f t="shared" ca="1" si="28"/>
        <v/>
      </c>
      <c r="AB338" s="40"/>
      <c r="AC338" s="116"/>
      <c r="AD338" s="116"/>
      <c r="AE338" s="40"/>
      <c r="AF338" s="136" t="str">
        <f t="shared" ca="1" si="29"/>
        <v/>
      </c>
      <c r="AG338" s="127"/>
      <c r="AH338" s="127"/>
      <c r="AI338" s="127"/>
      <c r="AJ338" s="128"/>
      <c r="AK338" s="128"/>
      <c r="AL338" s="129"/>
    </row>
    <row r="339" spans="1:38" ht="24.95" customHeight="1" x14ac:dyDescent="0.25">
      <c r="A339" s="142" t="str">
        <f>IF(C339="","",CONCATENATE(16,MID(C339,1,3),IF(B339&lt;10,"00",0),B339))</f>
        <v>16SAM004</v>
      </c>
      <c r="B339" s="192">
        <v>4</v>
      </c>
      <c r="C339" s="142" t="s">
        <v>57</v>
      </c>
      <c r="D339" s="143" t="s">
        <v>170</v>
      </c>
      <c r="E339" s="124" t="s">
        <v>859</v>
      </c>
      <c r="F339" s="124" t="s">
        <v>2263</v>
      </c>
      <c r="G339" s="252" t="s">
        <v>1180</v>
      </c>
      <c r="H339" s="34" t="s">
        <v>330</v>
      </c>
      <c r="I339" s="126" t="s">
        <v>1181</v>
      </c>
      <c r="J339" s="34" t="s">
        <v>180</v>
      </c>
      <c r="K339" s="126">
        <v>337.37</v>
      </c>
      <c r="L339" s="126" t="s">
        <v>1182</v>
      </c>
      <c r="M339" s="104" t="s">
        <v>813</v>
      </c>
      <c r="N339" s="265">
        <v>42376</v>
      </c>
      <c r="O339" s="260">
        <v>42397</v>
      </c>
      <c r="P339" s="106" t="s">
        <v>1183</v>
      </c>
      <c r="Q339" s="107" t="s">
        <v>1184</v>
      </c>
      <c r="R339" s="244"/>
      <c r="S339" s="37">
        <v>0</v>
      </c>
      <c r="T339" s="36" t="str">
        <f t="shared" ca="1" si="26"/>
        <v>Empty</v>
      </c>
      <c r="U339" s="37" t="s">
        <v>872</v>
      </c>
      <c r="V339" s="37"/>
      <c r="W339" s="38"/>
      <c r="X339" s="39"/>
      <c r="Y339" s="39"/>
      <c r="Z339" s="40"/>
      <c r="AA339" s="136" t="str">
        <f t="shared" ca="1" si="28"/>
        <v/>
      </c>
      <c r="AB339" s="40"/>
      <c r="AC339" s="116"/>
      <c r="AD339" s="116"/>
      <c r="AE339" s="40"/>
      <c r="AF339" s="136" t="str">
        <f t="shared" ca="1" si="29"/>
        <v/>
      </c>
      <c r="AG339" s="127"/>
      <c r="AH339" s="127"/>
      <c r="AI339" s="127"/>
      <c r="AJ339" s="128"/>
      <c r="AK339" s="128"/>
      <c r="AL339" s="129"/>
    </row>
    <row r="340" spans="1:38" ht="24.95" customHeight="1" x14ac:dyDescent="0.25">
      <c r="A340" s="142" t="str">
        <f t="shared" si="30"/>
        <v>16SAM005</v>
      </c>
      <c r="B340" s="192">
        <v>5</v>
      </c>
      <c r="C340" s="142" t="s">
        <v>57</v>
      </c>
      <c r="D340" s="143" t="s">
        <v>170</v>
      </c>
      <c r="E340" s="124" t="s">
        <v>859</v>
      </c>
      <c r="F340" s="124" t="s">
        <v>860</v>
      </c>
      <c r="G340" s="530" t="s">
        <v>802</v>
      </c>
      <c r="H340" s="34" t="s">
        <v>330</v>
      </c>
      <c r="I340" s="126" t="s">
        <v>861</v>
      </c>
      <c r="J340" s="47" t="s">
        <v>180</v>
      </c>
      <c r="K340" s="126">
        <v>340.78</v>
      </c>
      <c r="L340" s="126" t="s">
        <v>862</v>
      </c>
      <c r="M340" s="104" t="s">
        <v>863</v>
      </c>
      <c r="N340" s="265">
        <v>42376</v>
      </c>
      <c r="O340" s="260">
        <v>42397</v>
      </c>
      <c r="P340" s="106" t="s">
        <v>864</v>
      </c>
      <c r="Q340" s="107" t="s">
        <v>504</v>
      </c>
      <c r="R340" s="244"/>
      <c r="S340" s="37">
        <v>0</v>
      </c>
      <c r="T340" s="36" t="str">
        <f t="shared" ca="1" si="26"/>
        <v>Empty</v>
      </c>
      <c r="U340" s="37" t="s">
        <v>872</v>
      </c>
      <c r="V340" s="37"/>
      <c r="W340" s="38"/>
      <c r="X340" s="39"/>
      <c r="Y340" s="39"/>
      <c r="Z340" s="40"/>
      <c r="AA340" s="136" t="str">
        <f t="shared" ca="1" si="28"/>
        <v/>
      </c>
      <c r="AB340" s="40"/>
      <c r="AC340" s="116"/>
      <c r="AD340" s="116"/>
      <c r="AE340" s="40"/>
      <c r="AF340" s="136" t="str">
        <f t="shared" ca="1" si="29"/>
        <v/>
      </c>
      <c r="AG340" s="127"/>
      <c r="AH340" s="127"/>
      <c r="AI340" s="127"/>
      <c r="AJ340" s="128"/>
      <c r="AK340" s="128"/>
      <c r="AL340" s="129"/>
    </row>
    <row r="341" spans="1:38" ht="24.95" customHeight="1" x14ac:dyDescent="0.25">
      <c r="A341" s="142" t="str">
        <f t="shared" si="30"/>
        <v>16SAM006</v>
      </c>
      <c r="B341" s="192">
        <v>6</v>
      </c>
      <c r="C341" s="142" t="s">
        <v>57</v>
      </c>
      <c r="D341" s="143" t="s">
        <v>170</v>
      </c>
      <c r="E341" s="124" t="s">
        <v>859</v>
      </c>
      <c r="F341" s="124" t="s">
        <v>860</v>
      </c>
      <c r="G341" s="530" t="s">
        <v>802</v>
      </c>
      <c r="H341" s="34" t="s">
        <v>330</v>
      </c>
      <c r="I341" s="126" t="s">
        <v>861</v>
      </c>
      <c r="J341" s="47" t="s">
        <v>180</v>
      </c>
      <c r="K341" s="126">
        <v>340.78</v>
      </c>
      <c r="L341" s="126" t="s">
        <v>862</v>
      </c>
      <c r="M341" s="104" t="s">
        <v>863</v>
      </c>
      <c r="N341" s="265">
        <v>42376</v>
      </c>
      <c r="O341" s="260" t="s">
        <v>168</v>
      </c>
      <c r="P341" s="106" t="s">
        <v>864</v>
      </c>
      <c r="Q341" s="107" t="s">
        <v>504</v>
      </c>
      <c r="R341" s="244"/>
      <c r="S341" s="37">
        <v>0</v>
      </c>
      <c r="T341" s="36" t="str">
        <f t="shared" ca="1" si="26"/>
        <v>Empty</v>
      </c>
      <c r="U341" s="37"/>
      <c r="V341" s="37" t="s">
        <v>2051</v>
      </c>
      <c r="W341" s="38"/>
      <c r="X341" s="39"/>
      <c r="Y341" s="39"/>
      <c r="Z341" s="40"/>
      <c r="AA341" s="136" t="str">
        <f t="shared" ca="1" si="28"/>
        <v/>
      </c>
      <c r="AB341" s="40"/>
      <c r="AC341" s="116"/>
      <c r="AD341" s="116"/>
      <c r="AE341" s="40"/>
      <c r="AF341" s="136" t="str">
        <f t="shared" ca="1" si="29"/>
        <v/>
      </c>
      <c r="AG341" s="127"/>
      <c r="AH341" s="127"/>
      <c r="AI341" s="127"/>
      <c r="AJ341" s="128"/>
      <c r="AK341" s="128"/>
      <c r="AL341" s="129"/>
    </row>
    <row r="342" spans="1:38" ht="24.95" customHeight="1" x14ac:dyDescent="0.25">
      <c r="A342" s="142" t="str">
        <f t="shared" si="30"/>
        <v>16SAM007</v>
      </c>
      <c r="B342" s="192">
        <v>7</v>
      </c>
      <c r="C342" s="142" t="s">
        <v>57</v>
      </c>
      <c r="D342" s="143" t="s">
        <v>170</v>
      </c>
      <c r="E342" s="124" t="s">
        <v>859</v>
      </c>
      <c r="F342" s="124" t="s">
        <v>1185</v>
      </c>
      <c r="G342" s="251" t="s">
        <v>644</v>
      </c>
      <c r="H342" s="34" t="s">
        <v>330</v>
      </c>
      <c r="I342" s="126" t="s">
        <v>1186</v>
      </c>
      <c r="J342" s="34" t="s">
        <v>180</v>
      </c>
      <c r="K342" s="126">
        <v>368.23</v>
      </c>
      <c r="L342" s="126" t="s">
        <v>1187</v>
      </c>
      <c r="M342" s="104" t="s">
        <v>1188</v>
      </c>
      <c r="N342" s="265">
        <v>42376</v>
      </c>
      <c r="O342" s="260">
        <v>42415</v>
      </c>
      <c r="P342" s="106" t="s">
        <v>1183</v>
      </c>
      <c r="Q342" s="107" t="s">
        <v>1184</v>
      </c>
      <c r="R342" s="244"/>
      <c r="S342" s="37">
        <v>0</v>
      </c>
      <c r="T342" s="36" t="str">
        <f t="shared" ca="1" si="26"/>
        <v>Empty</v>
      </c>
      <c r="U342" s="37" t="s">
        <v>872</v>
      </c>
      <c r="V342" s="37"/>
      <c r="W342" s="38"/>
      <c r="X342" s="39"/>
      <c r="Y342" s="39"/>
      <c r="Z342" s="40"/>
      <c r="AA342" s="136" t="str">
        <f t="shared" ca="1" si="28"/>
        <v/>
      </c>
      <c r="AB342" s="40"/>
      <c r="AC342" s="116"/>
      <c r="AD342" s="116"/>
      <c r="AE342" s="40"/>
      <c r="AF342" s="136" t="str">
        <f t="shared" ca="1" si="29"/>
        <v/>
      </c>
      <c r="AG342" s="127"/>
      <c r="AH342" s="127"/>
      <c r="AI342" s="127"/>
      <c r="AJ342" s="128"/>
      <c r="AK342" s="128"/>
      <c r="AL342" s="129"/>
    </row>
    <row r="343" spans="1:38" ht="24.95" customHeight="1" x14ac:dyDescent="0.25">
      <c r="A343" s="142" t="str">
        <f t="shared" si="30"/>
        <v>16SAM008</v>
      </c>
      <c r="B343" s="192">
        <v>8</v>
      </c>
      <c r="C343" s="142" t="s">
        <v>57</v>
      </c>
      <c r="D343" s="143" t="s">
        <v>170</v>
      </c>
      <c r="E343" s="124" t="s">
        <v>859</v>
      </c>
      <c r="F343" s="124" t="s">
        <v>865</v>
      </c>
      <c r="G343" s="251" t="s">
        <v>866</v>
      </c>
      <c r="H343" s="34" t="s">
        <v>330</v>
      </c>
      <c r="I343" s="126" t="s">
        <v>867</v>
      </c>
      <c r="J343" s="34" t="s">
        <v>45</v>
      </c>
      <c r="K343" s="126">
        <v>402.4</v>
      </c>
      <c r="L343" s="126" t="s">
        <v>868</v>
      </c>
      <c r="M343" s="104" t="s">
        <v>869</v>
      </c>
      <c r="N343" s="265">
        <v>42376</v>
      </c>
      <c r="O343" s="260">
        <v>42416</v>
      </c>
      <c r="P343" s="106" t="s">
        <v>870</v>
      </c>
      <c r="Q343" s="107" t="s">
        <v>871</v>
      </c>
      <c r="R343" s="244"/>
      <c r="S343" s="37">
        <v>0</v>
      </c>
      <c r="T343" s="36" t="str">
        <f t="shared" ca="1" si="26"/>
        <v>Empty</v>
      </c>
      <c r="U343" s="37" t="s">
        <v>872</v>
      </c>
      <c r="V343" s="37"/>
      <c r="W343" s="130">
        <v>42426</v>
      </c>
      <c r="X343" s="93" t="s">
        <v>248</v>
      </c>
      <c r="Y343" s="93" t="s">
        <v>853</v>
      </c>
      <c r="Z343" s="92" t="s">
        <v>49</v>
      </c>
      <c r="AA343" s="146">
        <f t="shared" ca="1" si="28"/>
        <v>938</v>
      </c>
      <c r="AB343" s="144">
        <v>42555</v>
      </c>
      <c r="AC343" s="116" t="s">
        <v>248</v>
      </c>
      <c r="AD343" s="116" t="s">
        <v>853</v>
      </c>
      <c r="AE343" s="40" t="s">
        <v>49</v>
      </c>
      <c r="AF343" s="136">
        <f t="shared" ref="AF343:AF358" ca="1" si="31">IF(AB343="","",IF(AB343,DAYS360(AB343,TODAY())))</f>
        <v>810</v>
      </c>
      <c r="AG343" s="127"/>
      <c r="AH343" s="127"/>
      <c r="AI343" s="127"/>
      <c r="AJ343" s="128"/>
      <c r="AK343" s="128"/>
      <c r="AL343" s="129"/>
    </row>
    <row r="344" spans="1:38" ht="24.95" customHeight="1" x14ac:dyDescent="0.25">
      <c r="A344" s="142" t="str">
        <f t="shared" si="30"/>
        <v>16SAM009</v>
      </c>
      <c r="B344" s="192">
        <v>9</v>
      </c>
      <c r="C344" s="142" t="s">
        <v>57</v>
      </c>
      <c r="D344" s="143" t="s">
        <v>170</v>
      </c>
      <c r="E344" s="124" t="s">
        <v>859</v>
      </c>
      <c r="F344" s="124" t="s">
        <v>1189</v>
      </c>
      <c r="G344" s="251" t="s">
        <v>1190</v>
      </c>
      <c r="H344" s="34" t="s">
        <v>330</v>
      </c>
      <c r="I344" s="126" t="s">
        <v>1191</v>
      </c>
      <c r="J344" s="34" t="s">
        <v>180</v>
      </c>
      <c r="K344" s="126">
        <v>429.39</v>
      </c>
      <c r="L344" s="126" t="s">
        <v>1192</v>
      </c>
      <c r="M344" s="104" t="s">
        <v>1193</v>
      </c>
      <c r="N344" s="265">
        <v>42376</v>
      </c>
      <c r="O344" s="260">
        <v>42397</v>
      </c>
      <c r="P344" s="106" t="s">
        <v>864</v>
      </c>
      <c r="Q344" s="107" t="s">
        <v>1194</v>
      </c>
      <c r="R344" s="244"/>
      <c r="S344" s="37">
        <v>0</v>
      </c>
      <c r="T344" s="36" t="str">
        <f t="shared" ca="1" si="26"/>
        <v>Empty</v>
      </c>
      <c r="U344" s="37" t="s">
        <v>872</v>
      </c>
      <c r="V344" s="37"/>
      <c r="W344" s="38"/>
      <c r="X344" s="39"/>
      <c r="Y344" s="39"/>
      <c r="Z344" s="40"/>
      <c r="AA344" s="136" t="str">
        <f t="shared" ca="1" si="28"/>
        <v/>
      </c>
      <c r="AB344" s="40"/>
      <c r="AC344" s="116"/>
      <c r="AD344" s="116"/>
      <c r="AE344" s="40"/>
      <c r="AF344" s="136" t="str">
        <f t="shared" ca="1" si="31"/>
        <v/>
      </c>
      <c r="AG344" s="127"/>
      <c r="AH344" s="127"/>
      <c r="AI344" s="127"/>
      <c r="AJ344" s="128"/>
      <c r="AK344" s="128"/>
      <c r="AL344" s="129"/>
    </row>
    <row r="345" spans="1:38" ht="24.95" customHeight="1" x14ac:dyDescent="0.25">
      <c r="A345" s="142" t="str">
        <f t="shared" si="30"/>
        <v>16SAM010</v>
      </c>
      <c r="B345" s="192">
        <v>10</v>
      </c>
      <c r="C345" s="142" t="s">
        <v>57</v>
      </c>
      <c r="D345" s="143" t="s">
        <v>170</v>
      </c>
      <c r="E345" s="124" t="s">
        <v>289</v>
      </c>
      <c r="F345" s="124" t="s">
        <v>873</v>
      </c>
      <c r="G345" s="251" t="s">
        <v>874</v>
      </c>
      <c r="H345" s="34" t="s">
        <v>112</v>
      </c>
      <c r="I345" s="126" t="s">
        <v>875</v>
      </c>
      <c r="J345" s="47" t="s">
        <v>105</v>
      </c>
      <c r="K345" s="126">
        <v>1197.4000000000001</v>
      </c>
      <c r="L345" s="126">
        <v>1843</v>
      </c>
      <c r="M345" s="104" t="s">
        <v>876</v>
      </c>
      <c r="N345" s="265">
        <v>42374</v>
      </c>
      <c r="O345" s="260">
        <v>42382</v>
      </c>
      <c r="P345" s="106" t="s">
        <v>194</v>
      </c>
      <c r="Q345" s="107" t="s">
        <v>877</v>
      </c>
      <c r="R345" s="244"/>
      <c r="S345" s="37">
        <v>0</v>
      </c>
      <c r="T345" s="36" t="str">
        <f t="shared" ca="1" si="26"/>
        <v>Empty</v>
      </c>
      <c r="U345" s="37"/>
      <c r="V345" s="37"/>
      <c r="W345" s="38"/>
      <c r="X345" s="39"/>
      <c r="Y345" s="39"/>
      <c r="Z345" s="40"/>
      <c r="AA345" s="136" t="str">
        <f t="shared" ca="1" si="28"/>
        <v/>
      </c>
      <c r="AB345" s="40"/>
      <c r="AC345" s="116"/>
      <c r="AD345" s="116"/>
      <c r="AE345" s="40"/>
      <c r="AF345" s="136" t="str">
        <f t="shared" ca="1" si="31"/>
        <v/>
      </c>
      <c r="AG345" s="127"/>
      <c r="AH345" s="127"/>
      <c r="AI345" s="127"/>
      <c r="AJ345" s="128"/>
      <c r="AK345" s="128"/>
      <c r="AL345" s="129"/>
    </row>
    <row r="346" spans="1:38" ht="24.95" customHeight="1" x14ac:dyDescent="0.25">
      <c r="A346" s="142" t="str">
        <f t="shared" si="30"/>
        <v>16SAM011</v>
      </c>
      <c r="B346" s="192">
        <v>11</v>
      </c>
      <c r="C346" s="142" t="s">
        <v>57</v>
      </c>
      <c r="D346" s="143" t="s">
        <v>170</v>
      </c>
      <c r="E346" s="124" t="s">
        <v>289</v>
      </c>
      <c r="F346" s="124" t="s">
        <v>873</v>
      </c>
      <c r="G346" s="251" t="s">
        <v>874</v>
      </c>
      <c r="H346" s="34" t="s">
        <v>112</v>
      </c>
      <c r="I346" s="126" t="s">
        <v>875</v>
      </c>
      <c r="J346" s="47" t="s">
        <v>105</v>
      </c>
      <c r="K346" s="126">
        <v>1197.4000000000001</v>
      </c>
      <c r="L346" s="126">
        <v>1843</v>
      </c>
      <c r="M346" s="104" t="s">
        <v>876</v>
      </c>
      <c r="N346" s="265">
        <v>42374</v>
      </c>
      <c r="O346" s="260">
        <v>42377</v>
      </c>
      <c r="P346" s="106" t="s">
        <v>194</v>
      </c>
      <c r="Q346" s="107" t="s">
        <v>877</v>
      </c>
      <c r="R346" s="244"/>
      <c r="S346" s="37">
        <v>0</v>
      </c>
      <c r="T346" s="36" t="str">
        <f t="shared" ca="1" si="26"/>
        <v>Empty</v>
      </c>
      <c r="U346" s="37" t="s">
        <v>1195</v>
      </c>
      <c r="V346" s="37"/>
      <c r="W346" s="38"/>
      <c r="X346" s="39"/>
      <c r="Y346" s="39"/>
      <c r="Z346" s="40"/>
      <c r="AA346" s="136" t="str">
        <f t="shared" ca="1" si="28"/>
        <v/>
      </c>
      <c r="AB346" s="40"/>
      <c r="AC346" s="116"/>
      <c r="AD346" s="116"/>
      <c r="AE346" s="40"/>
      <c r="AF346" s="136" t="str">
        <f t="shared" ca="1" si="31"/>
        <v/>
      </c>
      <c r="AG346" s="127"/>
      <c r="AH346" s="127"/>
      <c r="AI346" s="127"/>
      <c r="AJ346" s="128"/>
      <c r="AK346" s="128"/>
      <c r="AL346" s="129"/>
    </row>
    <row r="347" spans="1:38" ht="24.95" customHeight="1" x14ac:dyDescent="0.25">
      <c r="A347" s="142" t="str">
        <f t="shared" si="30"/>
        <v>16SAM012</v>
      </c>
      <c r="B347" s="192">
        <v>12</v>
      </c>
      <c r="C347" s="142" t="s">
        <v>57</v>
      </c>
      <c r="D347" s="143" t="s">
        <v>170</v>
      </c>
      <c r="E347" s="124" t="s">
        <v>289</v>
      </c>
      <c r="F347" s="124" t="s">
        <v>873</v>
      </c>
      <c r="G347" s="251" t="s">
        <v>874</v>
      </c>
      <c r="H347" s="34" t="s">
        <v>112</v>
      </c>
      <c r="I347" s="126" t="s">
        <v>875</v>
      </c>
      <c r="J347" s="47" t="s">
        <v>105</v>
      </c>
      <c r="K347" s="126">
        <v>1197.4000000000001</v>
      </c>
      <c r="L347" s="126">
        <v>1843</v>
      </c>
      <c r="M347" s="104" t="s">
        <v>876</v>
      </c>
      <c r="N347" s="265">
        <v>42374</v>
      </c>
      <c r="O347" s="260">
        <v>42389</v>
      </c>
      <c r="P347" s="106" t="s">
        <v>194</v>
      </c>
      <c r="Q347" s="107" t="s">
        <v>877</v>
      </c>
      <c r="R347" s="244"/>
      <c r="S347" s="37">
        <v>0</v>
      </c>
      <c r="T347" s="36" t="str">
        <f t="shared" ca="1" si="26"/>
        <v>Empty</v>
      </c>
      <c r="U347" s="37" t="s">
        <v>1196</v>
      </c>
      <c r="V347" s="37"/>
      <c r="W347" s="38"/>
      <c r="X347" s="39"/>
      <c r="Y347" s="39"/>
      <c r="Z347" s="40"/>
      <c r="AA347" s="136" t="str">
        <f t="shared" ca="1" si="28"/>
        <v/>
      </c>
      <c r="AB347" s="40"/>
      <c r="AC347" s="116"/>
      <c r="AD347" s="116"/>
      <c r="AE347" s="40"/>
      <c r="AF347" s="136" t="str">
        <f t="shared" ca="1" si="31"/>
        <v/>
      </c>
      <c r="AG347" s="127"/>
      <c r="AH347" s="127"/>
      <c r="AI347" s="127"/>
      <c r="AJ347" s="128"/>
      <c r="AK347" s="128"/>
      <c r="AL347" s="129"/>
    </row>
    <row r="348" spans="1:38" ht="24.95" customHeight="1" x14ac:dyDescent="0.25">
      <c r="A348" s="142" t="str">
        <f t="shared" si="30"/>
        <v>16SAM013</v>
      </c>
      <c r="B348" s="192">
        <v>13</v>
      </c>
      <c r="C348" s="142" t="s">
        <v>57</v>
      </c>
      <c r="D348" s="143" t="s">
        <v>170</v>
      </c>
      <c r="E348" s="124" t="s">
        <v>859</v>
      </c>
      <c r="F348" s="124" t="s">
        <v>1189</v>
      </c>
      <c r="G348" s="251" t="s">
        <v>1190</v>
      </c>
      <c r="H348" s="34" t="s">
        <v>330</v>
      </c>
      <c r="I348" s="126" t="s">
        <v>1191</v>
      </c>
      <c r="J348" s="34" t="s">
        <v>180</v>
      </c>
      <c r="K348" s="126">
        <v>429.39</v>
      </c>
      <c r="L348" s="126" t="s">
        <v>1192</v>
      </c>
      <c r="M348" s="104" t="s">
        <v>1193</v>
      </c>
      <c r="N348" s="265">
        <v>42376</v>
      </c>
      <c r="O348" s="260"/>
      <c r="P348" s="106" t="s">
        <v>864</v>
      </c>
      <c r="Q348" s="107" t="s">
        <v>1194</v>
      </c>
      <c r="R348" s="244"/>
      <c r="S348" s="37">
        <v>0</v>
      </c>
      <c r="T348" s="36" t="str">
        <f t="shared" ca="1" si="26"/>
        <v>Empty</v>
      </c>
      <c r="U348" s="37" t="s">
        <v>1254</v>
      </c>
      <c r="V348" s="37"/>
      <c r="W348" s="38"/>
      <c r="X348" s="39"/>
      <c r="Y348" s="39"/>
      <c r="Z348" s="40"/>
      <c r="AA348" s="136" t="str">
        <f t="shared" ca="1" si="28"/>
        <v/>
      </c>
      <c r="AB348" s="40"/>
      <c r="AC348" s="116"/>
      <c r="AD348" s="116"/>
      <c r="AE348" s="40"/>
      <c r="AF348" s="136" t="str">
        <f t="shared" ca="1" si="31"/>
        <v/>
      </c>
      <c r="AG348" s="127"/>
      <c r="AH348" s="127"/>
      <c r="AI348" s="127"/>
      <c r="AJ348" s="128"/>
      <c r="AK348" s="128"/>
      <c r="AL348" s="129"/>
    </row>
    <row r="349" spans="1:38" ht="24.95" customHeight="1" x14ac:dyDescent="0.25">
      <c r="A349" s="142" t="str">
        <f t="shared" si="30"/>
        <v>16SAM014</v>
      </c>
      <c r="B349" s="192">
        <v>14</v>
      </c>
      <c r="C349" s="142" t="s">
        <v>57</v>
      </c>
      <c r="D349" s="143" t="s">
        <v>170</v>
      </c>
      <c r="E349" s="124" t="s">
        <v>289</v>
      </c>
      <c r="F349" s="124" t="s">
        <v>873</v>
      </c>
      <c r="G349" s="251" t="s">
        <v>874</v>
      </c>
      <c r="H349" s="34" t="s">
        <v>112</v>
      </c>
      <c r="I349" s="126" t="s">
        <v>875</v>
      </c>
      <c r="J349" s="47" t="s">
        <v>105</v>
      </c>
      <c r="K349" s="126">
        <v>1197.4000000000001</v>
      </c>
      <c r="L349" s="126">
        <v>1843</v>
      </c>
      <c r="M349" s="104" t="s">
        <v>876</v>
      </c>
      <c r="N349" s="265">
        <v>42377</v>
      </c>
      <c r="O349" s="260">
        <v>42387</v>
      </c>
      <c r="P349" s="106" t="s">
        <v>194</v>
      </c>
      <c r="Q349" s="107" t="s">
        <v>877</v>
      </c>
      <c r="R349" s="244"/>
      <c r="S349" s="37">
        <v>0</v>
      </c>
      <c r="T349" s="36" t="str">
        <f t="shared" ref="T349:T412" ca="1" si="32">IF(S349="","",IF(S349=0,"Empty",IF(O349="","",IF(O349,DAYS360(O349,TODAY())))))</f>
        <v>Empty</v>
      </c>
      <c r="U349" s="37" t="s">
        <v>1196</v>
      </c>
      <c r="V349" s="37"/>
      <c r="W349" s="38"/>
      <c r="X349" s="39"/>
      <c r="Y349" s="39"/>
      <c r="Z349" s="40"/>
      <c r="AA349" s="136" t="str">
        <f t="shared" ca="1" si="28"/>
        <v/>
      </c>
      <c r="AB349" s="40"/>
      <c r="AC349" s="116"/>
      <c r="AD349" s="116"/>
      <c r="AE349" s="40"/>
      <c r="AF349" s="136" t="str">
        <f t="shared" ca="1" si="31"/>
        <v/>
      </c>
      <c r="AG349" s="127"/>
      <c r="AH349" s="127"/>
      <c r="AI349" s="127"/>
      <c r="AJ349" s="128"/>
      <c r="AK349" s="128"/>
      <c r="AL349" s="129"/>
    </row>
    <row r="350" spans="1:38" ht="24.95" customHeight="1" x14ac:dyDescent="0.25">
      <c r="A350" s="142" t="str">
        <f t="shared" si="30"/>
        <v>16SAM015</v>
      </c>
      <c r="B350" s="192">
        <v>15</v>
      </c>
      <c r="C350" s="142" t="s">
        <v>57</v>
      </c>
      <c r="D350" s="143" t="s">
        <v>170</v>
      </c>
      <c r="E350" s="124" t="s">
        <v>289</v>
      </c>
      <c r="F350" s="124" t="s">
        <v>873</v>
      </c>
      <c r="G350" s="251" t="s">
        <v>874</v>
      </c>
      <c r="H350" s="34" t="s">
        <v>112</v>
      </c>
      <c r="I350" s="126" t="s">
        <v>875</v>
      </c>
      <c r="J350" s="47" t="s">
        <v>105</v>
      </c>
      <c r="K350" s="126">
        <v>1197.4000000000001</v>
      </c>
      <c r="L350" s="126">
        <v>1843</v>
      </c>
      <c r="M350" s="104" t="s">
        <v>876</v>
      </c>
      <c r="N350" s="265">
        <v>42377</v>
      </c>
      <c r="O350" s="260">
        <v>42482</v>
      </c>
      <c r="P350" s="106" t="s">
        <v>194</v>
      </c>
      <c r="Q350" s="107" t="s">
        <v>877</v>
      </c>
      <c r="R350" s="244"/>
      <c r="S350" s="37">
        <v>0</v>
      </c>
      <c r="T350" s="36" t="str">
        <f t="shared" ca="1" si="32"/>
        <v>Empty</v>
      </c>
      <c r="U350" s="37" t="s">
        <v>1227</v>
      </c>
      <c r="V350" s="37"/>
      <c r="W350" s="38"/>
      <c r="X350" s="39"/>
      <c r="Y350" s="39"/>
      <c r="Z350" s="40"/>
      <c r="AA350" s="136" t="str">
        <f t="shared" ca="1" si="28"/>
        <v/>
      </c>
      <c r="AB350" s="40"/>
      <c r="AC350" s="116"/>
      <c r="AD350" s="116"/>
      <c r="AE350" s="40"/>
      <c r="AF350" s="136" t="str">
        <f t="shared" ca="1" si="31"/>
        <v/>
      </c>
      <c r="AG350" s="127"/>
      <c r="AH350" s="127"/>
      <c r="AI350" s="127"/>
      <c r="AJ350" s="128"/>
      <c r="AK350" s="128"/>
      <c r="AL350" s="129"/>
    </row>
    <row r="351" spans="1:38" ht="24.95" customHeight="1" x14ac:dyDescent="0.25">
      <c r="A351" s="142" t="str">
        <f t="shared" si="30"/>
        <v>16SAM016</v>
      </c>
      <c r="B351" s="192">
        <v>16</v>
      </c>
      <c r="C351" s="142" t="s">
        <v>57</v>
      </c>
      <c r="D351" s="143" t="s">
        <v>824</v>
      </c>
      <c r="E351" s="124" t="s">
        <v>1197</v>
      </c>
      <c r="F351" s="124" t="s">
        <v>1198</v>
      </c>
      <c r="G351" s="252" t="s">
        <v>854</v>
      </c>
      <c r="H351" s="34" t="s">
        <v>60</v>
      </c>
      <c r="I351" s="190" t="s">
        <v>1199</v>
      </c>
      <c r="J351" s="34" t="s">
        <v>45</v>
      </c>
      <c r="K351" s="126">
        <v>171.23699999999999</v>
      </c>
      <c r="L351" s="126" t="s">
        <v>61</v>
      </c>
      <c r="M351" s="104" t="s">
        <v>61</v>
      </c>
      <c r="N351" s="265">
        <v>42380</v>
      </c>
      <c r="O351" s="260">
        <v>42381</v>
      </c>
      <c r="P351" s="106" t="s">
        <v>1200</v>
      </c>
      <c r="Q351" s="107" t="s">
        <v>49</v>
      </c>
      <c r="R351" s="244"/>
      <c r="S351" s="37">
        <v>0</v>
      </c>
      <c r="T351" s="36" t="str">
        <f t="shared" ca="1" si="32"/>
        <v>Empty</v>
      </c>
      <c r="U351" s="37" t="s">
        <v>1201</v>
      </c>
      <c r="V351" s="37"/>
      <c r="W351" s="38"/>
      <c r="X351" s="39"/>
      <c r="Y351" s="39"/>
      <c r="Z351" s="40"/>
      <c r="AA351" s="136" t="str">
        <f t="shared" ca="1" si="28"/>
        <v/>
      </c>
      <c r="AB351" s="40"/>
      <c r="AC351" s="116"/>
      <c r="AD351" s="116"/>
      <c r="AE351" s="40"/>
      <c r="AF351" s="136" t="str">
        <f t="shared" ca="1" si="31"/>
        <v/>
      </c>
      <c r="AG351" s="127"/>
      <c r="AH351" s="127"/>
      <c r="AI351" s="127"/>
      <c r="AJ351" s="128"/>
      <c r="AK351" s="128"/>
      <c r="AL351" s="129"/>
    </row>
    <row r="352" spans="1:38" ht="24.95" customHeight="1" x14ac:dyDescent="0.25">
      <c r="A352" s="142" t="str">
        <f t="shared" si="30"/>
        <v>16SAM017</v>
      </c>
      <c r="B352" s="192">
        <v>17</v>
      </c>
      <c r="C352" s="142" t="s">
        <v>57</v>
      </c>
      <c r="D352" s="143" t="s">
        <v>824</v>
      </c>
      <c r="E352" s="124" t="s">
        <v>1197</v>
      </c>
      <c r="F352" s="124" t="s">
        <v>1202</v>
      </c>
      <c r="G352" s="253" t="s">
        <v>1203</v>
      </c>
      <c r="H352" s="34" t="s">
        <v>60</v>
      </c>
      <c r="I352" s="190" t="s">
        <v>1204</v>
      </c>
      <c r="J352" s="34" t="s">
        <v>45</v>
      </c>
      <c r="K352" s="126">
        <v>213.702</v>
      </c>
      <c r="L352" s="126" t="s">
        <v>61</v>
      </c>
      <c r="M352" s="104" t="s">
        <v>61</v>
      </c>
      <c r="N352" s="265">
        <v>42380</v>
      </c>
      <c r="O352" s="260">
        <v>42384</v>
      </c>
      <c r="P352" s="106" t="s">
        <v>1205</v>
      </c>
      <c r="Q352" s="107" t="s">
        <v>49</v>
      </c>
      <c r="R352" s="244"/>
      <c r="S352" s="37">
        <v>0</v>
      </c>
      <c r="T352" s="36" t="str">
        <f t="shared" ca="1" si="32"/>
        <v>Empty</v>
      </c>
      <c r="U352" s="37" t="s">
        <v>1201</v>
      </c>
      <c r="V352" s="37"/>
      <c r="W352" s="38"/>
      <c r="X352" s="39"/>
      <c r="Y352" s="39"/>
      <c r="Z352" s="40"/>
      <c r="AA352" s="136" t="str">
        <f t="shared" ca="1" si="28"/>
        <v/>
      </c>
      <c r="AB352" s="40"/>
      <c r="AC352" s="116"/>
      <c r="AD352" s="116"/>
      <c r="AE352" s="40"/>
      <c r="AF352" s="136" t="str">
        <f t="shared" ca="1" si="31"/>
        <v/>
      </c>
      <c r="AG352" s="127"/>
      <c r="AH352" s="127"/>
      <c r="AI352" s="127"/>
      <c r="AJ352" s="128"/>
      <c r="AK352" s="128"/>
      <c r="AL352" s="129"/>
    </row>
    <row r="353" spans="1:38" ht="24.95" customHeight="1" x14ac:dyDescent="0.25">
      <c r="A353" s="142" t="str">
        <f t="shared" si="30"/>
        <v>16SAM018</v>
      </c>
      <c r="B353" s="192">
        <v>18</v>
      </c>
      <c r="C353" s="142" t="s">
        <v>57</v>
      </c>
      <c r="D353" s="143" t="s">
        <v>170</v>
      </c>
      <c r="E353" s="124" t="s">
        <v>289</v>
      </c>
      <c r="F353" s="124" t="s">
        <v>873</v>
      </c>
      <c r="G353" s="251" t="s">
        <v>874</v>
      </c>
      <c r="H353" s="34" t="s">
        <v>112</v>
      </c>
      <c r="I353" s="126" t="s">
        <v>875</v>
      </c>
      <c r="J353" s="47" t="s">
        <v>105</v>
      </c>
      <c r="K353" s="126">
        <v>1197.4000000000001</v>
      </c>
      <c r="L353" s="126">
        <v>1843</v>
      </c>
      <c r="M353" s="104" t="s">
        <v>876</v>
      </c>
      <c r="N353" s="265">
        <v>42381</v>
      </c>
      <c r="O353" s="260">
        <v>42383</v>
      </c>
      <c r="P353" s="106" t="s">
        <v>194</v>
      </c>
      <c r="Q353" s="107" t="s">
        <v>877</v>
      </c>
      <c r="R353" s="244"/>
      <c r="S353" s="37">
        <v>0</v>
      </c>
      <c r="T353" s="36" t="str">
        <f t="shared" ca="1" si="32"/>
        <v>Empty</v>
      </c>
      <c r="U353" s="37"/>
      <c r="V353" s="37"/>
      <c r="W353" s="38"/>
      <c r="X353" s="39"/>
      <c r="Y353" s="39"/>
      <c r="Z353" s="40"/>
      <c r="AA353" s="136" t="str">
        <f t="shared" ca="1" si="28"/>
        <v/>
      </c>
      <c r="AB353" s="40"/>
      <c r="AC353" s="116"/>
      <c r="AD353" s="116"/>
      <c r="AE353" s="40"/>
      <c r="AF353" s="136" t="str">
        <f t="shared" ca="1" si="31"/>
        <v/>
      </c>
      <c r="AG353" s="127"/>
      <c r="AH353" s="127"/>
      <c r="AI353" s="127"/>
      <c r="AJ353" s="128"/>
      <c r="AK353" s="128"/>
      <c r="AL353" s="129"/>
    </row>
    <row r="354" spans="1:38" ht="24.95" customHeight="1" x14ac:dyDescent="0.25">
      <c r="A354" s="140" t="str">
        <f t="shared" si="30"/>
        <v>16REF019</v>
      </c>
      <c r="B354" s="193">
        <v>19</v>
      </c>
      <c r="C354" s="140" t="s">
        <v>39</v>
      </c>
      <c r="D354" s="141" t="s">
        <v>170</v>
      </c>
      <c r="E354" s="124" t="s">
        <v>41</v>
      </c>
      <c r="F354" s="124" t="s">
        <v>878</v>
      </c>
      <c r="G354" s="251" t="s">
        <v>3225</v>
      </c>
      <c r="H354" s="34" t="s">
        <v>43</v>
      </c>
      <c r="I354" s="126" t="s">
        <v>879</v>
      </c>
      <c r="J354" s="47" t="s">
        <v>45</v>
      </c>
      <c r="K354" s="126">
        <v>189.17</v>
      </c>
      <c r="L354" s="126" t="s">
        <v>880</v>
      </c>
      <c r="M354" s="104" t="s">
        <v>881</v>
      </c>
      <c r="N354" s="265">
        <v>41810</v>
      </c>
      <c r="O354" s="260">
        <v>42419</v>
      </c>
      <c r="P354" s="106" t="s">
        <v>56</v>
      </c>
      <c r="Q354" s="107"/>
      <c r="R354" s="244"/>
      <c r="S354" s="37">
        <v>0</v>
      </c>
      <c r="T354" s="36" t="str">
        <f t="shared" ca="1" si="32"/>
        <v>Empty</v>
      </c>
      <c r="U354" s="37" t="s">
        <v>1493</v>
      </c>
      <c r="V354" s="37"/>
      <c r="W354" s="38"/>
      <c r="X354" s="39"/>
      <c r="Y354" s="39"/>
      <c r="Z354" s="40"/>
      <c r="AA354" s="136" t="str">
        <f t="shared" ca="1" si="28"/>
        <v/>
      </c>
      <c r="AB354" s="40"/>
      <c r="AC354" s="116"/>
      <c r="AD354" s="116"/>
      <c r="AE354" s="40"/>
      <c r="AF354" s="136" t="str">
        <f t="shared" ca="1" si="31"/>
        <v/>
      </c>
      <c r="AG354" s="127"/>
      <c r="AH354" s="127"/>
      <c r="AI354" s="127"/>
      <c r="AJ354" s="128"/>
      <c r="AK354" s="128"/>
      <c r="AL354" s="129"/>
    </row>
    <row r="355" spans="1:38" ht="24.95" customHeight="1" x14ac:dyDescent="0.25">
      <c r="A355" s="140" t="str">
        <f t="shared" si="30"/>
        <v>16REF020</v>
      </c>
      <c r="B355" s="193">
        <v>20</v>
      </c>
      <c r="C355" s="140" t="s">
        <v>39</v>
      </c>
      <c r="D355" s="141" t="s">
        <v>170</v>
      </c>
      <c r="E355" s="124" t="s">
        <v>41</v>
      </c>
      <c r="F355" s="124" t="s">
        <v>878</v>
      </c>
      <c r="G355" s="251" t="s">
        <v>3225</v>
      </c>
      <c r="H355" s="34" t="s">
        <v>43</v>
      </c>
      <c r="I355" s="126" t="s">
        <v>882</v>
      </c>
      <c r="J355" s="47" t="s">
        <v>45</v>
      </c>
      <c r="K355" s="126">
        <v>189.17</v>
      </c>
      <c r="L355" s="126" t="s">
        <v>880</v>
      </c>
      <c r="M355" s="104" t="s">
        <v>881</v>
      </c>
      <c r="N355" s="265">
        <v>42383</v>
      </c>
      <c r="O355" s="260" t="s">
        <v>168</v>
      </c>
      <c r="P355" s="106" t="s">
        <v>56</v>
      </c>
      <c r="Q355" s="107"/>
      <c r="R355" s="244"/>
      <c r="S355" s="37">
        <f>5000-378-378.27-378.12-189.26-378.39-378.38-378.52-379.02-189.17</f>
        <v>1972.8699999999994</v>
      </c>
      <c r="T355" s="36" t="e">
        <f t="shared" ca="1" si="32"/>
        <v>#VALUE!</v>
      </c>
      <c r="U355" s="37"/>
      <c r="V355" s="37"/>
      <c r="W355" s="38"/>
      <c r="X355" s="39"/>
      <c r="Y355" s="39"/>
      <c r="Z355" s="40"/>
      <c r="AA355" s="136" t="str">
        <f t="shared" ca="1" si="28"/>
        <v/>
      </c>
      <c r="AB355" s="40"/>
      <c r="AC355" s="116"/>
      <c r="AD355" s="116"/>
      <c r="AE355" s="40"/>
      <c r="AF355" s="136" t="str">
        <f t="shared" ca="1" si="31"/>
        <v/>
      </c>
      <c r="AG355" s="127"/>
      <c r="AH355" s="127"/>
      <c r="AI355" s="127"/>
      <c r="AJ355" s="128"/>
      <c r="AK355" s="128"/>
      <c r="AL355" s="129"/>
    </row>
    <row r="356" spans="1:38" ht="24.95" customHeight="1" x14ac:dyDescent="0.25">
      <c r="A356" s="140" t="str">
        <f t="shared" si="30"/>
        <v>16REF021</v>
      </c>
      <c r="B356" s="193">
        <v>21</v>
      </c>
      <c r="C356" s="140" t="s">
        <v>39</v>
      </c>
      <c r="D356" s="141" t="s">
        <v>40</v>
      </c>
      <c r="E356" s="124" t="s">
        <v>41</v>
      </c>
      <c r="F356" s="124" t="s">
        <v>751</v>
      </c>
      <c r="G356" s="251" t="s">
        <v>752</v>
      </c>
      <c r="H356" s="34" t="s">
        <v>112</v>
      </c>
      <c r="I356" s="126" t="s">
        <v>1206</v>
      </c>
      <c r="J356" s="34" t="s">
        <v>45</v>
      </c>
      <c r="K356" s="126">
        <v>415.95</v>
      </c>
      <c r="L356" s="126">
        <v>4385</v>
      </c>
      <c r="M356" s="104" t="s">
        <v>755</v>
      </c>
      <c r="N356" s="265">
        <v>42390</v>
      </c>
      <c r="O356" s="260">
        <v>42390</v>
      </c>
      <c r="P356" s="106" t="s">
        <v>86</v>
      </c>
      <c r="Q356" s="107" t="s">
        <v>1207</v>
      </c>
      <c r="R356" s="244"/>
      <c r="S356" s="37">
        <v>0</v>
      </c>
      <c r="T356" s="36" t="str">
        <f t="shared" ca="1" si="32"/>
        <v>Empty</v>
      </c>
      <c r="U356" s="37" t="s">
        <v>1208</v>
      </c>
      <c r="V356" s="37"/>
      <c r="W356" s="38"/>
      <c r="X356" s="39"/>
      <c r="Y356" s="39"/>
      <c r="Z356" s="40"/>
      <c r="AA356" s="136" t="str">
        <f t="shared" ca="1" si="28"/>
        <v/>
      </c>
      <c r="AB356" s="40"/>
      <c r="AC356" s="116"/>
      <c r="AD356" s="116"/>
      <c r="AE356" s="40"/>
      <c r="AF356" s="136" t="str">
        <f t="shared" ca="1" si="31"/>
        <v/>
      </c>
      <c r="AG356" s="127"/>
      <c r="AH356" s="127"/>
      <c r="AI356" s="127"/>
      <c r="AJ356" s="128"/>
      <c r="AK356" s="128"/>
      <c r="AL356" s="129"/>
    </row>
    <row r="357" spans="1:38" ht="24.95" customHeight="1" x14ac:dyDescent="0.25">
      <c r="A357" s="142" t="str">
        <f t="shared" si="30"/>
        <v>16SAM022</v>
      </c>
      <c r="B357" s="192">
        <v>22</v>
      </c>
      <c r="C357" s="142" t="s">
        <v>57</v>
      </c>
      <c r="D357" s="143" t="s">
        <v>40</v>
      </c>
      <c r="E357" s="124" t="s">
        <v>883</v>
      </c>
      <c r="F357" s="124" t="s">
        <v>751</v>
      </c>
      <c r="G357" s="251" t="s">
        <v>752</v>
      </c>
      <c r="H357" s="34" t="s">
        <v>60</v>
      </c>
      <c r="I357" s="126">
        <v>15010301</v>
      </c>
      <c r="J357" s="34" t="s">
        <v>45</v>
      </c>
      <c r="K357" s="126">
        <v>415.95</v>
      </c>
      <c r="L357" s="132" t="s">
        <v>61</v>
      </c>
      <c r="M357" s="105" t="s">
        <v>61</v>
      </c>
      <c r="N357" s="265">
        <v>42394</v>
      </c>
      <c r="O357" s="260">
        <v>42396</v>
      </c>
      <c r="P357" s="106" t="s">
        <v>160</v>
      </c>
      <c r="Q357" s="107" t="s">
        <v>212</v>
      </c>
      <c r="R357" s="244"/>
      <c r="S357" s="37">
        <f>1000-149.7-2.51-2.5-6.5-5.49-38.38-7.34</f>
        <v>787.57999999999993</v>
      </c>
      <c r="T357" s="36">
        <f t="shared" ca="1" si="32"/>
        <v>967</v>
      </c>
      <c r="U357" s="37" t="s">
        <v>884</v>
      </c>
      <c r="V357" s="37"/>
      <c r="W357" s="38">
        <v>42430</v>
      </c>
      <c r="X357" s="39" t="s">
        <v>50</v>
      </c>
      <c r="Y357" s="39" t="s">
        <v>885</v>
      </c>
      <c r="Z357" s="40" t="s">
        <v>212</v>
      </c>
      <c r="AA357" s="136">
        <f t="shared" ca="1" si="28"/>
        <v>933</v>
      </c>
      <c r="AB357" s="144"/>
      <c r="AC357" s="116"/>
      <c r="AD357" s="145"/>
      <c r="AE357" s="92"/>
      <c r="AF357" s="136" t="str">
        <f t="shared" ca="1" si="31"/>
        <v/>
      </c>
      <c r="AG357" s="127"/>
      <c r="AH357" s="127"/>
      <c r="AI357" s="127"/>
      <c r="AJ357" s="128"/>
      <c r="AK357" s="128"/>
      <c r="AL357" s="129"/>
    </row>
    <row r="358" spans="1:38" ht="24.95" customHeight="1" x14ac:dyDescent="0.25">
      <c r="A358" s="142" t="str">
        <f t="shared" si="30"/>
        <v>16SAM023</v>
      </c>
      <c r="B358" s="192">
        <v>23</v>
      </c>
      <c r="C358" s="142" t="s">
        <v>57</v>
      </c>
      <c r="D358" s="143" t="s">
        <v>40</v>
      </c>
      <c r="E358" s="124" t="s">
        <v>1135</v>
      </c>
      <c r="F358" s="124" t="s">
        <v>1178</v>
      </c>
      <c r="G358" s="251"/>
      <c r="H358" s="34" t="s">
        <v>1137</v>
      </c>
      <c r="I358" s="126" t="s">
        <v>1138</v>
      </c>
      <c r="J358" s="47" t="s">
        <v>105</v>
      </c>
      <c r="K358" s="191" t="s">
        <v>1139</v>
      </c>
      <c r="L358" s="126" t="s">
        <v>1140</v>
      </c>
      <c r="M358" s="105" t="s">
        <v>61</v>
      </c>
      <c r="N358" s="265">
        <v>42396</v>
      </c>
      <c r="O358" s="260">
        <v>42396</v>
      </c>
      <c r="P358" s="106" t="s">
        <v>1141</v>
      </c>
      <c r="Q358" s="107" t="s">
        <v>1209</v>
      </c>
      <c r="R358" s="244"/>
      <c r="S358" s="37">
        <v>0</v>
      </c>
      <c r="T358" s="36" t="str">
        <f t="shared" ca="1" si="32"/>
        <v>Empty</v>
      </c>
      <c r="U358" s="37" t="s">
        <v>1210</v>
      </c>
      <c r="V358" s="37"/>
      <c r="W358" s="38"/>
      <c r="X358" s="39"/>
      <c r="Y358" s="39"/>
      <c r="Z358" s="40"/>
      <c r="AA358" s="136" t="str">
        <f t="shared" ca="1" si="28"/>
        <v/>
      </c>
      <c r="AB358" s="40"/>
      <c r="AC358" s="116"/>
      <c r="AD358" s="116"/>
      <c r="AE358" s="40"/>
      <c r="AF358" s="136" t="str">
        <f t="shared" ca="1" si="31"/>
        <v/>
      </c>
      <c r="AG358" s="127"/>
      <c r="AH358" s="127"/>
      <c r="AI358" s="127"/>
      <c r="AJ358" s="128"/>
      <c r="AK358" s="128"/>
      <c r="AL358" s="129"/>
    </row>
    <row r="359" spans="1:38" ht="24.95" customHeight="1" x14ac:dyDescent="0.25">
      <c r="A359" s="142" t="str">
        <f t="shared" si="30"/>
        <v>16SAM024</v>
      </c>
      <c r="B359" s="192">
        <v>24</v>
      </c>
      <c r="C359" s="142" t="s">
        <v>57</v>
      </c>
      <c r="D359" s="143" t="s">
        <v>40</v>
      </c>
      <c r="E359" s="124" t="s">
        <v>883</v>
      </c>
      <c r="F359" s="124" t="s">
        <v>1211</v>
      </c>
      <c r="G359" s="251" t="s">
        <v>1212</v>
      </c>
      <c r="H359" s="34" t="s">
        <v>60</v>
      </c>
      <c r="I359" s="126" t="s">
        <v>1213</v>
      </c>
      <c r="J359" s="34" t="s">
        <v>45</v>
      </c>
      <c r="K359" s="126">
        <v>353.44</v>
      </c>
      <c r="L359" s="132" t="s">
        <v>61</v>
      </c>
      <c r="M359" s="105" t="s">
        <v>61</v>
      </c>
      <c r="N359" s="265">
        <v>42396</v>
      </c>
      <c r="O359" s="260">
        <v>42396</v>
      </c>
      <c r="P359" s="106" t="s">
        <v>1214</v>
      </c>
      <c r="Q359" s="107" t="s">
        <v>1215</v>
      </c>
      <c r="R359" s="244"/>
      <c r="S359" s="37">
        <v>0</v>
      </c>
      <c r="T359" s="36" t="str">
        <f t="shared" ca="1" si="32"/>
        <v>Empty</v>
      </c>
      <c r="U359" s="37" t="s">
        <v>884</v>
      </c>
      <c r="V359" s="194" t="s">
        <v>1216</v>
      </c>
      <c r="W359" s="38">
        <v>42396</v>
      </c>
      <c r="X359" s="39" t="s">
        <v>50</v>
      </c>
      <c r="Y359" s="39" t="s">
        <v>1217</v>
      </c>
      <c r="Z359" s="40" t="s">
        <v>212</v>
      </c>
      <c r="AA359" s="136">
        <f t="shared" ca="1" si="28"/>
        <v>967</v>
      </c>
      <c r="AB359" s="40"/>
      <c r="AC359" s="116"/>
      <c r="AD359" s="116"/>
      <c r="AE359" s="40"/>
      <c r="AF359" s="136" t="str">
        <f t="shared" ref="AF359:AF380" ca="1" si="33">IF(AB359="","",IF(AB359,DAYS360(AB359,TODAY())))</f>
        <v/>
      </c>
      <c r="AG359" s="127"/>
      <c r="AH359" s="127"/>
      <c r="AI359" s="127"/>
      <c r="AJ359" s="128"/>
      <c r="AK359" s="128"/>
      <c r="AL359" s="129"/>
    </row>
    <row r="360" spans="1:38" ht="24.95" customHeight="1" x14ac:dyDescent="0.25">
      <c r="A360" s="140" t="str">
        <f t="shared" si="30"/>
        <v>16REF025</v>
      </c>
      <c r="B360" s="193">
        <v>25</v>
      </c>
      <c r="C360" s="140" t="s">
        <v>39</v>
      </c>
      <c r="D360" s="141" t="s">
        <v>40</v>
      </c>
      <c r="E360" s="124" t="s">
        <v>41</v>
      </c>
      <c r="F360" s="124" t="s">
        <v>1218</v>
      </c>
      <c r="G360" s="251"/>
      <c r="H360" s="34" t="s">
        <v>112</v>
      </c>
      <c r="I360" s="126" t="s">
        <v>1219</v>
      </c>
      <c r="J360" s="47" t="s">
        <v>180</v>
      </c>
      <c r="K360" s="126">
        <v>387</v>
      </c>
      <c r="L360" s="126">
        <v>4719</v>
      </c>
      <c r="M360" s="104" t="s">
        <v>1220</v>
      </c>
      <c r="N360" s="265">
        <v>42404</v>
      </c>
      <c r="O360" s="260">
        <v>42415</v>
      </c>
      <c r="P360" s="106" t="s">
        <v>86</v>
      </c>
      <c r="Q360" s="107" t="s">
        <v>1221</v>
      </c>
      <c r="R360" s="244"/>
      <c r="S360" s="37">
        <v>0</v>
      </c>
      <c r="T360" s="36" t="str">
        <f t="shared" ca="1" si="32"/>
        <v>Empty</v>
      </c>
      <c r="U360" s="37" t="s">
        <v>1222</v>
      </c>
      <c r="V360" s="37"/>
      <c r="W360" s="38"/>
      <c r="X360" s="39"/>
      <c r="Y360" s="39"/>
      <c r="Z360" s="40"/>
      <c r="AA360" s="136" t="str">
        <f t="shared" ca="1" si="28"/>
        <v/>
      </c>
      <c r="AB360" s="40"/>
      <c r="AC360" s="116"/>
      <c r="AD360" s="116"/>
      <c r="AE360" s="40"/>
      <c r="AF360" s="136" t="str">
        <f t="shared" ca="1" si="33"/>
        <v/>
      </c>
      <c r="AG360" s="127"/>
      <c r="AH360" s="127"/>
      <c r="AI360" s="127"/>
      <c r="AJ360" s="128"/>
      <c r="AK360" s="128"/>
      <c r="AL360" s="129"/>
    </row>
    <row r="361" spans="1:38" ht="24.95" customHeight="1" x14ac:dyDescent="0.25">
      <c r="A361" s="142" t="str">
        <f t="shared" si="30"/>
        <v>16SAM026</v>
      </c>
      <c r="B361" s="192">
        <v>26</v>
      </c>
      <c r="C361" s="142" t="s">
        <v>57</v>
      </c>
      <c r="D361" s="143" t="s">
        <v>40</v>
      </c>
      <c r="E361" s="124" t="s">
        <v>230</v>
      </c>
      <c r="F361" s="124" t="s">
        <v>886</v>
      </c>
      <c r="G361" s="251"/>
      <c r="H361" s="34" t="s">
        <v>60</v>
      </c>
      <c r="I361" s="126">
        <v>210008135</v>
      </c>
      <c r="J361" s="47" t="s">
        <v>45</v>
      </c>
      <c r="K361" s="126">
        <v>402.7</v>
      </c>
      <c r="L361" s="132" t="s">
        <v>61</v>
      </c>
      <c r="M361" s="105" t="s">
        <v>61</v>
      </c>
      <c r="N361" s="265">
        <v>42419</v>
      </c>
      <c r="O361" s="260">
        <v>42422</v>
      </c>
      <c r="P361" s="106" t="s">
        <v>887</v>
      </c>
      <c r="Q361" s="107" t="s">
        <v>888</v>
      </c>
      <c r="R361" s="244"/>
      <c r="S361" s="37">
        <v>0</v>
      </c>
      <c r="T361" s="36" t="str">
        <f t="shared" ca="1" si="32"/>
        <v>Empty</v>
      </c>
      <c r="U361" s="37" t="s">
        <v>889</v>
      </c>
      <c r="V361" s="37"/>
      <c r="W361" s="38"/>
      <c r="X361" s="39"/>
      <c r="Y361" s="39"/>
      <c r="Z361" s="40"/>
      <c r="AA361" s="136" t="str">
        <f t="shared" ca="1" si="28"/>
        <v/>
      </c>
      <c r="AB361" s="40"/>
      <c r="AC361" s="116"/>
      <c r="AD361" s="116"/>
      <c r="AE361" s="40"/>
      <c r="AF361" s="136" t="str">
        <f t="shared" ca="1" si="33"/>
        <v/>
      </c>
      <c r="AG361" s="127"/>
      <c r="AH361" s="127"/>
      <c r="AI361" s="127"/>
      <c r="AJ361" s="128"/>
      <c r="AK361" s="128"/>
      <c r="AL361" s="129"/>
    </row>
    <row r="362" spans="1:38" ht="24.95" customHeight="1" x14ac:dyDescent="0.25">
      <c r="A362" s="142" t="str">
        <f t="shared" si="30"/>
        <v>16SAM027</v>
      </c>
      <c r="B362" s="192">
        <v>27</v>
      </c>
      <c r="C362" s="142" t="s">
        <v>57</v>
      </c>
      <c r="D362" s="143" t="s">
        <v>40</v>
      </c>
      <c r="E362" s="124" t="s">
        <v>230</v>
      </c>
      <c r="F362" s="124" t="s">
        <v>890</v>
      </c>
      <c r="G362" s="251"/>
      <c r="H362" s="34" t="s">
        <v>60</v>
      </c>
      <c r="I362" s="126">
        <v>210008713</v>
      </c>
      <c r="J362" s="47" t="s">
        <v>45</v>
      </c>
      <c r="K362" s="126">
        <v>404.6</v>
      </c>
      <c r="L362" s="132" t="s">
        <v>61</v>
      </c>
      <c r="M362" s="105" t="s">
        <v>61</v>
      </c>
      <c r="N362" s="265">
        <v>42419</v>
      </c>
      <c r="O362" s="260"/>
      <c r="P362" s="106" t="s">
        <v>891</v>
      </c>
      <c r="Q362" s="107" t="s">
        <v>888</v>
      </c>
      <c r="R362" s="244"/>
      <c r="S362" s="37"/>
      <c r="T362" s="36" t="str">
        <f t="shared" ca="1" si="32"/>
        <v/>
      </c>
      <c r="U362" s="37" t="s">
        <v>889</v>
      </c>
      <c r="V362" s="37"/>
      <c r="W362" s="38"/>
      <c r="X362" s="39"/>
      <c r="Y362" s="39"/>
      <c r="Z362" s="40"/>
      <c r="AA362" s="136" t="str">
        <f t="shared" ca="1" si="28"/>
        <v/>
      </c>
      <c r="AB362" s="40"/>
      <c r="AC362" s="116"/>
      <c r="AD362" s="116"/>
      <c r="AE362" s="40"/>
      <c r="AF362" s="136" t="str">
        <f t="shared" ca="1" si="33"/>
        <v/>
      </c>
      <c r="AG362" s="127"/>
      <c r="AH362" s="127"/>
      <c r="AI362" s="127"/>
      <c r="AJ362" s="128"/>
      <c r="AK362" s="128"/>
      <c r="AL362" s="129"/>
    </row>
    <row r="363" spans="1:38" ht="24.95" customHeight="1" x14ac:dyDescent="0.25">
      <c r="A363" s="142" t="str">
        <f t="shared" si="30"/>
        <v>16SAM028</v>
      </c>
      <c r="B363" s="192">
        <v>28</v>
      </c>
      <c r="C363" s="142" t="s">
        <v>57</v>
      </c>
      <c r="D363" s="143" t="s">
        <v>40</v>
      </c>
      <c r="E363" s="124" t="s">
        <v>230</v>
      </c>
      <c r="F363" s="124" t="s">
        <v>892</v>
      </c>
      <c r="G363" s="251"/>
      <c r="H363" s="34" t="s">
        <v>60</v>
      </c>
      <c r="I363" s="126">
        <v>210008714</v>
      </c>
      <c r="J363" s="47" t="s">
        <v>45</v>
      </c>
      <c r="K363" s="126">
        <v>432.7</v>
      </c>
      <c r="L363" s="132" t="s">
        <v>61</v>
      </c>
      <c r="M363" s="105" t="s">
        <v>61</v>
      </c>
      <c r="N363" s="265">
        <v>42419</v>
      </c>
      <c r="O363" s="260"/>
      <c r="P363" s="106" t="s">
        <v>891</v>
      </c>
      <c r="Q363" s="107" t="s">
        <v>888</v>
      </c>
      <c r="R363" s="244"/>
      <c r="S363" s="37"/>
      <c r="T363" s="36" t="str">
        <f t="shared" ca="1" si="32"/>
        <v/>
      </c>
      <c r="U363" s="37" t="s">
        <v>889</v>
      </c>
      <c r="V363" s="37"/>
      <c r="W363" s="38"/>
      <c r="X363" s="39"/>
      <c r="Y363" s="39"/>
      <c r="Z363" s="40"/>
      <c r="AA363" s="136" t="str">
        <f t="shared" ca="1" si="28"/>
        <v/>
      </c>
      <c r="AB363" s="40"/>
      <c r="AC363" s="116"/>
      <c r="AD363" s="116"/>
      <c r="AE363" s="40"/>
      <c r="AF363" s="136" t="str">
        <f t="shared" ca="1" si="33"/>
        <v/>
      </c>
      <c r="AG363" s="127"/>
      <c r="AH363" s="127"/>
      <c r="AI363" s="127"/>
      <c r="AJ363" s="128"/>
      <c r="AK363" s="128"/>
      <c r="AL363" s="129"/>
    </row>
    <row r="364" spans="1:38" ht="24.95" customHeight="1" x14ac:dyDescent="0.25">
      <c r="A364" s="142" t="str">
        <f t="shared" si="30"/>
        <v>16SAM029</v>
      </c>
      <c r="B364" s="192">
        <v>29</v>
      </c>
      <c r="C364" s="142" t="s">
        <v>57</v>
      </c>
      <c r="D364" s="143" t="s">
        <v>824</v>
      </c>
      <c r="E364" s="124" t="s">
        <v>516</v>
      </c>
      <c r="F364" s="124" t="s">
        <v>893</v>
      </c>
      <c r="G364" s="251"/>
      <c r="H364" s="34" t="s">
        <v>60</v>
      </c>
      <c r="I364" s="126" t="s">
        <v>894</v>
      </c>
      <c r="J364" s="34" t="s">
        <v>45</v>
      </c>
      <c r="K364" s="126">
        <v>505.05</v>
      </c>
      <c r="L364" s="126" t="s">
        <v>61</v>
      </c>
      <c r="M364" s="104" t="s">
        <v>61</v>
      </c>
      <c r="N364" s="265">
        <v>42422</v>
      </c>
      <c r="O364" s="260">
        <v>42422</v>
      </c>
      <c r="P364" s="106" t="s">
        <v>895</v>
      </c>
      <c r="Q364" s="107" t="s">
        <v>896</v>
      </c>
      <c r="R364" s="244"/>
      <c r="S364" s="37">
        <f>50.08-1.802</f>
        <v>48.277999999999999</v>
      </c>
      <c r="T364" s="36">
        <f t="shared" ca="1" si="32"/>
        <v>942</v>
      </c>
      <c r="U364" s="37" t="s">
        <v>897</v>
      </c>
      <c r="V364" s="37"/>
      <c r="W364" s="38">
        <v>42422</v>
      </c>
      <c r="X364" s="39" t="s">
        <v>898</v>
      </c>
      <c r="Y364" s="39" t="s">
        <v>335</v>
      </c>
      <c r="Z364" s="40" t="s">
        <v>212</v>
      </c>
      <c r="AA364" s="136">
        <f t="shared" ca="1" si="28"/>
        <v>942</v>
      </c>
      <c r="AB364" s="40"/>
      <c r="AC364" s="116"/>
      <c r="AD364" s="116"/>
      <c r="AE364" s="40"/>
      <c r="AF364" s="136" t="str">
        <f t="shared" ca="1" si="33"/>
        <v/>
      </c>
      <c r="AG364" s="127"/>
      <c r="AH364" s="127"/>
      <c r="AI364" s="127"/>
      <c r="AJ364" s="128"/>
      <c r="AK364" s="128"/>
      <c r="AL364" s="129"/>
    </row>
    <row r="365" spans="1:38" ht="24.95" customHeight="1" x14ac:dyDescent="0.25">
      <c r="A365" s="142" t="str">
        <f t="shared" si="30"/>
        <v>16SAM030</v>
      </c>
      <c r="B365" s="192">
        <v>30</v>
      </c>
      <c r="C365" s="142" t="s">
        <v>57</v>
      </c>
      <c r="D365" s="143" t="s">
        <v>170</v>
      </c>
      <c r="E365" s="124" t="s">
        <v>859</v>
      </c>
      <c r="F365" s="124" t="s">
        <v>899</v>
      </c>
      <c r="G365" s="251" t="s">
        <v>60</v>
      </c>
      <c r="H365" s="34" t="s">
        <v>60</v>
      </c>
      <c r="I365" s="126" t="s">
        <v>61</v>
      </c>
      <c r="J365" s="34" t="s">
        <v>45</v>
      </c>
      <c r="K365" s="126">
        <v>366.4</v>
      </c>
      <c r="L365" s="126" t="s">
        <v>61</v>
      </c>
      <c r="M365" s="104" t="s">
        <v>61</v>
      </c>
      <c r="N365" s="265">
        <v>42422</v>
      </c>
      <c r="O365" s="260"/>
      <c r="P365" s="106" t="s">
        <v>900</v>
      </c>
      <c r="Q365" s="107" t="s">
        <v>685</v>
      </c>
      <c r="R365" s="244"/>
      <c r="S365" s="37">
        <v>0</v>
      </c>
      <c r="T365" s="36" t="str">
        <f t="shared" ca="1" si="32"/>
        <v>Empty</v>
      </c>
      <c r="U365" s="37" t="s">
        <v>872</v>
      </c>
      <c r="V365" s="37"/>
      <c r="W365" s="38"/>
      <c r="X365" s="39"/>
      <c r="Y365" s="39"/>
      <c r="Z365" s="40"/>
      <c r="AA365" s="136" t="str">
        <f t="shared" ca="1" si="28"/>
        <v/>
      </c>
      <c r="AB365" s="40"/>
      <c r="AC365" s="116"/>
      <c r="AD365" s="116"/>
      <c r="AE365" s="40"/>
      <c r="AF365" s="136" t="str">
        <f t="shared" ca="1" si="33"/>
        <v/>
      </c>
      <c r="AG365" s="127"/>
      <c r="AH365" s="127"/>
      <c r="AI365" s="127"/>
      <c r="AJ365" s="128"/>
      <c r="AK365" s="128"/>
      <c r="AL365" s="129"/>
    </row>
    <row r="366" spans="1:38" ht="24.95" customHeight="1" x14ac:dyDescent="0.25">
      <c r="A366" s="142" t="str">
        <f t="shared" si="30"/>
        <v>16SAM031</v>
      </c>
      <c r="B366" s="192">
        <v>31</v>
      </c>
      <c r="C366" s="142" t="s">
        <v>57</v>
      </c>
      <c r="D366" s="143" t="s">
        <v>170</v>
      </c>
      <c r="E366" s="124" t="s">
        <v>859</v>
      </c>
      <c r="F366" s="124" t="s">
        <v>901</v>
      </c>
      <c r="G366" s="251" t="s">
        <v>60</v>
      </c>
      <c r="H366" s="34" t="s">
        <v>60</v>
      </c>
      <c r="I366" s="126" t="s">
        <v>61</v>
      </c>
      <c r="J366" s="34" t="s">
        <v>45</v>
      </c>
      <c r="K366" s="126">
        <v>407.7</v>
      </c>
      <c r="L366" s="126" t="s">
        <v>61</v>
      </c>
      <c r="M366" s="104" t="s">
        <v>61</v>
      </c>
      <c r="N366" s="265">
        <v>42422</v>
      </c>
      <c r="O366" s="260"/>
      <c r="P366" s="106" t="s">
        <v>900</v>
      </c>
      <c r="Q366" s="107" t="s">
        <v>902</v>
      </c>
      <c r="R366" s="244"/>
      <c r="S366" s="37">
        <v>0</v>
      </c>
      <c r="T366" s="36" t="str">
        <f t="shared" ca="1" si="32"/>
        <v>Empty</v>
      </c>
      <c r="U366" s="37" t="s">
        <v>872</v>
      </c>
      <c r="V366" s="37"/>
      <c r="W366" s="38"/>
      <c r="X366" s="39"/>
      <c r="Y366" s="39"/>
      <c r="Z366" s="40"/>
      <c r="AA366" s="136" t="str">
        <f t="shared" ca="1" si="28"/>
        <v/>
      </c>
      <c r="AB366" s="40"/>
      <c r="AC366" s="116"/>
      <c r="AD366" s="116"/>
      <c r="AE366" s="40"/>
      <c r="AF366" s="136" t="str">
        <f t="shared" ca="1" si="33"/>
        <v/>
      </c>
      <c r="AG366" s="127"/>
      <c r="AH366" s="127"/>
      <c r="AI366" s="127"/>
      <c r="AJ366" s="128"/>
      <c r="AK366" s="128"/>
      <c r="AL366" s="129"/>
    </row>
    <row r="367" spans="1:38" ht="24.95" customHeight="1" x14ac:dyDescent="0.25">
      <c r="A367" s="142" t="str">
        <f t="shared" si="30"/>
        <v>16SAM032</v>
      </c>
      <c r="B367" s="192">
        <v>32</v>
      </c>
      <c r="C367" s="142" t="s">
        <v>57</v>
      </c>
      <c r="D367" s="143" t="s">
        <v>170</v>
      </c>
      <c r="E367" s="124" t="s">
        <v>416</v>
      </c>
      <c r="F367" s="124" t="s">
        <v>903</v>
      </c>
      <c r="G367" s="251"/>
      <c r="H367" s="34" t="s">
        <v>60</v>
      </c>
      <c r="I367" s="126">
        <v>350.84300000000002</v>
      </c>
      <c r="J367" s="47" t="s">
        <v>180</v>
      </c>
      <c r="K367" s="126">
        <v>350.84300000000002</v>
      </c>
      <c r="L367" s="132" t="s">
        <v>61</v>
      </c>
      <c r="M367" s="105" t="s">
        <v>61</v>
      </c>
      <c r="N367" s="265">
        <v>42424</v>
      </c>
      <c r="O367" s="260"/>
      <c r="P367" s="106" t="s">
        <v>904</v>
      </c>
      <c r="Q367" s="107" t="s">
        <v>212</v>
      </c>
      <c r="R367" s="244"/>
      <c r="S367" s="37"/>
      <c r="T367" s="36" t="str">
        <f t="shared" ca="1" si="32"/>
        <v/>
      </c>
      <c r="U367" s="37"/>
      <c r="V367" s="37"/>
      <c r="W367" s="38"/>
      <c r="X367" s="39"/>
      <c r="Y367" s="39"/>
      <c r="Z367" s="40"/>
      <c r="AA367" s="136"/>
      <c r="AB367" s="40"/>
      <c r="AC367" s="116"/>
      <c r="AD367" s="116"/>
      <c r="AE367" s="40"/>
      <c r="AF367" s="136" t="str">
        <f t="shared" ca="1" si="33"/>
        <v/>
      </c>
      <c r="AG367" s="127"/>
      <c r="AH367" s="127"/>
      <c r="AI367" s="127"/>
      <c r="AJ367" s="128"/>
      <c r="AK367" s="128"/>
      <c r="AL367" s="129"/>
    </row>
    <row r="368" spans="1:38" ht="24.95" customHeight="1" x14ac:dyDescent="0.25">
      <c r="A368" s="142" t="str">
        <f t="shared" si="30"/>
        <v>16SAM033</v>
      </c>
      <c r="B368" s="192">
        <v>33</v>
      </c>
      <c r="C368" s="142" t="s">
        <v>57</v>
      </c>
      <c r="D368" s="143" t="s">
        <v>170</v>
      </c>
      <c r="E368" s="124" t="s">
        <v>289</v>
      </c>
      <c r="F368" s="124" t="s">
        <v>791</v>
      </c>
      <c r="G368" s="251" t="s">
        <v>792</v>
      </c>
      <c r="H368" s="34" t="s">
        <v>112</v>
      </c>
      <c r="I368" s="126" t="s">
        <v>905</v>
      </c>
      <c r="J368" s="47" t="s">
        <v>105</v>
      </c>
      <c r="K368" s="126">
        <v>1019.24</v>
      </c>
      <c r="L368" s="126">
        <v>1818</v>
      </c>
      <c r="M368" s="104" t="s">
        <v>906</v>
      </c>
      <c r="N368" s="265">
        <v>42425</v>
      </c>
      <c r="O368" s="260"/>
      <c r="P368" s="106" t="s">
        <v>194</v>
      </c>
      <c r="Q368" s="107" t="s">
        <v>907</v>
      </c>
      <c r="R368" s="244"/>
      <c r="S368" s="37"/>
      <c r="T368" s="36" t="str">
        <f t="shared" ca="1" si="32"/>
        <v/>
      </c>
      <c r="U368" s="37"/>
      <c r="V368" s="37"/>
      <c r="W368" s="38"/>
      <c r="X368" s="39"/>
      <c r="Y368" s="39"/>
      <c r="Z368" s="40"/>
      <c r="AA368" s="136" t="str">
        <f t="shared" ca="1" si="28"/>
        <v/>
      </c>
      <c r="AB368" s="40"/>
      <c r="AC368" s="116"/>
      <c r="AD368" s="116"/>
      <c r="AE368" s="40"/>
      <c r="AF368" s="136" t="str">
        <f t="shared" ca="1" si="33"/>
        <v/>
      </c>
      <c r="AG368" s="127"/>
      <c r="AH368" s="127"/>
      <c r="AI368" s="127"/>
      <c r="AJ368" s="128"/>
      <c r="AK368" s="128"/>
      <c r="AL368" s="129"/>
    </row>
    <row r="369" spans="1:38" ht="24.95" customHeight="1" x14ac:dyDescent="0.25">
      <c r="A369" s="142" t="str">
        <f t="shared" si="30"/>
        <v>16SAM034</v>
      </c>
      <c r="B369" s="192">
        <v>34</v>
      </c>
      <c r="C369" s="142" t="s">
        <v>57</v>
      </c>
      <c r="D369" s="143" t="s">
        <v>170</v>
      </c>
      <c r="E369" s="124" t="s">
        <v>416</v>
      </c>
      <c r="F369" s="124" t="s">
        <v>908</v>
      </c>
      <c r="G369" s="251" t="s">
        <v>60</v>
      </c>
      <c r="H369" s="34" t="s">
        <v>60</v>
      </c>
      <c r="I369" s="126" t="s">
        <v>61</v>
      </c>
      <c r="J369" s="34" t="s">
        <v>180</v>
      </c>
      <c r="K369" s="126">
        <v>380.459</v>
      </c>
      <c r="L369" s="126" t="s">
        <v>61</v>
      </c>
      <c r="M369" s="104" t="s">
        <v>61</v>
      </c>
      <c r="N369" s="265">
        <v>42429</v>
      </c>
      <c r="O369" s="260">
        <v>42493</v>
      </c>
      <c r="P369" s="106">
        <v>80.650000000000006</v>
      </c>
      <c r="Q369" s="107"/>
      <c r="R369" s="244"/>
      <c r="S369" s="37">
        <f>80.65-27.8-9.23</f>
        <v>43.620000000000005</v>
      </c>
      <c r="T369" s="36">
        <f t="shared" ca="1" si="32"/>
        <v>871</v>
      </c>
      <c r="U369" s="37" t="s">
        <v>1414</v>
      </c>
      <c r="V369" s="37"/>
      <c r="W369" s="38">
        <v>42560</v>
      </c>
      <c r="X369" s="39" t="s">
        <v>248</v>
      </c>
      <c r="Y369" s="39" t="s">
        <v>775</v>
      </c>
      <c r="Z369" s="40" t="s">
        <v>212</v>
      </c>
      <c r="AA369" s="136">
        <f t="shared" ca="1" si="28"/>
        <v>805</v>
      </c>
      <c r="AB369" s="40"/>
      <c r="AC369" s="116"/>
      <c r="AD369" s="116"/>
      <c r="AE369" s="40"/>
      <c r="AF369" s="136" t="str">
        <f t="shared" ca="1" si="33"/>
        <v/>
      </c>
      <c r="AG369" s="127"/>
      <c r="AH369" s="127"/>
      <c r="AI369" s="127"/>
      <c r="AJ369" s="128"/>
      <c r="AK369" s="128"/>
      <c r="AL369" s="129"/>
    </row>
    <row r="370" spans="1:38" ht="24.95" customHeight="1" x14ac:dyDescent="0.25">
      <c r="A370" s="147" t="str">
        <f t="shared" si="30"/>
        <v>16REF035</v>
      </c>
      <c r="B370" s="195">
        <v>35</v>
      </c>
      <c r="C370" s="147" t="s">
        <v>39</v>
      </c>
      <c r="D370" s="148" t="s">
        <v>40</v>
      </c>
      <c r="E370" s="124" t="s">
        <v>41</v>
      </c>
      <c r="F370" s="124" t="s">
        <v>564</v>
      </c>
      <c r="G370" s="251"/>
      <c r="H370" s="34" t="s">
        <v>43</v>
      </c>
      <c r="I370" s="126" t="s">
        <v>909</v>
      </c>
      <c r="J370" s="47" t="s">
        <v>180</v>
      </c>
      <c r="K370" s="126">
        <v>274.19</v>
      </c>
      <c r="L370" s="126" t="s">
        <v>566</v>
      </c>
      <c r="M370" s="104" t="s">
        <v>567</v>
      </c>
      <c r="N370" s="265">
        <v>42430</v>
      </c>
      <c r="O370" s="260">
        <v>42443</v>
      </c>
      <c r="P370" s="106" t="s">
        <v>160</v>
      </c>
      <c r="Q370" s="107" t="s">
        <v>910</v>
      </c>
      <c r="R370" s="244"/>
      <c r="S370" s="37">
        <f>1000-121.2-21.5-2.13-64.8-60-202.7-138.05-22.09</f>
        <v>367.53000000000009</v>
      </c>
      <c r="T370" s="36">
        <f t="shared" ca="1" si="32"/>
        <v>920</v>
      </c>
      <c r="U370" s="37" t="s">
        <v>1255</v>
      </c>
      <c r="V370" s="37"/>
      <c r="W370" s="38">
        <v>42560</v>
      </c>
      <c r="X370" s="39" t="s">
        <v>50</v>
      </c>
      <c r="Y370" s="39" t="s">
        <v>1532</v>
      </c>
      <c r="Z370" s="40" t="s">
        <v>49</v>
      </c>
      <c r="AA370" s="136">
        <f t="shared" ca="1" si="28"/>
        <v>805</v>
      </c>
      <c r="AB370" s="346">
        <v>42821</v>
      </c>
      <c r="AC370" s="116" t="s">
        <v>2181</v>
      </c>
      <c r="AD370" s="116" t="s">
        <v>2182</v>
      </c>
      <c r="AE370" s="40" t="s">
        <v>2180</v>
      </c>
      <c r="AF370" s="136">
        <f t="shared" ca="1" si="33"/>
        <v>547</v>
      </c>
      <c r="AG370" s="127"/>
      <c r="AH370" s="127"/>
      <c r="AI370" s="127"/>
      <c r="AJ370" s="128"/>
      <c r="AK370" s="128"/>
      <c r="AL370" s="129"/>
    </row>
    <row r="371" spans="1:38" ht="24.95" customHeight="1" x14ac:dyDescent="0.25">
      <c r="A371" s="142" t="str">
        <f t="shared" si="30"/>
        <v>16SAM036</v>
      </c>
      <c r="B371" s="192">
        <v>36</v>
      </c>
      <c r="C371" s="142" t="s">
        <v>57</v>
      </c>
      <c r="D371" s="143" t="s">
        <v>40</v>
      </c>
      <c r="E371" s="124" t="s">
        <v>883</v>
      </c>
      <c r="F371" s="124" t="s">
        <v>911</v>
      </c>
      <c r="G371" s="251" t="s">
        <v>912</v>
      </c>
      <c r="H371" s="34" t="s">
        <v>60</v>
      </c>
      <c r="I371" s="126" t="s">
        <v>913</v>
      </c>
      <c r="J371" s="47" t="s">
        <v>45</v>
      </c>
      <c r="K371" s="126">
        <v>353.44</v>
      </c>
      <c r="L371" s="132" t="s">
        <v>61</v>
      </c>
      <c r="M371" s="105" t="s">
        <v>61</v>
      </c>
      <c r="N371" s="265">
        <v>42430</v>
      </c>
      <c r="O371" s="260">
        <v>42430</v>
      </c>
      <c r="P371" s="106" t="s">
        <v>776</v>
      </c>
      <c r="Q371" s="107" t="s">
        <v>914</v>
      </c>
      <c r="R371" s="244"/>
      <c r="S371" s="37">
        <f>250-5.62-18.391</f>
        <v>225.989</v>
      </c>
      <c r="T371" s="36">
        <f t="shared" ca="1" si="32"/>
        <v>933</v>
      </c>
      <c r="U371" s="37" t="s">
        <v>884</v>
      </c>
      <c r="V371" s="37"/>
      <c r="W371" s="38"/>
      <c r="X371" s="39"/>
      <c r="Y371" s="39"/>
      <c r="Z371" s="40"/>
      <c r="AA371" s="136" t="str">
        <f t="shared" ca="1" si="28"/>
        <v/>
      </c>
      <c r="AB371" s="40"/>
      <c r="AC371" s="116"/>
      <c r="AD371" s="116"/>
      <c r="AE371" s="40"/>
      <c r="AF371" s="136" t="str">
        <f t="shared" ca="1" si="33"/>
        <v/>
      </c>
      <c r="AG371" s="127"/>
      <c r="AH371" s="127"/>
      <c r="AI371" s="127"/>
      <c r="AJ371" s="128"/>
      <c r="AK371" s="128"/>
      <c r="AL371" s="129"/>
    </row>
    <row r="372" spans="1:38" ht="24.95" customHeight="1" x14ac:dyDescent="0.25">
      <c r="A372" s="142" t="str">
        <f t="shared" si="30"/>
        <v>16SAM037</v>
      </c>
      <c r="B372" s="192">
        <v>37</v>
      </c>
      <c r="C372" s="142" t="s">
        <v>57</v>
      </c>
      <c r="D372" s="143" t="s">
        <v>40</v>
      </c>
      <c r="E372" s="124" t="s">
        <v>915</v>
      </c>
      <c r="F372" s="124" t="s">
        <v>916</v>
      </c>
      <c r="G372" s="251"/>
      <c r="H372" s="34" t="s">
        <v>60</v>
      </c>
      <c r="I372" s="126"/>
      <c r="J372" s="47" t="s">
        <v>105</v>
      </c>
      <c r="K372" s="149" t="s">
        <v>61</v>
      </c>
      <c r="L372" s="132" t="s">
        <v>61</v>
      </c>
      <c r="M372" s="105" t="s">
        <v>61</v>
      </c>
      <c r="N372" s="265">
        <v>42431</v>
      </c>
      <c r="O372" s="260">
        <v>42431</v>
      </c>
      <c r="P372" s="106" t="s">
        <v>917</v>
      </c>
      <c r="Q372" s="107"/>
      <c r="R372" s="244"/>
      <c r="S372" s="37" t="s">
        <v>1229</v>
      </c>
      <c r="T372" s="36">
        <f t="shared" ca="1" si="32"/>
        <v>932</v>
      </c>
      <c r="U372" s="37" t="s">
        <v>1230</v>
      </c>
      <c r="V372" s="37" t="s">
        <v>918</v>
      </c>
      <c r="W372" s="38">
        <v>42431</v>
      </c>
      <c r="X372" s="207" t="s">
        <v>61</v>
      </c>
      <c r="Y372" s="39" t="s">
        <v>922</v>
      </c>
      <c r="Z372" s="40" t="s">
        <v>212</v>
      </c>
      <c r="AA372" s="136">
        <f t="shared" ca="1" si="28"/>
        <v>932</v>
      </c>
      <c r="AB372" s="40"/>
      <c r="AC372" s="116"/>
      <c r="AD372" s="116"/>
      <c r="AE372" s="40"/>
      <c r="AF372" s="136" t="str">
        <f t="shared" ca="1" si="33"/>
        <v/>
      </c>
      <c r="AG372" s="127"/>
      <c r="AH372" s="127"/>
      <c r="AI372" s="127"/>
      <c r="AJ372" s="128"/>
      <c r="AK372" s="128"/>
      <c r="AL372" s="129"/>
    </row>
    <row r="373" spans="1:38" ht="24.95" customHeight="1" x14ac:dyDescent="0.25">
      <c r="A373" s="142" t="str">
        <f t="shared" si="30"/>
        <v>16SAM038</v>
      </c>
      <c r="B373" s="192">
        <v>38</v>
      </c>
      <c r="C373" s="142" t="s">
        <v>57</v>
      </c>
      <c r="D373" s="143" t="s">
        <v>40</v>
      </c>
      <c r="E373" s="124" t="s">
        <v>915</v>
      </c>
      <c r="F373" s="124" t="s">
        <v>919</v>
      </c>
      <c r="G373" s="251" t="s">
        <v>920</v>
      </c>
      <c r="H373" s="34" t="s">
        <v>60</v>
      </c>
      <c r="I373" s="126"/>
      <c r="J373" s="47" t="s">
        <v>105</v>
      </c>
      <c r="K373" s="149" t="s">
        <v>61</v>
      </c>
      <c r="L373" s="132" t="s">
        <v>61</v>
      </c>
      <c r="M373" s="105" t="s">
        <v>61</v>
      </c>
      <c r="N373" s="265">
        <v>42431</v>
      </c>
      <c r="O373" s="260">
        <v>42431</v>
      </c>
      <c r="P373" s="106" t="s">
        <v>917</v>
      </c>
      <c r="Q373" s="107"/>
      <c r="R373" s="244"/>
      <c r="S373" s="37" t="s">
        <v>1231</v>
      </c>
      <c r="T373" s="36">
        <f t="shared" ca="1" si="32"/>
        <v>932</v>
      </c>
      <c r="U373" s="37" t="s">
        <v>1230</v>
      </c>
      <c r="V373" s="37" t="s">
        <v>918</v>
      </c>
      <c r="W373" s="38">
        <v>42431</v>
      </c>
      <c r="X373" s="39" t="s">
        <v>921</v>
      </c>
      <c r="Y373" s="39" t="s">
        <v>922</v>
      </c>
      <c r="Z373" s="40" t="s">
        <v>212</v>
      </c>
      <c r="AA373" s="136">
        <f t="shared" ca="1" si="28"/>
        <v>932</v>
      </c>
      <c r="AB373" s="40"/>
      <c r="AC373" s="116"/>
      <c r="AD373" s="116"/>
      <c r="AE373" s="40"/>
      <c r="AF373" s="136" t="str">
        <f t="shared" ca="1" si="33"/>
        <v/>
      </c>
      <c r="AG373" s="127"/>
      <c r="AH373" s="127"/>
      <c r="AI373" s="127"/>
      <c r="AJ373" s="128"/>
      <c r="AK373" s="128"/>
      <c r="AL373" s="129"/>
    </row>
    <row r="374" spans="1:38" ht="24.95" customHeight="1" x14ac:dyDescent="0.25">
      <c r="A374" s="142" t="str">
        <f t="shared" si="30"/>
        <v>16SAM039</v>
      </c>
      <c r="B374" s="192">
        <v>39</v>
      </c>
      <c r="C374" s="142" t="s">
        <v>57</v>
      </c>
      <c r="D374" s="143" t="s">
        <v>40</v>
      </c>
      <c r="E374" s="124" t="s">
        <v>915</v>
      </c>
      <c r="F374" s="124" t="s">
        <v>923</v>
      </c>
      <c r="G374" s="251" t="s">
        <v>924</v>
      </c>
      <c r="H374" s="34" t="s">
        <v>60</v>
      </c>
      <c r="I374" s="126"/>
      <c r="J374" s="47" t="s">
        <v>105</v>
      </c>
      <c r="K374" s="149" t="s">
        <v>61</v>
      </c>
      <c r="L374" s="132" t="s">
        <v>61</v>
      </c>
      <c r="M374" s="105" t="s">
        <v>61</v>
      </c>
      <c r="N374" s="265">
        <v>42431</v>
      </c>
      <c r="O374" s="260">
        <v>42431</v>
      </c>
      <c r="P374" s="106" t="s">
        <v>917</v>
      </c>
      <c r="Q374" s="107"/>
      <c r="R374" s="244"/>
      <c r="S374" s="37" t="s">
        <v>1231</v>
      </c>
      <c r="T374" s="36">
        <f t="shared" ca="1" si="32"/>
        <v>932</v>
      </c>
      <c r="U374" s="37" t="s">
        <v>1230</v>
      </c>
      <c r="V374" s="37" t="s">
        <v>918</v>
      </c>
      <c r="W374" s="38">
        <v>42431</v>
      </c>
      <c r="X374" s="39" t="s">
        <v>850</v>
      </c>
      <c r="Y374" s="39" t="s">
        <v>922</v>
      </c>
      <c r="Z374" s="40" t="s">
        <v>212</v>
      </c>
      <c r="AA374" s="136">
        <f t="shared" ca="1" si="28"/>
        <v>932</v>
      </c>
      <c r="AB374" s="40"/>
      <c r="AC374" s="116"/>
      <c r="AD374" s="116"/>
      <c r="AE374" s="40"/>
      <c r="AF374" s="136" t="str">
        <f t="shared" ca="1" si="33"/>
        <v/>
      </c>
      <c r="AG374" s="127"/>
      <c r="AH374" s="127"/>
      <c r="AI374" s="127"/>
      <c r="AJ374" s="128"/>
      <c r="AK374" s="128"/>
      <c r="AL374" s="129"/>
    </row>
    <row r="375" spans="1:38" ht="24.95" customHeight="1" x14ac:dyDescent="0.25">
      <c r="A375" s="142" t="str">
        <f t="shared" si="30"/>
        <v>16SAM040</v>
      </c>
      <c r="B375" s="192">
        <v>40</v>
      </c>
      <c r="C375" s="142" t="s">
        <v>57</v>
      </c>
      <c r="D375" s="143" t="s">
        <v>40</v>
      </c>
      <c r="E375" s="124" t="s">
        <v>915</v>
      </c>
      <c r="F375" s="124" t="s">
        <v>925</v>
      </c>
      <c r="G375" s="251" t="s">
        <v>926</v>
      </c>
      <c r="H375" s="34" t="s">
        <v>60</v>
      </c>
      <c r="I375" s="126"/>
      <c r="J375" s="47" t="s">
        <v>105</v>
      </c>
      <c r="K375" s="149" t="s">
        <v>61</v>
      </c>
      <c r="L375" s="132" t="s">
        <v>61</v>
      </c>
      <c r="M375" s="105" t="s">
        <v>61</v>
      </c>
      <c r="N375" s="265">
        <v>42431</v>
      </c>
      <c r="O375" s="260">
        <v>42431</v>
      </c>
      <c r="P375" s="106" t="s">
        <v>917</v>
      </c>
      <c r="Q375" s="107"/>
      <c r="R375" s="244"/>
      <c r="S375" s="37" t="s">
        <v>1231</v>
      </c>
      <c r="T375" s="36">
        <f t="shared" ca="1" si="32"/>
        <v>932</v>
      </c>
      <c r="U375" s="37" t="s">
        <v>1230</v>
      </c>
      <c r="V375" s="37" t="s">
        <v>918</v>
      </c>
      <c r="W375" s="38">
        <v>42431</v>
      </c>
      <c r="X375" s="39" t="s">
        <v>921</v>
      </c>
      <c r="Y375" s="39" t="s">
        <v>922</v>
      </c>
      <c r="Z375" s="40" t="s">
        <v>212</v>
      </c>
      <c r="AA375" s="136">
        <f t="shared" ca="1" si="28"/>
        <v>932</v>
      </c>
      <c r="AB375" s="40"/>
      <c r="AC375" s="116"/>
      <c r="AD375" s="116"/>
      <c r="AE375" s="40"/>
      <c r="AF375" s="136" t="str">
        <f t="shared" ca="1" si="33"/>
        <v/>
      </c>
      <c r="AG375" s="127"/>
      <c r="AH375" s="127"/>
      <c r="AI375" s="127"/>
      <c r="AJ375" s="128"/>
      <c r="AK375" s="128"/>
      <c r="AL375" s="129"/>
    </row>
    <row r="376" spans="1:38" ht="24.95" customHeight="1" x14ac:dyDescent="0.25">
      <c r="A376" s="142" t="str">
        <f t="shared" si="30"/>
        <v>16SAM041</v>
      </c>
      <c r="B376" s="192">
        <v>41</v>
      </c>
      <c r="C376" s="142" t="s">
        <v>57</v>
      </c>
      <c r="D376" s="143" t="s">
        <v>40</v>
      </c>
      <c r="E376" s="124" t="s">
        <v>915</v>
      </c>
      <c r="F376" s="124" t="s">
        <v>927</v>
      </c>
      <c r="G376" s="251" t="s">
        <v>928</v>
      </c>
      <c r="H376" s="34" t="s">
        <v>60</v>
      </c>
      <c r="I376" s="126"/>
      <c r="J376" s="47" t="s">
        <v>105</v>
      </c>
      <c r="K376" s="149" t="s">
        <v>61</v>
      </c>
      <c r="L376" s="132" t="s">
        <v>61</v>
      </c>
      <c r="M376" s="105" t="s">
        <v>61</v>
      </c>
      <c r="N376" s="265">
        <v>42431</v>
      </c>
      <c r="O376" s="260">
        <v>42431</v>
      </c>
      <c r="P376" s="106" t="s">
        <v>917</v>
      </c>
      <c r="Q376" s="107"/>
      <c r="R376" s="244"/>
      <c r="S376" s="37" t="s">
        <v>1231</v>
      </c>
      <c r="T376" s="36">
        <f t="shared" ca="1" si="32"/>
        <v>932</v>
      </c>
      <c r="U376" s="37" t="s">
        <v>1230</v>
      </c>
      <c r="V376" s="37" t="s">
        <v>918</v>
      </c>
      <c r="W376" s="38">
        <v>42431</v>
      </c>
      <c r="X376" s="39" t="s">
        <v>929</v>
      </c>
      <c r="Y376" s="39" t="s">
        <v>922</v>
      </c>
      <c r="Z376" s="40" t="s">
        <v>212</v>
      </c>
      <c r="AA376" s="136">
        <f t="shared" ca="1" si="28"/>
        <v>932</v>
      </c>
      <c r="AB376" s="40"/>
      <c r="AC376" s="116"/>
      <c r="AD376" s="116"/>
      <c r="AE376" s="40"/>
      <c r="AF376" s="136" t="str">
        <f t="shared" ca="1" si="33"/>
        <v/>
      </c>
      <c r="AG376" s="127"/>
      <c r="AH376" s="127"/>
      <c r="AI376" s="127"/>
      <c r="AJ376" s="128"/>
      <c r="AK376" s="128"/>
      <c r="AL376" s="129"/>
    </row>
    <row r="377" spans="1:38" ht="24.95" customHeight="1" x14ac:dyDescent="0.25">
      <c r="A377" s="142" t="str">
        <f t="shared" si="30"/>
        <v>16SAM042</v>
      </c>
      <c r="B377" s="192">
        <v>42</v>
      </c>
      <c r="C377" s="142" t="s">
        <v>57</v>
      </c>
      <c r="D377" s="143" t="s">
        <v>170</v>
      </c>
      <c r="E377" s="124" t="s">
        <v>930</v>
      </c>
      <c r="F377" s="124" t="s">
        <v>512</v>
      </c>
      <c r="G377" s="251"/>
      <c r="H377" s="124" t="s">
        <v>931</v>
      </c>
      <c r="I377" s="126" t="s">
        <v>932</v>
      </c>
      <c r="J377" s="34" t="s">
        <v>180</v>
      </c>
      <c r="K377" s="126">
        <v>298.29000000000002</v>
      </c>
      <c r="L377" s="126" t="s">
        <v>61</v>
      </c>
      <c r="M377" s="104" t="s">
        <v>933</v>
      </c>
      <c r="N377" s="265">
        <v>42431</v>
      </c>
      <c r="O377" s="260"/>
      <c r="P377" s="106" t="s">
        <v>56</v>
      </c>
      <c r="Q377" s="107" t="s">
        <v>934</v>
      </c>
      <c r="R377" s="244"/>
      <c r="S377" s="37">
        <f>5000-108</f>
        <v>4892</v>
      </c>
      <c r="T377" s="36" t="str">
        <f t="shared" ca="1" si="32"/>
        <v/>
      </c>
      <c r="U377" s="37" t="s">
        <v>1484</v>
      </c>
      <c r="V377" s="37"/>
      <c r="W377" s="38">
        <v>42522</v>
      </c>
      <c r="X377" s="39" t="s">
        <v>248</v>
      </c>
      <c r="Y377" s="39" t="s">
        <v>853</v>
      </c>
      <c r="Z377" s="40" t="s">
        <v>212</v>
      </c>
      <c r="AA377" s="136">
        <f t="shared" ca="1" si="28"/>
        <v>843</v>
      </c>
      <c r="AB377" s="40"/>
      <c r="AC377" s="116"/>
      <c r="AD377" s="116"/>
      <c r="AE377" s="40"/>
      <c r="AF377" s="136" t="str">
        <f t="shared" ca="1" si="33"/>
        <v/>
      </c>
      <c r="AG377" s="127"/>
      <c r="AH377" s="127"/>
      <c r="AI377" s="127"/>
      <c r="AJ377" s="128"/>
      <c r="AK377" s="128"/>
      <c r="AL377" s="129"/>
    </row>
    <row r="378" spans="1:38" ht="24.95" customHeight="1" x14ac:dyDescent="0.25">
      <c r="A378" s="142" t="str">
        <f t="shared" si="30"/>
        <v>16SAM043</v>
      </c>
      <c r="B378" s="192">
        <v>43</v>
      </c>
      <c r="C378" s="142" t="s">
        <v>57</v>
      </c>
      <c r="D378" s="143" t="s">
        <v>170</v>
      </c>
      <c r="E378" s="124" t="s">
        <v>859</v>
      </c>
      <c r="F378" s="124" t="s">
        <v>1189</v>
      </c>
      <c r="G378" s="251" t="s">
        <v>1190</v>
      </c>
      <c r="H378" s="34" t="s">
        <v>330</v>
      </c>
      <c r="I378" s="126" t="s">
        <v>1191</v>
      </c>
      <c r="J378" s="34" t="s">
        <v>180</v>
      </c>
      <c r="K378" s="126">
        <v>429.39</v>
      </c>
      <c r="L378" s="126" t="s">
        <v>1192</v>
      </c>
      <c r="M378" s="104" t="s">
        <v>1193</v>
      </c>
      <c r="N378" s="265">
        <v>42437</v>
      </c>
      <c r="O378" s="260"/>
      <c r="P378" s="106" t="s">
        <v>864</v>
      </c>
      <c r="Q378" s="107" t="s">
        <v>1194</v>
      </c>
      <c r="R378" s="244"/>
      <c r="S378" s="37">
        <v>0</v>
      </c>
      <c r="T378" s="36" t="str">
        <f t="shared" ca="1" si="32"/>
        <v>Empty</v>
      </c>
      <c r="U378" s="37" t="s">
        <v>2229</v>
      </c>
      <c r="V378" s="37" t="s">
        <v>2246</v>
      </c>
      <c r="W378" s="38">
        <v>42860</v>
      </c>
      <c r="X378" s="39" t="s">
        <v>248</v>
      </c>
      <c r="Y378" s="39" t="s">
        <v>2106</v>
      </c>
      <c r="Z378" s="40" t="s">
        <v>49</v>
      </c>
      <c r="AA378" s="136">
        <f t="shared" ca="1" si="28"/>
        <v>509</v>
      </c>
      <c r="AB378" s="40"/>
      <c r="AC378" s="116"/>
      <c r="AD378" s="116"/>
      <c r="AE378" s="40"/>
      <c r="AF378" s="136" t="str">
        <f t="shared" ca="1" si="33"/>
        <v/>
      </c>
      <c r="AG378" s="127"/>
      <c r="AH378" s="127"/>
      <c r="AI378" s="127"/>
      <c r="AJ378" s="128"/>
      <c r="AK378" s="128"/>
      <c r="AL378" s="129"/>
    </row>
    <row r="379" spans="1:38" ht="24.95" customHeight="1" x14ac:dyDescent="0.25">
      <c r="A379" s="142" t="str">
        <f t="shared" si="30"/>
        <v>16SAM044</v>
      </c>
      <c r="B379" s="192">
        <v>44</v>
      </c>
      <c r="C379" s="142" t="s">
        <v>57</v>
      </c>
      <c r="D379" s="143" t="s">
        <v>170</v>
      </c>
      <c r="E379" s="124" t="s">
        <v>859</v>
      </c>
      <c r="F379" s="124" t="s">
        <v>1189</v>
      </c>
      <c r="G379" s="251" t="s">
        <v>1190</v>
      </c>
      <c r="H379" s="34" t="s">
        <v>330</v>
      </c>
      <c r="I379" s="126" t="s">
        <v>1191</v>
      </c>
      <c r="J379" s="34" t="s">
        <v>180</v>
      </c>
      <c r="K379" s="126">
        <v>429.39</v>
      </c>
      <c r="L379" s="126" t="s">
        <v>1192</v>
      </c>
      <c r="M379" s="104" t="s">
        <v>1193</v>
      </c>
      <c r="N379" s="265">
        <v>42437</v>
      </c>
      <c r="O379" s="260">
        <v>42986</v>
      </c>
      <c r="P379" s="106" t="s">
        <v>864</v>
      </c>
      <c r="Q379" s="107" t="s">
        <v>1194</v>
      </c>
      <c r="R379" s="244"/>
      <c r="S379" s="37">
        <v>0</v>
      </c>
      <c r="T379" s="36" t="str">
        <f t="shared" ca="1" si="32"/>
        <v>Empty</v>
      </c>
      <c r="U379" s="37" t="s">
        <v>2229</v>
      </c>
      <c r="V379" s="37" t="s">
        <v>2246</v>
      </c>
      <c r="W379" s="38"/>
      <c r="X379" s="39"/>
      <c r="Y379" s="39"/>
      <c r="Z379" s="40"/>
      <c r="AA379" s="136" t="str">
        <f t="shared" ca="1" si="28"/>
        <v/>
      </c>
      <c r="AB379" s="40"/>
      <c r="AC379" s="116"/>
      <c r="AD379" s="116"/>
      <c r="AE379" s="40"/>
      <c r="AF379" s="136" t="str">
        <f t="shared" ca="1" si="33"/>
        <v/>
      </c>
      <c r="AG379" s="127"/>
      <c r="AH379" s="127"/>
      <c r="AI379" s="127"/>
      <c r="AJ379" s="128"/>
      <c r="AK379" s="128"/>
      <c r="AL379" s="129"/>
    </row>
    <row r="380" spans="1:38" ht="24.95" customHeight="1" x14ac:dyDescent="0.25">
      <c r="A380" s="142" t="str">
        <f t="shared" si="30"/>
        <v>16SAM045</v>
      </c>
      <c r="B380" s="192">
        <v>45</v>
      </c>
      <c r="C380" s="142" t="s">
        <v>57</v>
      </c>
      <c r="D380" s="143" t="s">
        <v>170</v>
      </c>
      <c r="E380" s="124" t="s">
        <v>289</v>
      </c>
      <c r="F380" s="124" t="s">
        <v>1223</v>
      </c>
      <c r="G380" s="251" t="s">
        <v>1224</v>
      </c>
      <c r="H380" s="34" t="s">
        <v>60</v>
      </c>
      <c r="I380" s="126" t="s">
        <v>1225</v>
      </c>
      <c r="J380" s="47" t="s">
        <v>105</v>
      </c>
      <c r="K380" s="126">
        <v>509.60700000000003</v>
      </c>
      <c r="L380" s="126" t="s">
        <v>61</v>
      </c>
      <c r="M380" s="104" t="s">
        <v>61</v>
      </c>
      <c r="N380" s="265">
        <v>42437</v>
      </c>
      <c r="O380" s="260">
        <v>42437</v>
      </c>
      <c r="P380" s="106" t="s">
        <v>1226</v>
      </c>
      <c r="Q380" s="107" t="s">
        <v>902</v>
      </c>
      <c r="R380" s="244"/>
      <c r="S380" s="37">
        <f>25.45-11.33</f>
        <v>14.12</v>
      </c>
      <c r="T380" s="36">
        <f t="shared" ca="1" si="32"/>
        <v>926</v>
      </c>
      <c r="U380" s="37" t="s">
        <v>1227</v>
      </c>
      <c r="V380" s="37"/>
      <c r="W380" s="38">
        <v>42437</v>
      </c>
      <c r="X380" s="39" t="s">
        <v>248</v>
      </c>
      <c r="Y380" s="39" t="s">
        <v>1228</v>
      </c>
      <c r="Z380" s="40" t="s">
        <v>212</v>
      </c>
      <c r="AA380" s="136">
        <f t="shared" ca="1" si="28"/>
        <v>926</v>
      </c>
      <c r="AB380" s="40"/>
      <c r="AC380" s="116"/>
      <c r="AD380" s="116"/>
      <c r="AE380" s="40"/>
      <c r="AF380" s="136" t="str">
        <f t="shared" ca="1" si="33"/>
        <v/>
      </c>
      <c r="AG380" s="127"/>
      <c r="AH380" s="127"/>
      <c r="AI380" s="127"/>
      <c r="AJ380" s="128"/>
      <c r="AK380" s="128"/>
      <c r="AL380" s="129"/>
    </row>
    <row r="381" spans="1:38" ht="24.95" customHeight="1" x14ac:dyDescent="0.25">
      <c r="A381" s="142" t="str">
        <f t="shared" si="30"/>
        <v>16SAM046</v>
      </c>
      <c r="B381" s="192">
        <v>46</v>
      </c>
      <c r="C381" s="142" t="s">
        <v>57</v>
      </c>
      <c r="D381" s="143" t="s">
        <v>40</v>
      </c>
      <c r="E381" s="124" t="s">
        <v>79</v>
      </c>
      <c r="F381" s="124" t="s">
        <v>1256</v>
      </c>
      <c r="G381" s="251" t="s">
        <v>1257</v>
      </c>
      <c r="H381" s="34" t="s">
        <v>43</v>
      </c>
      <c r="I381" s="126" t="s">
        <v>1258</v>
      </c>
      <c r="J381" s="47" t="s">
        <v>180</v>
      </c>
      <c r="K381" s="126">
        <v>327.42</v>
      </c>
      <c r="L381" s="126" t="s">
        <v>1259</v>
      </c>
      <c r="M381" s="104" t="s">
        <v>1260</v>
      </c>
      <c r="N381" s="265">
        <v>42439</v>
      </c>
      <c r="O381" s="260">
        <v>42443</v>
      </c>
      <c r="P381" s="106" t="s">
        <v>139</v>
      </c>
      <c r="Q381" s="107" t="s">
        <v>1261</v>
      </c>
      <c r="R381" s="244"/>
      <c r="S381" s="37">
        <v>0</v>
      </c>
      <c r="T381" s="36" t="str">
        <f t="shared" ca="1" si="32"/>
        <v>Empty</v>
      </c>
      <c r="U381" s="37" t="s">
        <v>1255</v>
      </c>
      <c r="V381" s="37" t="s">
        <v>1262</v>
      </c>
      <c r="W381" s="38"/>
      <c r="X381" s="39"/>
      <c r="Y381" s="39"/>
      <c r="Z381" s="40"/>
      <c r="AA381" s="136" t="str">
        <f t="shared" ref="AA381:AA444" ca="1" si="34">IF(W381="","",IF(W381,DAYS360(W381,TODAY())))</f>
        <v/>
      </c>
      <c r="AB381" s="40"/>
      <c r="AC381" s="116"/>
      <c r="AD381" s="116"/>
      <c r="AE381" s="40"/>
      <c r="AF381" s="136" t="str">
        <f t="shared" ref="AF381:AF420" ca="1" si="35">IF(AB381="","",IF(AB381,DAYS360(AB381,TODAY())))</f>
        <v/>
      </c>
      <c r="AG381" s="127"/>
      <c r="AH381" s="127"/>
      <c r="AI381" s="127"/>
      <c r="AJ381" s="128"/>
      <c r="AK381" s="128"/>
      <c r="AL381" s="129"/>
    </row>
    <row r="382" spans="1:38" ht="24.95" customHeight="1" x14ac:dyDescent="0.25">
      <c r="A382" s="142" t="str">
        <f t="shared" si="30"/>
        <v>16SAM047</v>
      </c>
      <c r="B382" s="192">
        <v>47</v>
      </c>
      <c r="C382" s="142" t="s">
        <v>57</v>
      </c>
      <c r="D382" s="143" t="s">
        <v>40</v>
      </c>
      <c r="E382" s="124" t="s">
        <v>79</v>
      </c>
      <c r="F382" s="124" t="s">
        <v>1256</v>
      </c>
      <c r="G382" s="251" t="s">
        <v>1257</v>
      </c>
      <c r="H382" s="34" t="s">
        <v>43</v>
      </c>
      <c r="I382" s="126" t="s">
        <v>1258</v>
      </c>
      <c r="J382" s="47" t="s">
        <v>180</v>
      </c>
      <c r="K382" s="126">
        <v>327.42</v>
      </c>
      <c r="L382" s="126" t="s">
        <v>1259</v>
      </c>
      <c r="M382" s="104" t="s">
        <v>1260</v>
      </c>
      <c r="N382" s="265">
        <v>42439</v>
      </c>
      <c r="O382" s="260">
        <v>42443</v>
      </c>
      <c r="P382" s="106" t="s">
        <v>139</v>
      </c>
      <c r="Q382" s="107" t="s">
        <v>1261</v>
      </c>
      <c r="R382" s="244"/>
      <c r="S382" s="37">
        <v>0</v>
      </c>
      <c r="T382" s="36" t="str">
        <f t="shared" ca="1" si="32"/>
        <v>Empty</v>
      </c>
      <c r="U382" s="37" t="s">
        <v>1255</v>
      </c>
      <c r="V382" s="37" t="s">
        <v>1262</v>
      </c>
      <c r="W382" s="38"/>
      <c r="X382" s="39"/>
      <c r="Y382" s="39"/>
      <c r="Z382" s="40"/>
      <c r="AA382" s="136" t="str">
        <f t="shared" ca="1" si="34"/>
        <v/>
      </c>
      <c r="AB382" s="40"/>
      <c r="AC382" s="116"/>
      <c r="AD382" s="116"/>
      <c r="AE382" s="40"/>
      <c r="AF382" s="136" t="str">
        <f t="shared" ca="1" si="35"/>
        <v/>
      </c>
      <c r="AG382" s="127"/>
      <c r="AH382" s="127"/>
      <c r="AI382" s="127"/>
      <c r="AJ382" s="128"/>
      <c r="AK382" s="128"/>
      <c r="AL382" s="129"/>
    </row>
    <row r="383" spans="1:38" ht="24.95" customHeight="1" x14ac:dyDescent="0.25">
      <c r="A383" s="142" t="str">
        <f t="shared" si="30"/>
        <v>16SAM048</v>
      </c>
      <c r="B383" s="192">
        <v>48</v>
      </c>
      <c r="C383" s="142" t="s">
        <v>57</v>
      </c>
      <c r="D383" s="143" t="s">
        <v>40</v>
      </c>
      <c r="E383" s="124" t="s">
        <v>79</v>
      </c>
      <c r="F383" s="124" t="s">
        <v>1256</v>
      </c>
      <c r="G383" s="251" t="s">
        <v>1257</v>
      </c>
      <c r="H383" s="34" t="s">
        <v>43</v>
      </c>
      <c r="I383" s="126" t="s">
        <v>1258</v>
      </c>
      <c r="J383" s="47" t="s">
        <v>180</v>
      </c>
      <c r="K383" s="126">
        <v>327.42</v>
      </c>
      <c r="L383" s="126" t="s">
        <v>1259</v>
      </c>
      <c r="M383" s="104" t="s">
        <v>1260</v>
      </c>
      <c r="N383" s="265">
        <v>42439</v>
      </c>
      <c r="O383" s="260">
        <v>42443</v>
      </c>
      <c r="P383" s="106" t="s">
        <v>139</v>
      </c>
      <c r="Q383" s="107" t="s">
        <v>1261</v>
      </c>
      <c r="R383" s="244"/>
      <c r="S383" s="37">
        <v>0</v>
      </c>
      <c r="T383" s="36" t="str">
        <f t="shared" ca="1" si="32"/>
        <v>Empty</v>
      </c>
      <c r="U383" s="37" t="s">
        <v>1255</v>
      </c>
      <c r="V383" s="37" t="s">
        <v>1262</v>
      </c>
      <c r="W383" s="38"/>
      <c r="X383" s="39"/>
      <c r="Y383" s="39"/>
      <c r="Z383" s="40"/>
      <c r="AA383" s="136" t="str">
        <f t="shared" ca="1" si="34"/>
        <v/>
      </c>
      <c r="AB383" s="40"/>
      <c r="AC383" s="116"/>
      <c r="AD383" s="116"/>
      <c r="AE383" s="40"/>
      <c r="AF383" s="136" t="str">
        <f t="shared" ca="1" si="35"/>
        <v/>
      </c>
      <c r="AG383" s="127"/>
      <c r="AH383" s="127"/>
      <c r="AI383" s="127"/>
      <c r="AJ383" s="128"/>
      <c r="AK383" s="128"/>
      <c r="AL383" s="129"/>
    </row>
    <row r="384" spans="1:38" ht="24.95" customHeight="1" x14ac:dyDescent="0.25">
      <c r="A384" s="142" t="str">
        <f t="shared" si="30"/>
        <v>16SAM049</v>
      </c>
      <c r="B384" s="192">
        <v>49</v>
      </c>
      <c r="C384" s="142" t="s">
        <v>57</v>
      </c>
      <c r="D384" s="143" t="s">
        <v>40</v>
      </c>
      <c r="E384" s="124" t="s">
        <v>915</v>
      </c>
      <c r="F384" s="124" t="s">
        <v>916</v>
      </c>
      <c r="G384" s="251"/>
      <c r="H384" s="34" t="s">
        <v>43</v>
      </c>
      <c r="I384" s="132" t="s">
        <v>61</v>
      </c>
      <c r="J384" s="47" t="s">
        <v>105</v>
      </c>
      <c r="K384" s="132" t="s">
        <v>61</v>
      </c>
      <c r="L384" s="132" t="s">
        <v>61</v>
      </c>
      <c r="M384" s="105" t="s">
        <v>61</v>
      </c>
      <c r="N384" s="265">
        <v>42444</v>
      </c>
      <c r="O384" s="260"/>
      <c r="P384" s="106" t="s">
        <v>917</v>
      </c>
      <c r="Q384" s="107"/>
      <c r="R384" s="244"/>
      <c r="S384" s="37"/>
      <c r="T384" s="36" t="str">
        <f t="shared" ca="1" si="32"/>
        <v/>
      </c>
      <c r="U384" s="37" t="s">
        <v>1230</v>
      </c>
      <c r="V384" s="37" t="s">
        <v>1263</v>
      </c>
      <c r="W384" s="38"/>
      <c r="X384" s="39"/>
      <c r="Y384" s="39"/>
      <c r="Z384" s="40"/>
      <c r="AA384" s="136" t="str">
        <f t="shared" ca="1" si="34"/>
        <v/>
      </c>
      <c r="AB384" s="40"/>
      <c r="AC384" s="116"/>
      <c r="AD384" s="116"/>
      <c r="AE384" s="40"/>
      <c r="AF384" s="136" t="str">
        <f t="shared" ca="1" si="35"/>
        <v/>
      </c>
      <c r="AG384" s="127"/>
      <c r="AH384" s="127"/>
      <c r="AI384" s="127"/>
      <c r="AJ384" s="128"/>
      <c r="AK384" s="128"/>
      <c r="AL384" s="129"/>
    </row>
    <row r="385" spans="1:38" ht="29.25" customHeight="1" x14ac:dyDescent="0.25">
      <c r="A385" s="142" t="str">
        <f t="shared" si="30"/>
        <v>16SAM050</v>
      </c>
      <c r="B385" s="192">
        <v>50</v>
      </c>
      <c r="C385" s="142" t="s">
        <v>57</v>
      </c>
      <c r="D385" s="143" t="s">
        <v>40</v>
      </c>
      <c r="E385" s="124" t="s">
        <v>915</v>
      </c>
      <c r="F385" s="124" t="s">
        <v>919</v>
      </c>
      <c r="G385" s="251" t="s">
        <v>1264</v>
      </c>
      <c r="H385" s="34" t="s">
        <v>60</v>
      </c>
      <c r="I385" s="132" t="s">
        <v>61</v>
      </c>
      <c r="J385" s="47" t="s">
        <v>105</v>
      </c>
      <c r="K385" s="132" t="s">
        <v>61</v>
      </c>
      <c r="L385" s="132" t="s">
        <v>61</v>
      </c>
      <c r="M385" s="105" t="s">
        <v>61</v>
      </c>
      <c r="N385" s="265">
        <v>42444</v>
      </c>
      <c r="O385" s="260"/>
      <c r="P385" s="106" t="s">
        <v>917</v>
      </c>
      <c r="Q385" s="107"/>
      <c r="R385" s="244"/>
      <c r="S385" s="37"/>
      <c r="T385" s="36" t="str">
        <f t="shared" ca="1" si="32"/>
        <v/>
      </c>
      <c r="U385" s="37" t="s">
        <v>1230</v>
      </c>
      <c r="V385" s="37" t="s">
        <v>1263</v>
      </c>
      <c r="W385" s="38"/>
      <c r="X385" s="39"/>
      <c r="Y385" s="39"/>
      <c r="Z385" s="40"/>
      <c r="AA385" s="136" t="str">
        <f t="shared" ca="1" si="34"/>
        <v/>
      </c>
      <c r="AB385" s="40"/>
      <c r="AC385" s="116"/>
      <c r="AD385" s="116"/>
      <c r="AE385" s="40"/>
      <c r="AF385" s="136" t="str">
        <f t="shared" ca="1" si="35"/>
        <v/>
      </c>
      <c r="AG385" s="127"/>
      <c r="AH385" s="127"/>
      <c r="AI385" s="127"/>
      <c r="AJ385" s="128"/>
      <c r="AK385" s="128"/>
      <c r="AL385" s="129"/>
    </row>
    <row r="386" spans="1:38" ht="24.95" customHeight="1" x14ac:dyDescent="0.25">
      <c r="A386" s="142" t="str">
        <f t="shared" si="30"/>
        <v>16SAM051</v>
      </c>
      <c r="B386" s="192">
        <v>51</v>
      </c>
      <c r="C386" s="142" t="s">
        <v>57</v>
      </c>
      <c r="D386" s="143" t="s">
        <v>40</v>
      </c>
      <c r="E386" s="124" t="s">
        <v>915</v>
      </c>
      <c r="F386" s="124" t="s">
        <v>923</v>
      </c>
      <c r="G386" s="251" t="s">
        <v>1265</v>
      </c>
      <c r="H386" s="34" t="s">
        <v>60</v>
      </c>
      <c r="I386" s="132" t="s">
        <v>61</v>
      </c>
      <c r="J386" s="47" t="s">
        <v>105</v>
      </c>
      <c r="K386" s="132" t="s">
        <v>61</v>
      </c>
      <c r="L386" s="132" t="s">
        <v>61</v>
      </c>
      <c r="M386" s="105" t="s">
        <v>61</v>
      </c>
      <c r="N386" s="265">
        <v>42444</v>
      </c>
      <c r="O386" s="260"/>
      <c r="P386" s="106" t="s">
        <v>1266</v>
      </c>
      <c r="Q386" s="107"/>
      <c r="R386" s="244"/>
      <c r="S386" s="37"/>
      <c r="T386" s="36" t="str">
        <f t="shared" ca="1" si="32"/>
        <v/>
      </c>
      <c r="U386" s="37" t="s">
        <v>1230</v>
      </c>
      <c r="V386" s="37" t="s">
        <v>918</v>
      </c>
      <c r="W386" s="38"/>
      <c r="X386" s="39"/>
      <c r="Y386" s="39"/>
      <c r="Z386" s="40"/>
      <c r="AA386" s="136" t="str">
        <f t="shared" ca="1" si="34"/>
        <v/>
      </c>
      <c r="AB386" s="40"/>
      <c r="AC386" s="116"/>
      <c r="AD386" s="116"/>
      <c r="AE386" s="40"/>
      <c r="AF386" s="136" t="str">
        <f t="shared" ca="1" si="35"/>
        <v/>
      </c>
      <c r="AG386" s="127"/>
      <c r="AH386" s="127"/>
      <c r="AI386" s="127"/>
      <c r="AJ386" s="128"/>
      <c r="AK386" s="128"/>
      <c r="AL386" s="129"/>
    </row>
    <row r="387" spans="1:38" ht="24.95" customHeight="1" x14ac:dyDescent="0.25">
      <c r="A387" s="142" t="str">
        <f t="shared" si="30"/>
        <v>16SAM052</v>
      </c>
      <c r="B387" s="192">
        <v>52</v>
      </c>
      <c r="C387" s="142" t="s">
        <v>57</v>
      </c>
      <c r="D387" s="143" t="s">
        <v>40</v>
      </c>
      <c r="E387" s="124" t="s">
        <v>915</v>
      </c>
      <c r="F387" s="124" t="s">
        <v>925</v>
      </c>
      <c r="G387" s="251" t="s">
        <v>1267</v>
      </c>
      <c r="H387" s="34" t="s">
        <v>60</v>
      </c>
      <c r="I387" s="132" t="s">
        <v>61</v>
      </c>
      <c r="J387" s="47" t="s">
        <v>105</v>
      </c>
      <c r="K387" s="132" t="s">
        <v>61</v>
      </c>
      <c r="L387" s="132" t="s">
        <v>61</v>
      </c>
      <c r="M387" s="105" t="s">
        <v>61</v>
      </c>
      <c r="N387" s="265">
        <v>42444</v>
      </c>
      <c r="O387" s="260"/>
      <c r="P387" s="106" t="s">
        <v>917</v>
      </c>
      <c r="Q387" s="107"/>
      <c r="R387" s="244"/>
      <c r="S387" s="37"/>
      <c r="T387" s="36" t="str">
        <f t="shared" ca="1" si="32"/>
        <v/>
      </c>
      <c r="U387" s="37" t="s">
        <v>1230</v>
      </c>
      <c r="V387" s="37" t="s">
        <v>918</v>
      </c>
      <c r="W387" s="38"/>
      <c r="X387" s="39"/>
      <c r="Y387" s="39"/>
      <c r="Z387" s="40"/>
      <c r="AA387" s="136" t="str">
        <f t="shared" ca="1" si="34"/>
        <v/>
      </c>
      <c r="AB387" s="40"/>
      <c r="AC387" s="116"/>
      <c r="AD387" s="116"/>
      <c r="AE387" s="40"/>
      <c r="AF387" s="136" t="str">
        <f t="shared" ca="1" si="35"/>
        <v/>
      </c>
      <c r="AG387" s="127"/>
      <c r="AH387" s="127"/>
      <c r="AI387" s="127"/>
      <c r="AJ387" s="128"/>
      <c r="AK387" s="128"/>
      <c r="AL387" s="129"/>
    </row>
    <row r="388" spans="1:38" ht="24.95" customHeight="1" x14ac:dyDescent="0.25">
      <c r="A388" s="142" t="str">
        <f t="shared" si="30"/>
        <v>16SAM053</v>
      </c>
      <c r="B388" s="192">
        <v>53</v>
      </c>
      <c r="C388" s="142" t="s">
        <v>57</v>
      </c>
      <c r="D388" s="143" t="s">
        <v>40</v>
      </c>
      <c r="E388" s="124" t="s">
        <v>915</v>
      </c>
      <c r="F388" s="124" t="s">
        <v>927</v>
      </c>
      <c r="G388" s="251" t="s">
        <v>1268</v>
      </c>
      <c r="H388" s="34" t="s">
        <v>60</v>
      </c>
      <c r="I388" s="132" t="s">
        <v>61</v>
      </c>
      <c r="J388" s="47" t="s">
        <v>105</v>
      </c>
      <c r="K388" s="132" t="s">
        <v>61</v>
      </c>
      <c r="L388" s="132" t="s">
        <v>61</v>
      </c>
      <c r="M388" s="105" t="s">
        <v>61</v>
      </c>
      <c r="N388" s="265">
        <v>42444</v>
      </c>
      <c r="O388" s="260"/>
      <c r="P388" s="106" t="s">
        <v>917</v>
      </c>
      <c r="Q388" s="107"/>
      <c r="R388" s="244"/>
      <c r="S388" s="37"/>
      <c r="T388" s="36" t="str">
        <f t="shared" ca="1" si="32"/>
        <v/>
      </c>
      <c r="U388" s="37" t="s">
        <v>1230</v>
      </c>
      <c r="V388" s="37" t="s">
        <v>918</v>
      </c>
      <c r="W388" s="38"/>
      <c r="X388" s="39"/>
      <c r="Y388" s="39"/>
      <c r="Z388" s="40"/>
      <c r="AA388" s="136" t="str">
        <f t="shared" ca="1" si="34"/>
        <v/>
      </c>
      <c r="AB388" s="40"/>
      <c r="AC388" s="116"/>
      <c r="AD388" s="116"/>
      <c r="AE388" s="40"/>
      <c r="AF388" s="136" t="str">
        <f t="shared" ca="1" si="35"/>
        <v/>
      </c>
      <c r="AG388" s="127"/>
      <c r="AH388" s="127"/>
      <c r="AI388" s="127"/>
      <c r="AJ388" s="128"/>
      <c r="AK388" s="128"/>
      <c r="AL388" s="129"/>
    </row>
    <row r="389" spans="1:38" ht="24.95" customHeight="1" x14ac:dyDescent="0.25">
      <c r="A389" s="142" t="str">
        <f t="shared" si="30"/>
        <v>16SAM054</v>
      </c>
      <c r="B389" s="192">
        <v>54</v>
      </c>
      <c r="C389" s="142" t="s">
        <v>57</v>
      </c>
      <c r="D389" s="143" t="s">
        <v>170</v>
      </c>
      <c r="E389" s="124" t="s">
        <v>511</v>
      </c>
      <c r="F389" s="124" t="s">
        <v>1541</v>
      </c>
      <c r="G389" s="251"/>
      <c r="H389" s="34" t="s">
        <v>330</v>
      </c>
      <c r="I389" s="126" t="s">
        <v>1269</v>
      </c>
      <c r="J389" s="47" t="s">
        <v>180</v>
      </c>
      <c r="K389" s="126">
        <v>307.64999999999998</v>
      </c>
      <c r="L389" s="126" t="s">
        <v>804</v>
      </c>
      <c r="M389" s="104" t="s">
        <v>805</v>
      </c>
      <c r="N389" s="265">
        <v>42446</v>
      </c>
      <c r="O389" s="260">
        <v>42523</v>
      </c>
      <c r="P389" s="106" t="s">
        <v>183</v>
      </c>
      <c r="Q389" s="107" t="s">
        <v>628</v>
      </c>
      <c r="R389" s="244"/>
      <c r="S389" s="37">
        <v>0</v>
      </c>
      <c r="T389" s="36" t="str">
        <f t="shared" ca="1" si="32"/>
        <v>Empty</v>
      </c>
      <c r="U389" s="37" t="s">
        <v>1484</v>
      </c>
      <c r="V389" s="37"/>
      <c r="W389" s="38">
        <v>42523</v>
      </c>
      <c r="X389" s="39" t="s">
        <v>248</v>
      </c>
      <c r="Y389" s="39" t="s">
        <v>1485</v>
      </c>
      <c r="Z389" s="40" t="s">
        <v>212</v>
      </c>
      <c r="AA389" s="136">
        <f t="shared" ca="1" si="34"/>
        <v>842</v>
      </c>
      <c r="AB389" s="40"/>
      <c r="AC389" s="116"/>
      <c r="AD389" s="116"/>
      <c r="AE389" s="40"/>
      <c r="AF389" s="136" t="str">
        <f t="shared" ca="1" si="35"/>
        <v/>
      </c>
      <c r="AG389" s="127"/>
      <c r="AH389" s="127"/>
      <c r="AI389" s="127"/>
      <c r="AJ389" s="128"/>
      <c r="AK389" s="128"/>
      <c r="AL389" s="129"/>
    </row>
    <row r="390" spans="1:38" ht="24.95" customHeight="1" x14ac:dyDescent="0.25">
      <c r="A390" s="142" t="str">
        <f t="shared" si="30"/>
        <v>16SAM055</v>
      </c>
      <c r="B390" s="192">
        <v>55</v>
      </c>
      <c r="C390" s="142" t="s">
        <v>57</v>
      </c>
      <c r="D390" s="143" t="s">
        <v>170</v>
      </c>
      <c r="E390" s="124" t="s">
        <v>511</v>
      </c>
      <c r="F390" s="124" t="s">
        <v>1541</v>
      </c>
      <c r="G390" s="251"/>
      <c r="H390" s="34" t="s">
        <v>330</v>
      </c>
      <c r="I390" s="126" t="s">
        <v>1269</v>
      </c>
      <c r="J390" s="47" t="s">
        <v>180</v>
      </c>
      <c r="K390" s="126">
        <v>307.64999999999998</v>
      </c>
      <c r="L390" s="126" t="s">
        <v>804</v>
      </c>
      <c r="M390" s="104" t="s">
        <v>805</v>
      </c>
      <c r="N390" s="265">
        <v>42446</v>
      </c>
      <c r="O390" s="260"/>
      <c r="P390" s="106" t="s">
        <v>183</v>
      </c>
      <c r="Q390" s="107" t="s">
        <v>628</v>
      </c>
      <c r="R390" s="244"/>
      <c r="S390" s="37">
        <v>0</v>
      </c>
      <c r="T390" s="36" t="str">
        <f t="shared" ca="1" si="32"/>
        <v>Empty</v>
      </c>
      <c r="U390" s="37" t="s">
        <v>1252</v>
      </c>
      <c r="V390" s="37" t="s">
        <v>212</v>
      </c>
      <c r="W390" s="38">
        <v>42451</v>
      </c>
      <c r="X390" s="39" t="s">
        <v>248</v>
      </c>
      <c r="Y390" s="39" t="s">
        <v>1270</v>
      </c>
      <c r="Z390" s="40" t="s">
        <v>212</v>
      </c>
      <c r="AA390" s="136">
        <f t="shared" ca="1" si="34"/>
        <v>912</v>
      </c>
      <c r="AB390" s="40"/>
      <c r="AC390" s="116"/>
      <c r="AD390" s="116"/>
      <c r="AE390" s="40"/>
      <c r="AF390" s="136" t="str">
        <f t="shared" ca="1" si="35"/>
        <v/>
      </c>
      <c r="AG390" s="127"/>
      <c r="AH390" s="127"/>
      <c r="AI390" s="127"/>
      <c r="AJ390" s="128"/>
      <c r="AK390" s="128"/>
      <c r="AL390" s="129"/>
    </row>
    <row r="391" spans="1:38" ht="24.95" customHeight="1" x14ac:dyDescent="0.25">
      <c r="A391" s="142" t="str">
        <f t="shared" si="30"/>
        <v>16SAM056</v>
      </c>
      <c r="B391" s="192">
        <v>56</v>
      </c>
      <c r="C391" s="142" t="s">
        <v>57</v>
      </c>
      <c r="D391" s="143" t="s">
        <v>170</v>
      </c>
      <c r="E391" s="124" t="s">
        <v>511</v>
      </c>
      <c r="F391" s="124" t="s">
        <v>3188</v>
      </c>
      <c r="G391" s="251" t="s">
        <v>2201</v>
      </c>
      <c r="H391" s="34" t="s">
        <v>330</v>
      </c>
      <c r="I391" s="126" t="s">
        <v>1271</v>
      </c>
      <c r="J391" s="47" t="s">
        <v>180</v>
      </c>
      <c r="K391" s="126">
        <v>527.30999999999995</v>
      </c>
      <c r="L391" s="126" t="s">
        <v>1272</v>
      </c>
      <c r="M391" s="104" t="s">
        <v>1273</v>
      </c>
      <c r="N391" s="265">
        <v>42446</v>
      </c>
      <c r="O391" s="260"/>
      <c r="P391" s="106" t="s">
        <v>183</v>
      </c>
      <c r="Q391" s="107" t="s">
        <v>628</v>
      </c>
      <c r="R391" s="244"/>
      <c r="S391" s="37">
        <v>0</v>
      </c>
      <c r="T391" s="36" t="str">
        <f t="shared" ca="1" si="32"/>
        <v>Empty</v>
      </c>
      <c r="U391" s="37" t="s">
        <v>1252</v>
      </c>
      <c r="V391" s="37" t="s">
        <v>822</v>
      </c>
      <c r="W391" s="38">
        <v>42450</v>
      </c>
      <c r="X391" s="39" t="s">
        <v>248</v>
      </c>
      <c r="Y391" s="39" t="s">
        <v>1274</v>
      </c>
      <c r="Z391" s="40" t="s">
        <v>49</v>
      </c>
      <c r="AA391" s="136">
        <f t="shared" ca="1" si="34"/>
        <v>913</v>
      </c>
      <c r="AB391" s="40"/>
      <c r="AC391" s="116"/>
      <c r="AD391" s="116"/>
      <c r="AE391" s="40"/>
      <c r="AF391" s="136" t="str">
        <f t="shared" ca="1" si="35"/>
        <v/>
      </c>
      <c r="AG391" s="127"/>
      <c r="AH391" s="127"/>
      <c r="AI391" s="127"/>
      <c r="AJ391" s="128"/>
      <c r="AK391" s="128"/>
      <c r="AL391" s="129"/>
    </row>
    <row r="392" spans="1:38" ht="24.95" customHeight="1" x14ac:dyDescent="0.25">
      <c r="A392" s="142" t="str">
        <f t="shared" si="30"/>
        <v>16SAM057</v>
      </c>
      <c r="B392" s="192">
        <v>57</v>
      </c>
      <c r="C392" s="142" t="s">
        <v>57</v>
      </c>
      <c r="D392" s="143" t="s">
        <v>40</v>
      </c>
      <c r="E392" s="124" t="s">
        <v>230</v>
      </c>
      <c r="F392" s="124" t="s">
        <v>1275</v>
      </c>
      <c r="G392" s="251" t="s">
        <v>1276</v>
      </c>
      <c r="H392" s="34" t="s">
        <v>60</v>
      </c>
      <c r="I392" s="126">
        <v>210009877</v>
      </c>
      <c r="J392" s="47" t="s">
        <v>45</v>
      </c>
      <c r="K392" s="126">
        <v>402.7</v>
      </c>
      <c r="L392" s="132" t="s">
        <v>61</v>
      </c>
      <c r="M392" s="105" t="s">
        <v>61</v>
      </c>
      <c r="N392" s="265">
        <v>42447</v>
      </c>
      <c r="O392" s="260">
        <v>42450</v>
      </c>
      <c r="P392" s="106" t="s">
        <v>1277</v>
      </c>
      <c r="Q392" s="107" t="s">
        <v>212</v>
      </c>
      <c r="R392" s="244"/>
      <c r="S392" s="37">
        <v>0</v>
      </c>
      <c r="T392" s="36" t="str">
        <f t="shared" ca="1" si="32"/>
        <v>Empty</v>
      </c>
      <c r="U392" s="37" t="s">
        <v>1278</v>
      </c>
      <c r="V392" s="37" t="s">
        <v>1279</v>
      </c>
      <c r="W392" s="38"/>
      <c r="X392" s="39"/>
      <c r="Y392" s="39"/>
      <c r="Z392" s="40"/>
      <c r="AA392" s="136"/>
      <c r="AB392" s="40"/>
      <c r="AC392" s="116"/>
      <c r="AD392" s="116"/>
      <c r="AE392" s="40"/>
      <c r="AF392" s="136" t="str">
        <f t="shared" ca="1" si="35"/>
        <v/>
      </c>
      <c r="AG392" s="127"/>
      <c r="AH392" s="127"/>
      <c r="AI392" s="127"/>
      <c r="AJ392" s="128"/>
      <c r="AK392" s="128"/>
      <c r="AL392" s="129"/>
    </row>
    <row r="393" spans="1:38" ht="24.95" customHeight="1" x14ac:dyDescent="0.25">
      <c r="A393" s="142" t="str">
        <f t="shared" si="30"/>
        <v>16SAM058</v>
      </c>
      <c r="B393" s="192">
        <v>58</v>
      </c>
      <c r="C393" s="142" t="s">
        <v>57</v>
      </c>
      <c r="D393" s="143" t="s">
        <v>40</v>
      </c>
      <c r="E393" s="124" t="s">
        <v>79</v>
      </c>
      <c r="F393" s="124" t="s">
        <v>1256</v>
      </c>
      <c r="G393" s="251" t="s">
        <v>1257</v>
      </c>
      <c r="H393" s="34" t="s">
        <v>43</v>
      </c>
      <c r="I393" s="126" t="s">
        <v>1280</v>
      </c>
      <c r="J393" s="47" t="s">
        <v>180</v>
      </c>
      <c r="K393" s="126">
        <v>327.42</v>
      </c>
      <c r="L393" s="132" t="s">
        <v>1259</v>
      </c>
      <c r="M393" s="104" t="s">
        <v>1260</v>
      </c>
      <c r="N393" s="265">
        <v>42447</v>
      </c>
      <c r="O393" s="260">
        <v>42447</v>
      </c>
      <c r="P393" s="106" t="s">
        <v>139</v>
      </c>
      <c r="Q393" s="107" t="s">
        <v>1281</v>
      </c>
      <c r="R393" s="244"/>
      <c r="S393" s="37">
        <v>0</v>
      </c>
      <c r="T393" s="36" t="str">
        <f t="shared" ca="1" si="32"/>
        <v>Empty</v>
      </c>
      <c r="U393" s="37" t="s">
        <v>1255</v>
      </c>
      <c r="V393" s="37"/>
      <c r="W393" s="38"/>
      <c r="X393" s="39"/>
      <c r="Y393" s="39"/>
      <c r="Z393" s="40"/>
      <c r="AA393" s="136" t="str">
        <f t="shared" ca="1" si="34"/>
        <v/>
      </c>
      <c r="AB393" s="40"/>
      <c r="AC393" s="116"/>
      <c r="AD393" s="116"/>
      <c r="AE393" s="40"/>
      <c r="AF393" s="136" t="str">
        <f t="shared" ca="1" si="35"/>
        <v/>
      </c>
      <c r="AG393" s="127"/>
      <c r="AH393" s="127"/>
      <c r="AI393" s="127"/>
      <c r="AJ393" s="128"/>
      <c r="AK393" s="128"/>
      <c r="AL393" s="129"/>
    </row>
    <row r="394" spans="1:38" ht="24.95" customHeight="1" x14ac:dyDescent="0.25">
      <c r="A394" s="142" t="str">
        <f t="shared" si="30"/>
        <v>16SAM059</v>
      </c>
      <c r="B394" s="192">
        <v>59</v>
      </c>
      <c r="C394" s="142" t="s">
        <v>57</v>
      </c>
      <c r="D394" s="143" t="s">
        <v>170</v>
      </c>
      <c r="E394" s="124" t="s">
        <v>511</v>
      </c>
      <c r="F394" s="124" t="s">
        <v>779</v>
      </c>
      <c r="G394" s="251" t="s">
        <v>1126</v>
      </c>
      <c r="H394" s="34" t="s">
        <v>330</v>
      </c>
      <c r="I394" s="126" t="s">
        <v>1127</v>
      </c>
      <c r="J394" s="47" t="s">
        <v>180</v>
      </c>
      <c r="K394" s="126">
        <v>197.13</v>
      </c>
      <c r="L394" s="126" t="s">
        <v>781</v>
      </c>
      <c r="M394" s="104" t="s">
        <v>782</v>
      </c>
      <c r="N394" s="265">
        <v>42450</v>
      </c>
      <c r="O394" s="260">
        <v>42514</v>
      </c>
      <c r="P394" s="106" t="s">
        <v>183</v>
      </c>
      <c r="Q394" s="107" t="s">
        <v>510</v>
      </c>
      <c r="R394" s="244"/>
      <c r="S394" s="37">
        <v>0</v>
      </c>
      <c r="T394" s="36" t="str">
        <f t="shared" ca="1" si="32"/>
        <v>Empty</v>
      </c>
      <c r="U394" s="37" t="s">
        <v>1252</v>
      </c>
      <c r="V394" s="37"/>
      <c r="W394" s="38">
        <v>42514</v>
      </c>
      <c r="X394" s="39" t="s">
        <v>1468</v>
      </c>
      <c r="Y394" s="39" t="s">
        <v>853</v>
      </c>
      <c r="Z394" s="40" t="s">
        <v>49</v>
      </c>
      <c r="AA394" s="136">
        <f t="shared" ca="1" si="34"/>
        <v>850</v>
      </c>
      <c r="AB394" s="40"/>
      <c r="AC394" s="116"/>
      <c r="AD394" s="116"/>
      <c r="AE394" s="40"/>
      <c r="AF394" s="136" t="str">
        <f t="shared" ca="1" si="35"/>
        <v/>
      </c>
      <c r="AG394" s="127"/>
      <c r="AH394" s="127"/>
      <c r="AI394" s="127"/>
      <c r="AJ394" s="128"/>
      <c r="AK394" s="128"/>
      <c r="AL394" s="129"/>
    </row>
    <row r="395" spans="1:38" ht="24.95" customHeight="1" thickBot="1" x14ac:dyDescent="0.3">
      <c r="A395" s="142" t="str">
        <f t="shared" si="30"/>
        <v>16SAM060</v>
      </c>
      <c r="B395" s="192">
        <v>60</v>
      </c>
      <c r="C395" s="142" t="s">
        <v>57</v>
      </c>
      <c r="D395" s="143" t="s">
        <v>170</v>
      </c>
      <c r="E395" s="124" t="s">
        <v>511</v>
      </c>
      <c r="F395" s="124" t="s">
        <v>1282</v>
      </c>
      <c r="G395" s="251" t="s">
        <v>1283</v>
      </c>
      <c r="H395" s="34" t="s">
        <v>330</v>
      </c>
      <c r="I395" s="126" t="s">
        <v>1284</v>
      </c>
      <c r="J395" s="47" t="s">
        <v>45</v>
      </c>
      <c r="K395" s="126">
        <v>103.12</v>
      </c>
      <c r="L395" s="126" t="s">
        <v>1285</v>
      </c>
      <c r="M395" s="104" t="s">
        <v>1286</v>
      </c>
      <c r="N395" s="265">
        <v>42450</v>
      </c>
      <c r="O395" s="260">
        <v>42450</v>
      </c>
      <c r="P395" s="106" t="s">
        <v>56</v>
      </c>
      <c r="Q395" s="107" t="s">
        <v>510</v>
      </c>
      <c r="R395" s="244"/>
      <c r="S395" s="37">
        <f>5000-70-29</f>
        <v>4901</v>
      </c>
      <c r="T395" s="36">
        <f t="shared" ca="1" si="32"/>
        <v>913</v>
      </c>
      <c r="U395" s="37" t="s">
        <v>1252</v>
      </c>
      <c r="V395" s="237"/>
      <c r="W395" s="38">
        <v>43052</v>
      </c>
      <c r="X395" s="39" t="s">
        <v>728</v>
      </c>
      <c r="Y395" s="39" t="s">
        <v>853</v>
      </c>
      <c r="Z395" s="40" t="s">
        <v>49</v>
      </c>
      <c r="AA395" s="136">
        <f t="shared" ca="1" si="34"/>
        <v>321</v>
      </c>
      <c r="AB395" s="40"/>
      <c r="AC395" s="116"/>
      <c r="AD395" s="116"/>
      <c r="AE395" s="40"/>
      <c r="AF395" s="136" t="str">
        <f t="shared" ca="1" si="35"/>
        <v/>
      </c>
      <c r="AG395" s="127"/>
      <c r="AH395" s="127"/>
      <c r="AI395" s="127"/>
      <c r="AJ395" s="128"/>
      <c r="AK395" s="128"/>
      <c r="AL395" s="129"/>
    </row>
    <row r="396" spans="1:38" ht="24.95" customHeight="1" x14ac:dyDescent="0.25">
      <c r="A396" s="142" t="str">
        <f t="shared" si="30"/>
        <v>16SAM061</v>
      </c>
      <c r="B396" s="192">
        <v>61</v>
      </c>
      <c r="C396" s="142" t="s">
        <v>57</v>
      </c>
      <c r="D396" s="143" t="s">
        <v>40</v>
      </c>
      <c r="E396" s="124" t="s">
        <v>79</v>
      </c>
      <c r="F396" s="124" t="s">
        <v>1256</v>
      </c>
      <c r="G396" s="251"/>
      <c r="H396" s="34" t="s">
        <v>43</v>
      </c>
      <c r="I396" s="126" t="s">
        <v>1287</v>
      </c>
      <c r="J396" s="47" t="s">
        <v>180</v>
      </c>
      <c r="K396" s="126">
        <v>327.42</v>
      </c>
      <c r="L396" s="126" t="s">
        <v>1259</v>
      </c>
      <c r="M396" s="104" t="s">
        <v>1260</v>
      </c>
      <c r="N396" s="265">
        <v>42450</v>
      </c>
      <c r="O396" s="260">
        <v>42461</v>
      </c>
      <c r="P396" s="106" t="s">
        <v>497</v>
      </c>
      <c r="Q396" s="107" t="s">
        <v>1261</v>
      </c>
      <c r="R396" s="244"/>
      <c r="S396" s="37">
        <v>0</v>
      </c>
      <c r="T396" s="36" t="str">
        <f t="shared" ca="1" si="32"/>
        <v>Empty</v>
      </c>
      <c r="U396" s="37" t="s">
        <v>1288</v>
      </c>
      <c r="V396" s="238" t="s">
        <v>1289</v>
      </c>
      <c r="W396" s="239"/>
      <c r="X396" s="39"/>
      <c r="Y396" s="39"/>
      <c r="Z396" s="40"/>
      <c r="AA396" s="136" t="str">
        <f t="shared" ca="1" si="34"/>
        <v/>
      </c>
      <c r="AB396" s="40"/>
      <c r="AC396" s="116"/>
      <c r="AD396" s="116"/>
      <c r="AE396" s="40"/>
      <c r="AF396" s="136" t="str">
        <f t="shared" ca="1" si="35"/>
        <v/>
      </c>
      <c r="AG396" s="127"/>
      <c r="AH396" s="127"/>
      <c r="AI396" s="127"/>
      <c r="AJ396" s="128"/>
      <c r="AK396" s="128"/>
      <c r="AL396" s="129"/>
    </row>
    <row r="397" spans="1:38" ht="24.95" customHeight="1" x14ac:dyDescent="0.25">
      <c r="A397" s="142" t="str">
        <f t="shared" si="30"/>
        <v>16SAM062</v>
      </c>
      <c r="B397" s="192">
        <v>62</v>
      </c>
      <c r="C397" s="142" t="s">
        <v>57</v>
      </c>
      <c r="D397" s="143" t="s">
        <v>40</v>
      </c>
      <c r="E397" s="124" t="s">
        <v>79</v>
      </c>
      <c r="F397" s="124" t="s">
        <v>1256</v>
      </c>
      <c r="G397" s="251"/>
      <c r="H397" s="34" t="s">
        <v>43</v>
      </c>
      <c r="I397" s="126" t="s">
        <v>1287</v>
      </c>
      <c r="J397" s="47" t="s">
        <v>180</v>
      </c>
      <c r="K397" s="126">
        <v>327.42</v>
      </c>
      <c r="L397" s="126" t="s">
        <v>1259</v>
      </c>
      <c r="M397" s="104" t="s">
        <v>1260</v>
      </c>
      <c r="N397" s="265">
        <v>42450</v>
      </c>
      <c r="O397" s="260">
        <v>42461</v>
      </c>
      <c r="P397" s="106" t="s">
        <v>497</v>
      </c>
      <c r="Q397" s="107" t="s">
        <v>1261</v>
      </c>
      <c r="R397" s="244"/>
      <c r="S397" s="37">
        <v>0</v>
      </c>
      <c r="T397" s="36" t="str">
        <f t="shared" ca="1" si="32"/>
        <v>Empty</v>
      </c>
      <c r="U397" s="37" t="s">
        <v>1288</v>
      </c>
      <c r="V397" s="240" t="s">
        <v>1290</v>
      </c>
      <c r="W397" s="239"/>
      <c r="X397" s="39"/>
      <c r="Y397" s="39"/>
      <c r="Z397" s="40"/>
      <c r="AA397" s="136" t="str">
        <f t="shared" ca="1" si="34"/>
        <v/>
      </c>
      <c r="AB397" s="40"/>
      <c r="AC397" s="116"/>
      <c r="AD397" s="116"/>
      <c r="AE397" s="40"/>
      <c r="AF397" s="136" t="str">
        <f t="shared" ca="1" si="35"/>
        <v/>
      </c>
      <c r="AG397" s="127"/>
      <c r="AH397" s="127"/>
      <c r="AI397" s="127"/>
      <c r="AJ397" s="128"/>
      <c r="AK397" s="128"/>
      <c r="AL397" s="129"/>
    </row>
    <row r="398" spans="1:38" ht="24.95" customHeight="1" x14ac:dyDescent="0.25">
      <c r="A398" s="142" t="str">
        <f t="shared" si="30"/>
        <v>16SAM063</v>
      </c>
      <c r="B398" s="192">
        <v>63</v>
      </c>
      <c r="C398" s="142" t="s">
        <v>57</v>
      </c>
      <c r="D398" s="143" t="s">
        <v>40</v>
      </c>
      <c r="E398" s="124" t="s">
        <v>79</v>
      </c>
      <c r="F398" s="124" t="s">
        <v>1256</v>
      </c>
      <c r="G398" s="251"/>
      <c r="H398" s="34" t="s">
        <v>43</v>
      </c>
      <c r="I398" s="126" t="s">
        <v>1287</v>
      </c>
      <c r="J398" s="47" t="s">
        <v>180</v>
      </c>
      <c r="K398" s="126">
        <v>327.42</v>
      </c>
      <c r="L398" s="126" t="s">
        <v>1259</v>
      </c>
      <c r="M398" s="104" t="s">
        <v>1260</v>
      </c>
      <c r="N398" s="265">
        <v>42450</v>
      </c>
      <c r="O398" s="260">
        <v>42461</v>
      </c>
      <c r="P398" s="106" t="s">
        <v>497</v>
      </c>
      <c r="Q398" s="107" t="s">
        <v>1261</v>
      </c>
      <c r="R398" s="244"/>
      <c r="S398" s="37">
        <v>0</v>
      </c>
      <c r="T398" s="36" t="str">
        <f t="shared" ca="1" si="32"/>
        <v>Empty</v>
      </c>
      <c r="U398" s="37" t="s">
        <v>1288</v>
      </c>
      <c r="V398" s="240"/>
      <c r="W398" s="239"/>
      <c r="X398" s="39"/>
      <c r="Y398" s="39"/>
      <c r="Z398" s="40"/>
      <c r="AA398" s="136" t="str">
        <f t="shared" ca="1" si="34"/>
        <v/>
      </c>
      <c r="AB398" s="40"/>
      <c r="AC398" s="116"/>
      <c r="AD398" s="116"/>
      <c r="AE398" s="40"/>
      <c r="AF398" s="136" t="str">
        <f t="shared" ca="1" si="35"/>
        <v/>
      </c>
      <c r="AG398" s="127"/>
      <c r="AH398" s="127"/>
      <c r="AI398" s="127"/>
      <c r="AJ398" s="128"/>
      <c r="AK398" s="128"/>
      <c r="AL398" s="129"/>
    </row>
    <row r="399" spans="1:38" ht="24.95" customHeight="1" x14ac:dyDescent="0.25">
      <c r="A399" s="142" t="str">
        <f t="shared" si="30"/>
        <v>16SAM064</v>
      </c>
      <c r="B399" s="192">
        <v>64</v>
      </c>
      <c r="C399" s="142" t="s">
        <v>57</v>
      </c>
      <c r="D399" s="143" t="s">
        <v>40</v>
      </c>
      <c r="E399" s="124" t="s">
        <v>79</v>
      </c>
      <c r="F399" s="124" t="s">
        <v>1256</v>
      </c>
      <c r="G399" s="251"/>
      <c r="H399" s="34" t="s">
        <v>43</v>
      </c>
      <c r="I399" s="126" t="s">
        <v>1287</v>
      </c>
      <c r="J399" s="47" t="s">
        <v>180</v>
      </c>
      <c r="K399" s="126">
        <v>327.42</v>
      </c>
      <c r="L399" s="126" t="s">
        <v>1259</v>
      </c>
      <c r="M399" s="104" t="s">
        <v>1260</v>
      </c>
      <c r="N399" s="265">
        <v>42450</v>
      </c>
      <c r="O399" s="260">
        <v>42461</v>
      </c>
      <c r="P399" s="106" t="s">
        <v>497</v>
      </c>
      <c r="Q399" s="107" t="s">
        <v>1261</v>
      </c>
      <c r="R399" s="244"/>
      <c r="S399" s="37">
        <v>0</v>
      </c>
      <c r="T399" s="36" t="str">
        <f t="shared" ca="1" si="32"/>
        <v>Empty</v>
      </c>
      <c r="U399" s="37" t="s">
        <v>1288</v>
      </c>
      <c r="V399" s="240"/>
      <c r="W399" s="239"/>
      <c r="X399" s="39"/>
      <c r="Y399" s="39"/>
      <c r="Z399" s="40"/>
      <c r="AA399" s="136" t="str">
        <f t="shared" ca="1" si="34"/>
        <v/>
      </c>
      <c r="AB399" s="40"/>
      <c r="AC399" s="116"/>
      <c r="AD399" s="116"/>
      <c r="AE399" s="40"/>
      <c r="AF399" s="136" t="str">
        <f t="shared" ca="1" si="35"/>
        <v/>
      </c>
      <c r="AG399" s="127"/>
      <c r="AH399" s="127"/>
      <c r="AI399" s="127"/>
      <c r="AJ399" s="128"/>
      <c r="AK399" s="128"/>
      <c r="AL399" s="129"/>
    </row>
    <row r="400" spans="1:38" ht="24.95" customHeight="1" x14ac:dyDescent="0.25">
      <c r="A400" s="142" t="str">
        <f t="shared" si="30"/>
        <v>16SAM065</v>
      </c>
      <c r="B400" s="192">
        <v>65</v>
      </c>
      <c r="C400" s="142" t="s">
        <v>57</v>
      </c>
      <c r="D400" s="143" t="s">
        <v>40</v>
      </c>
      <c r="E400" s="124" t="s">
        <v>79</v>
      </c>
      <c r="F400" s="124" t="s">
        <v>1256</v>
      </c>
      <c r="G400" s="251"/>
      <c r="H400" s="34" t="s">
        <v>43</v>
      </c>
      <c r="I400" s="126" t="s">
        <v>1287</v>
      </c>
      <c r="J400" s="47" t="s">
        <v>180</v>
      </c>
      <c r="K400" s="126">
        <v>327.42</v>
      </c>
      <c r="L400" s="126" t="s">
        <v>1259</v>
      </c>
      <c r="M400" s="104" t="s">
        <v>1260</v>
      </c>
      <c r="N400" s="265">
        <v>42450</v>
      </c>
      <c r="O400" s="260">
        <v>42461</v>
      </c>
      <c r="P400" s="106" t="s">
        <v>497</v>
      </c>
      <c r="Q400" s="107" t="s">
        <v>1261</v>
      </c>
      <c r="R400" s="244"/>
      <c r="S400" s="37">
        <v>0</v>
      </c>
      <c r="T400" s="36" t="str">
        <f t="shared" ca="1" si="32"/>
        <v>Empty</v>
      </c>
      <c r="U400" s="37" t="s">
        <v>1288</v>
      </c>
      <c r="V400" s="240"/>
      <c r="W400" s="239"/>
      <c r="X400" s="39"/>
      <c r="Y400" s="39"/>
      <c r="Z400" s="40"/>
      <c r="AA400" s="136" t="str">
        <f t="shared" ca="1" si="34"/>
        <v/>
      </c>
      <c r="AB400" s="40"/>
      <c r="AC400" s="116"/>
      <c r="AD400" s="116"/>
      <c r="AE400" s="40"/>
      <c r="AF400" s="136" t="str">
        <f t="shared" ca="1" si="35"/>
        <v/>
      </c>
      <c r="AG400" s="127"/>
      <c r="AH400" s="127"/>
      <c r="AI400" s="127"/>
      <c r="AJ400" s="128"/>
      <c r="AK400" s="128"/>
      <c r="AL400" s="129"/>
    </row>
    <row r="401" spans="1:38" ht="24.95" customHeight="1" x14ac:dyDescent="0.25">
      <c r="A401" s="142" t="str">
        <f t="shared" ref="A401:A434" si="36">IF(C401="","",CONCATENATE(16,MID(C401,1,3),IF(B401&lt;10,"00",0),B401))</f>
        <v>16SAM066</v>
      </c>
      <c r="B401" s="192">
        <v>66</v>
      </c>
      <c r="C401" s="142" t="s">
        <v>57</v>
      </c>
      <c r="D401" s="143" t="s">
        <v>40</v>
      </c>
      <c r="E401" s="124" t="s">
        <v>79</v>
      </c>
      <c r="F401" s="124" t="s">
        <v>1256</v>
      </c>
      <c r="G401" s="251"/>
      <c r="H401" s="34" t="s">
        <v>43</v>
      </c>
      <c r="I401" s="126" t="s">
        <v>1287</v>
      </c>
      <c r="J401" s="47" t="s">
        <v>180</v>
      </c>
      <c r="K401" s="126">
        <v>327.42</v>
      </c>
      <c r="L401" s="126" t="s">
        <v>1259</v>
      </c>
      <c r="M401" s="104" t="s">
        <v>1260</v>
      </c>
      <c r="N401" s="265">
        <v>42450</v>
      </c>
      <c r="O401" s="260">
        <v>42461</v>
      </c>
      <c r="P401" s="106" t="s">
        <v>497</v>
      </c>
      <c r="Q401" s="107" t="s">
        <v>1261</v>
      </c>
      <c r="R401" s="244"/>
      <c r="S401" s="37">
        <v>0</v>
      </c>
      <c r="T401" s="36" t="str">
        <f t="shared" ca="1" si="32"/>
        <v>Empty</v>
      </c>
      <c r="U401" s="37" t="s">
        <v>1288</v>
      </c>
      <c r="V401" s="240"/>
      <c r="W401" s="239"/>
      <c r="X401" s="39"/>
      <c r="Y401" s="39"/>
      <c r="Z401" s="40"/>
      <c r="AA401" s="136" t="str">
        <f t="shared" ca="1" si="34"/>
        <v/>
      </c>
      <c r="AB401" s="40"/>
      <c r="AC401" s="116"/>
      <c r="AD401" s="116"/>
      <c r="AE401" s="40"/>
      <c r="AF401" s="136" t="str">
        <f t="shared" ca="1" si="35"/>
        <v/>
      </c>
      <c r="AG401" s="127"/>
      <c r="AH401" s="127"/>
      <c r="AI401" s="127"/>
      <c r="AJ401" s="128"/>
      <c r="AK401" s="128"/>
      <c r="AL401" s="129"/>
    </row>
    <row r="402" spans="1:38" ht="24.95" customHeight="1" thickBot="1" x14ac:dyDescent="0.3">
      <c r="A402" s="142" t="str">
        <f t="shared" si="36"/>
        <v>16SAM067</v>
      </c>
      <c r="B402" s="192">
        <v>67</v>
      </c>
      <c r="C402" s="142" t="s">
        <v>57</v>
      </c>
      <c r="D402" s="143" t="s">
        <v>40</v>
      </c>
      <c r="E402" s="124" t="s">
        <v>79</v>
      </c>
      <c r="F402" s="124" t="s">
        <v>1256</v>
      </c>
      <c r="G402" s="251"/>
      <c r="H402" s="34" t="s">
        <v>43</v>
      </c>
      <c r="I402" s="126" t="s">
        <v>1287</v>
      </c>
      <c r="J402" s="47" t="s">
        <v>180</v>
      </c>
      <c r="K402" s="126">
        <v>327.42</v>
      </c>
      <c r="L402" s="126" t="s">
        <v>1259</v>
      </c>
      <c r="M402" s="104" t="s">
        <v>1260</v>
      </c>
      <c r="N402" s="265">
        <v>42450</v>
      </c>
      <c r="O402" s="260">
        <v>42461</v>
      </c>
      <c r="P402" s="106" t="s">
        <v>497</v>
      </c>
      <c r="Q402" s="107" t="s">
        <v>1261</v>
      </c>
      <c r="R402" s="244"/>
      <c r="S402" s="37">
        <v>0</v>
      </c>
      <c r="T402" s="36" t="str">
        <f t="shared" ca="1" si="32"/>
        <v>Empty</v>
      </c>
      <c r="U402" s="37" t="s">
        <v>1288</v>
      </c>
      <c r="V402" s="241"/>
      <c r="W402" s="239"/>
      <c r="X402" s="39"/>
      <c r="Y402" s="39"/>
      <c r="Z402" s="40"/>
      <c r="AA402" s="136" t="str">
        <f t="shared" ca="1" si="34"/>
        <v/>
      </c>
      <c r="AB402" s="40"/>
      <c r="AC402" s="116"/>
      <c r="AD402" s="116"/>
      <c r="AE402" s="40"/>
      <c r="AF402" s="136" t="str">
        <f t="shared" ca="1" si="35"/>
        <v/>
      </c>
      <c r="AG402" s="127"/>
      <c r="AH402" s="127"/>
      <c r="AI402" s="127"/>
      <c r="AJ402" s="128"/>
      <c r="AK402" s="128"/>
      <c r="AL402" s="129"/>
    </row>
    <row r="403" spans="1:38" ht="24.95" customHeight="1" x14ac:dyDescent="0.25">
      <c r="A403" s="142" t="str">
        <f t="shared" si="36"/>
        <v>16SAM068</v>
      </c>
      <c r="B403" s="192">
        <v>68</v>
      </c>
      <c r="C403" s="142" t="s">
        <v>57</v>
      </c>
      <c r="D403" s="143" t="s">
        <v>40</v>
      </c>
      <c r="E403" s="124" t="s">
        <v>79</v>
      </c>
      <c r="F403" s="124" t="s">
        <v>1291</v>
      </c>
      <c r="G403" s="251"/>
      <c r="H403" s="34" t="s">
        <v>43</v>
      </c>
      <c r="I403" s="126" t="s">
        <v>1292</v>
      </c>
      <c r="J403" s="47" t="s">
        <v>45</v>
      </c>
      <c r="K403" s="126" t="s">
        <v>1293</v>
      </c>
      <c r="L403" s="126">
        <v>332607</v>
      </c>
      <c r="M403" s="104" t="s">
        <v>1294</v>
      </c>
      <c r="N403" s="265">
        <v>42453</v>
      </c>
      <c r="O403" s="260">
        <v>42459</v>
      </c>
      <c r="P403" s="106" t="s">
        <v>1295</v>
      </c>
      <c r="Q403" s="107"/>
      <c r="R403" s="244"/>
      <c r="S403" s="37">
        <v>0</v>
      </c>
      <c r="T403" s="36" t="str">
        <f t="shared" ca="1" si="32"/>
        <v>Empty</v>
      </c>
      <c r="U403" s="37" t="s">
        <v>1288</v>
      </c>
      <c r="V403" s="37" t="s">
        <v>1296</v>
      </c>
      <c r="W403" s="38"/>
      <c r="X403" s="39"/>
      <c r="Y403" s="39"/>
      <c r="Z403" s="40"/>
      <c r="AA403" s="136" t="str">
        <f t="shared" ca="1" si="34"/>
        <v/>
      </c>
      <c r="AB403" s="40"/>
      <c r="AC403" s="116"/>
      <c r="AD403" s="116"/>
      <c r="AE403" s="40"/>
      <c r="AF403" s="136" t="str">
        <f t="shared" ca="1" si="35"/>
        <v/>
      </c>
      <c r="AG403" s="127"/>
      <c r="AH403" s="127"/>
      <c r="AI403" s="127"/>
      <c r="AJ403" s="128"/>
      <c r="AK403" s="128"/>
      <c r="AL403" s="129"/>
    </row>
    <row r="404" spans="1:38" ht="24.95" customHeight="1" x14ac:dyDescent="0.25">
      <c r="A404" s="142" t="str">
        <f t="shared" si="36"/>
        <v>16SAM069</v>
      </c>
      <c r="B404" s="192">
        <v>69</v>
      </c>
      <c r="C404" s="142" t="s">
        <v>57</v>
      </c>
      <c r="D404" s="143" t="s">
        <v>40</v>
      </c>
      <c r="E404" s="124" t="s">
        <v>79</v>
      </c>
      <c r="F404" s="124" t="s">
        <v>1297</v>
      </c>
      <c r="G404" s="251"/>
      <c r="H404" s="34" t="s">
        <v>43</v>
      </c>
      <c r="I404" s="126" t="s">
        <v>1298</v>
      </c>
      <c r="J404" s="47" t="s">
        <v>45</v>
      </c>
      <c r="K404" s="132">
        <v>40</v>
      </c>
      <c r="L404" s="126" t="s">
        <v>1299</v>
      </c>
      <c r="M404" s="104" t="s">
        <v>1300</v>
      </c>
      <c r="N404" s="265">
        <v>42453</v>
      </c>
      <c r="O404" s="260">
        <v>42460</v>
      </c>
      <c r="P404" s="106" t="s">
        <v>945</v>
      </c>
      <c r="Q404" s="107" t="s">
        <v>1301</v>
      </c>
      <c r="R404" s="244"/>
      <c r="S404" s="37"/>
      <c r="T404" s="36" t="str">
        <f t="shared" ca="1" si="32"/>
        <v/>
      </c>
      <c r="U404" s="37" t="s">
        <v>1288</v>
      </c>
      <c r="V404" s="37"/>
      <c r="W404" s="38"/>
      <c r="X404" s="39"/>
      <c r="Y404" s="39"/>
      <c r="Z404" s="40"/>
      <c r="AA404" s="136" t="str">
        <f t="shared" ca="1" si="34"/>
        <v/>
      </c>
      <c r="AB404" s="40"/>
      <c r="AC404" s="116"/>
      <c r="AD404" s="116"/>
      <c r="AE404" s="40"/>
      <c r="AF404" s="136" t="str">
        <f t="shared" ca="1" si="35"/>
        <v/>
      </c>
      <c r="AG404" s="127"/>
      <c r="AH404" s="127"/>
      <c r="AI404" s="127"/>
      <c r="AJ404" s="128"/>
      <c r="AK404" s="128"/>
      <c r="AL404" s="129"/>
    </row>
    <row r="405" spans="1:38" ht="24.95" customHeight="1" x14ac:dyDescent="0.25">
      <c r="A405" s="142" t="str">
        <f t="shared" si="36"/>
        <v>16SAM070</v>
      </c>
      <c r="B405" s="192">
        <v>70</v>
      </c>
      <c r="C405" s="142" t="s">
        <v>57</v>
      </c>
      <c r="D405" s="143" t="s">
        <v>40</v>
      </c>
      <c r="E405" s="124" t="s">
        <v>79</v>
      </c>
      <c r="F405" s="124" t="s">
        <v>1302</v>
      </c>
      <c r="G405" s="251"/>
      <c r="H405" s="34" t="s">
        <v>43</v>
      </c>
      <c r="I405" s="126" t="s">
        <v>1303</v>
      </c>
      <c r="J405" s="47" t="s">
        <v>45</v>
      </c>
      <c r="K405" s="126">
        <v>36.46</v>
      </c>
      <c r="L405" s="126" t="s">
        <v>1304</v>
      </c>
      <c r="M405" s="104" t="s">
        <v>1305</v>
      </c>
      <c r="N405" s="265">
        <v>42453</v>
      </c>
      <c r="O405" s="260"/>
      <c r="P405" s="106" t="s">
        <v>945</v>
      </c>
      <c r="Q405" s="107" t="s">
        <v>1301</v>
      </c>
      <c r="R405" s="244"/>
      <c r="S405" s="37"/>
      <c r="T405" s="36" t="str">
        <f t="shared" ca="1" si="32"/>
        <v/>
      </c>
      <c r="U405" s="37" t="s">
        <v>1288</v>
      </c>
      <c r="V405" s="37"/>
      <c r="W405" s="38"/>
      <c r="X405" s="39"/>
      <c r="Y405" s="39"/>
      <c r="Z405" s="40"/>
      <c r="AA405" s="136" t="str">
        <f t="shared" ca="1" si="34"/>
        <v/>
      </c>
      <c r="AB405" s="40"/>
      <c r="AC405" s="116"/>
      <c r="AD405" s="116"/>
      <c r="AE405" s="40"/>
      <c r="AF405" s="136" t="str">
        <f t="shared" ca="1" si="35"/>
        <v/>
      </c>
      <c r="AG405" s="127"/>
      <c r="AH405" s="127"/>
      <c r="AI405" s="127"/>
      <c r="AJ405" s="128"/>
      <c r="AK405" s="128"/>
      <c r="AL405" s="129"/>
    </row>
    <row r="406" spans="1:38" ht="24.95" customHeight="1" x14ac:dyDescent="0.25">
      <c r="A406" s="142" t="str">
        <f t="shared" si="36"/>
        <v>16SAM071</v>
      </c>
      <c r="B406" s="192">
        <v>71</v>
      </c>
      <c r="C406" s="142" t="s">
        <v>57</v>
      </c>
      <c r="D406" s="143" t="s">
        <v>170</v>
      </c>
      <c r="E406" s="124" t="s">
        <v>511</v>
      </c>
      <c r="F406" s="124" t="s">
        <v>1306</v>
      </c>
      <c r="G406" s="251"/>
      <c r="H406" s="34" t="s">
        <v>43</v>
      </c>
      <c r="I406" s="126" t="s">
        <v>1307</v>
      </c>
      <c r="J406" s="47" t="s">
        <v>45</v>
      </c>
      <c r="K406" s="126">
        <v>386.87</v>
      </c>
      <c r="L406" s="126" t="s">
        <v>1308</v>
      </c>
      <c r="M406" s="104" t="s">
        <v>1309</v>
      </c>
      <c r="N406" s="265">
        <v>42458</v>
      </c>
      <c r="O406" s="260">
        <v>42458</v>
      </c>
      <c r="P406" s="106" t="s">
        <v>497</v>
      </c>
      <c r="Q406" s="107" t="s">
        <v>822</v>
      </c>
      <c r="R406" s="244"/>
      <c r="S406" s="37">
        <v>0</v>
      </c>
      <c r="T406" s="36" t="str">
        <f t="shared" ca="1" si="32"/>
        <v>Empty</v>
      </c>
      <c r="U406" s="37"/>
      <c r="V406" s="37"/>
      <c r="W406" s="38"/>
      <c r="X406" s="39"/>
      <c r="Y406" s="39"/>
      <c r="Z406" s="40"/>
      <c r="AA406" s="136" t="str">
        <f t="shared" ca="1" si="34"/>
        <v/>
      </c>
      <c r="AB406" s="40"/>
      <c r="AC406" s="116"/>
      <c r="AD406" s="116"/>
      <c r="AE406" s="40"/>
      <c r="AF406" s="136" t="str">
        <f t="shared" ca="1" si="35"/>
        <v/>
      </c>
      <c r="AG406" s="127"/>
      <c r="AH406" s="127"/>
      <c r="AI406" s="127"/>
      <c r="AJ406" s="128"/>
      <c r="AK406" s="128"/>
      <c r="AL406" s="129"/>
    </row>
    <row r="407" spans="1:38" ht="39.75" customHeight="1" x14ac:dyDescent="0.25">
      <c r="A407" s="142" t="str">
        <f t="shared" si="36"/>
        <v>16SAM072</v>
      </c>
      <c r="B407" s="192">
        <v>72</v>
      </c>
      <c r="C407" s="142" t="s">
        <v>57</v>
      </c>
      <c r="D407" s="143" t="s">
        <v>40</v>
      </c>
      <c r="E407" s="124" t="s">
        <v>739</v>
      </c>
      <c r="F407" s="124" t="s">
        <v>1310</v>
      </c>
      <c r="G407" s="251"/>
      <c r="H407" s="34" t="s">
        <v>60</v>
      </c>
      <c r="I407" s="126" t="s">
        <v>1311</v>
      </c>
      <c r="J407" s="34" t="s">
        <v>45</v>
      </c>
      <c r="K407" s="126">
        <v>404</v>
      </c>
      <c r="L407" s="132" t="s">
        <v>61</v>
      </c>
      <c r="M407" s="105" t="s">
        <v>61</v>
      </c>
      <c r="N407" s="265">
        <v>42464</v>
      </c>
      <c r="O407" s="260">
        <v>42471</v>
      </c>
      <c r="P407" s="106" t="s">
        <v>1312</v>
      </c>
      <c r="Q407" s="107" t="s">
        <v>212</v>
      </c>
      <c r="R407" s="244"/>
      <c r="S407" s="37">
        <f>89-20-35.4-15</f>
        <v>18.600000000000001</v>
      </c>
      <c r="T407" s="36">
        <f t="shared" ca="1" si="32"/>
        <v>893</v>
      </c>
      <c r="U407" s="37" t="s">
        <v>1313</v>
      </c>
      <c r="V407" s="242" t="s">
        <v>1417</v>
      </c>
      <c r="W407" s="38">
        <v>42474</v>
      </c>
      <c r="X407" s="39" t="s">
        <v>248</v>
      </c>
      <c r="Y407" s="39" t="s">
        <v>1314</v>
      </c>
      <c r="Z407" s="40" t="s">
        <v>212</v>
      </c>
      <c r="AA407" s="136">
        <f t="shared" ca="1" si="34"/>
        <v>890</v>
      </c>
      <c r="AB407" s="271">
        <v>42501</v>
      </c>
      <c r="AC407" s="116" t="s">
        <v>898</v>
      </c>
      <c r="AD407" s="116" t="s">
        <v>453</v>
      </c>
      <c r="AE407" s="40" t="s">
        <v>212</v>
      </c>
      <c r="AF407" s="136">
        <f t="shared" ca="1" si="35"/>
        <v>863</v>
      </c>
      <c r="AG407" s="127"/>
      <c r="AH407" s="127"/>
      <c r="AI407" s="127"/>
      <c r="AJ407" s="128"/>
      <c r="AK407" s="128"/>
      <c r="AL407" s="129"/>
    </row>
    <row r="408" spans="1:38" ht="31.5" customHeight="1" x14ac:dyDescent="0.25">
      <c r="A408" s="140" t="str">
        <f t="shared" si="36"/>
        <v>16REF073</v>
      </c>
      <c r="B408" s="193">
        <v>73</v>
      </c>
      <c r="C408" s="140" t="s">
        <v>39</v>
      </c>
      <c r="D408" s="141" t="s">
        <v>40</v>
      </c>
      <c r="E408" s="124" t="s">
        <v>41</v>
      </c>
      <c r="F408" s="124" t="s">
        <v>860</v>
      </c>
      <c r="G408" s="251" t="s">
        <v>802</v>
      </c>
      <c r="H408" s="34" t="s">
        <v>330</v>
      </c>
      <c r="I408" s="126" t="s">
        <v>971</v>
      </c>
      <c r="J408" s="47" t="s">
        <v>180</v>
      </c>
      <c r="K408" s="126">
        <v>340.78</v>
      </c>
      <c r="L408" s="126" t="s">
        <v>862</v>
      </c>
      <c r="M408" s="104" t="s">
        <v>863</v>
      </c>
      <c r="N408" s="265">
        <v>42464</v>
      </c>
      <c r="O408" s="260">
        <v>42473</v>
      </c>
      <c r="P408" s="106" t="s">
        <v>183</v>
      </c>
      <c r="Q408" s="107" t="s">
        <v>504</v>
      </c>
      <c r="R408" s="244"/>
      <c r="S408" s="37">
        <v>0</v>
      </c>
      <c r="T408" s="36" t="str">
        <f t="shared" ca="1" si="32"/>
        <v>Empty</v>
      </c>
      <c r="U408" s="37" t="s">
        <v>1315</v>
      </c>
      <c r="V408" s="37"/>
      <c r="W408" s="38">
        <v>42473</v>
      </c>
      <c r="X408" s="39" t="s">
        <v>248</v>
      </c>
      <c r="Y408" s="39" t="s">
        <v>922</v>
      </c>
      <c r="Z408" s="40" t="s">
        <v>212</v>
      </c>
      <c r="AA408" s="136">
        <f t="shared" ca="1" si="34"/>
        <v>891</v>
      </c>
      <c r="AB408" s="40"/>
      <c r="AC408" s="116"/>
      <c r="AD408" s="116"/>
      <c r="AE408" s="40"/>
      <c r="AF408" s="136" t="str">
        <f t="shared" ca="1" si="35"/>
        <v/>
      </c>
      <c r="AG408" s="127"/>
      <c r="AH408" s="127"/>
      <c r="AI408" s="127"/>
      <c r="AJ408" s="128"/>
      <c r="AK408" s="128"/>
      <c r="AL408" s="129"/>
    </row>
    <row r="409" spans="1:38" ht="24.95" customHeight="1" x14ac:dyDescent="0.25">
      <c r="A409" s="140" t="str">
        <f t="shared" si="36"/>
        <v>16REF074</v>
      </c>
      <c r="B409" s="193">
        <v>74</v>
      </c>
      <c r="C409" s="140" t="s">
        <v>39</v>
      </c>
      <c r="D409" s="141" t="s">
        <v>170</v>
      </c>
      <c r="E409" s="124" t="s">
        <v>41</v>
      </c>
      <c r="F409" s="124" t="s">
        <v>3188</v>
      </c>
      <c r="G409" s="251" t="s">
        <v>2201</v>
      </c>
      <c r="H409" s="34" t="s">
        <v>330</v>
      </c>
      <c r="I409" s="126" t="s">
        <v>1271</v>
      </c>
      <c r="J409" s="47" t="s">
        <v>180</v>
      </c>
      <c r="K409" s="126">
        <v>527.30999999999995</v>
      </c>
      <c r="L409" s="126" t="s">
        <v>1272</v>
      </c>
      <c r="M409" s="104" t="s">
        <v>1273</v>
      </c>
      <c r="N409" s="265">
        <v>42464</v>
      </c>
      <c r="O409" s="260">
        <v>42592</v>
      </c>
      <c r="P409" s="106" t="s">
        <v>183</v>
      </c>
      <c r="Q409" s="107" t="s">
        <v>1316</v>
      </c>
      <c r="R409" s="244"/>
      <c r="S409" s="37">
        <v>0</v>
      </c>
      <c r="T409" s="36" t="str">
        <f t="shared" ca="1" si="32"/>
        <v>Empty</v>
      </c>
      <c r="U409" s="37" t="s">
        <v>1639</v>
      </c>
      <c r="V409" s="37"/>
      <c r="W409" s="38">
        <v>42592</v>
      </c>
      <c r="X409" s="39" t="s">
        <v>699</v>
      </c>
      <c r="Y409" s="39" t="s">
        <v>853</v>
      </c>
      <c r="Z409" s="40" t="s">
        <v>49</v>
      </c>
      <c r="AA409" s="136">
        <f t="shared" ca="1" si="34"/>
        <v>774</v>
      </c>
      <c r="AB409" s="40"/>
      <c r="AC409" s="116"/>
      <c r="AD409" s="116"/>
      <c r="AE409" s="40"/>
      <c r="AF409" s="136" t="str">
        <f t="shared" ca="1" si="35"/>
        <v/>
      </c>
      <c r="AG409" s="127"/>
      <c r="AH409" s="127"/>
      <c r="AI409" s="127"/>
      <c r="AJ409" s="128"/>
      <c r="AK409" s="128"/>
      <c r="AL409" s="129"/>
    </row>
    <row r="410" spans="1:38" ht="24.95" customHeight="1" thickBot="1" x14ac:dyDescent="0.3">
      <c r="A410" s="142" t="str">
        <f t="shared" si="36"/>
        <v>16SAM075</v>
      </c>
      <c r="B410" s="192">
        <v>75</v>
      </c>
      <c r="C410" s="142" t="s">
        <v>57</v>
      </c>
      <c r="D410" s="143" t="s">
        <v>170</v>
      </c>
      <c r="E410" s="124" t="s">
        <v>79</v>
      </c>
      <c r="F410" s="124" t="s">
        <v>1317</v>
      </c>
      <c r="G410" s="251" t="s">
        <v>1318</v>
      </c>
      <c r="H410" s="34" t="s">
        <v>60</v>
      </c>
      <c r="I410" s="126"/>
      <c r="J410" s="47" t="s">
        <v>45</v>
      </c>
      <c r="K410" s="126">
        <v>327.8</v>
      </c>
      <c r="L410" s="132" t="s">
        <v>61</v>
      </c>
      <c r="M410" s="105" t="s">
        <v>61</v>
      </c>
      <c r="N410" s="265">
        <v>42473</v>
      </c>
      <c r="O410" s="260"/>
      <c r="P410" s="106" t="s">
        <v>1319</v>
      </c>
      <c r="Q410" s="107"/>
      <c r="R410" s="244"/>
      <c r="S410" s="37"/>
      <c r="T410" s="36" t="str">
        <f t="shared" ca="1" si="32"/>
        <v/>
      </c>
      <c r="U410" s="37" t="s">
        <v>872</v>
      </c>
      <c r="V410" s="237"/>
      <c r="W410" s="38"/>
      <c r="X410" s="39"/>
      <c r="Y410" s="39"/>
      <c r="Z410" s="40"/>
      <c r="AA410" s="136" t="str">
        <f t="shared" ca="1" si="34"/>
        <v/>
      </c>
      <c r="AB410" s="40"/>
      <c r="AC410" s="116"/>
      <c r="AD410" s="116"/>
      <c r="AE410" s="40"/>
      <c r="AF410" s="136" t="str">
        <f t="shared" ca="1" si="35"/>
        <v/>
      </c>
      <c r="AG410" s="127"/>
      <c r="AH410" s="127"/>
      <c r="AI410" s="127"/>
      <c r="AJ410" s="128"/>
      <c r="AK410" s="128"/>
      <c r="AL410" s="129"/>
    </row>
    <row r="411" spans="1:38" ht="24.95" customHeight="1" x14ac:dyDescent="0.25">
      <c r="A411" s="142" t="str">
        <f t="shared" si="36"/>
        <v>16SAM076</v>
      </c>
      <c r="B411" s="192">
        <v>76</v>
      </c>
      <c r="C411" s="142" t="s">
        <v>57</v>
      </c>
      <c r="D411" s="143" t="s">
        <v>40</v>
      </c>
      <c r="E411" s="124" t="s">
        <v>79</v>
      </c>
      <c r="F411" s="124" t="s">
        <v>1256</v>
      </c>
      <c r="G411" s="251"/>
      <c r="H411" s="34" t="s">
        <v>43</v>
      </c>
      <c r="I411" s="126" t="s">
        <v>1320</v>
      </c>
      <c r="J411" s="47" t="s">
        <v>180</v>
      </c>
      <c r="K411" s="126">
        <v>327.42</v>
      </c>
      <c r="L411" s="126" t="s">
        <v>1259</v>
      </c>
      <c r="M411" s="104" t="s">
        <v>1260</v>
      </c>
      <c r="N411" s="265">
        <v>42473</v>
      </c>
      <c r="O411" s="260">
        <v>42482</v>
      </c>
      <c r="P411" s="106" t="s">
        <v>139</v>
      </c>
      <c r="Q411" s="107" t="s">
        <v>1321</v>
      </c>
      <c r="R411" s="244"/>
      <c r="S411" s="37">
        <v>0</v>
      </c>
      <c r="T411" s="36" t="str">
        <f t="shared" ca="1" si="32"/>
        <v>Empty</v>
      </c>
      <c r="U411" s="37" t="s">
        <v>1255</v>
      </c>
      <c r="V411" s="238" t="s">
        <v>1322</v>
      </c>
      <c r="W411" s="239"/>
      <c r="X411" s="39"/>
      <c r="Y411" s="243"/>
      <c r="Z411" s="40"/>
      <c r="AA411" s="136" t="str">
        <f t="shared" ca="1" si="34"/>
        <v/>
      </c>
      <c r="AB411" s="40"/>
      <c r="AC411" s="116"/>
      <c r="AD411" s="116"/>
      <c r="AE411" s="40"/>
      <c r="AF411" s="136" t="str">
        <f t="shared" ca="1" si="35"/>
        <v/>
      </c>
      <c r="AG411" s="127"/>
      <c r="AH411" s="127"/>
      <c r="AI411" s="127"/>
      <c r="AJ411" s="128"/>
      <c r="AK411" s="128"/>
      <c r="AL411" s="129"/>
    </row>
    <row r="412" spans="1:38" ht="24.95" customHeight="1" thickBot="1" x14ac:dyDescent="0.3">
      <c r="A412" s="142" t="str">
        <f t="shared" si="36"/>
        <v>16SAM077</v>
      </c>
      <c r="B412" s="192">
        <v>77</v>
      </c>
      <c r="C412" s="142" t="s">
        <v>57</v>
      </c>
      <c r="D412" s="143" t="s">
        <v>40</v>
      </c>
      <c r="E412" s="124" t="s">
        <v>79</v>
      </c>
      <c r="F412" s="124" t="s">
        <v>1256</v>
      </c>
      <c r="G412" s="251"/>
      <c r="H412" s="34" t="s">
        <v>43</v>
      </c>
      <c r="I412" s="126" t="s">
        <v>1320</v>
      </c>
      <c r="J412" s="47" t="s">
        <v>180</v>
      </c>
      <c r="K412" s="126">
        <v>327.42</v>
      </c>
      <c r="L412" s="126" t="s">
        <v>1259</v>
      </c>
      <c r="M412" s="104" t="s">
        <v>1260</v>
      </c>
      <c r="N412" s="265">
        <v>42473</v>
      </c>
      <c r="O412" s="260">
        <v>42482</v>
      </c>
      <c r="P412" s="106" t="s">
        <v>139</v>
      </c>
      <c r="Q412" s="107" t="s">
        <v>1321</v>
      </c>
      <c r="R412" s="244"/>
      <c r="S412" s="37">
        <v>0</v>
      </c>
      <c r="T412" s="36" t="str">
        <f t="shared" ca="1" si="32"/>
        <v>Empty</v>
      </c>
      <c r="U412" s="37" t="s">
        <v>1255</v>
      </c>
      <c r="V412" s="241" t="s">
        <v>1323</v>
      </c>
      <c r="W412" s="239"/>
      <c r="X412" s="39"/>
      <c r="Y412" s="39"/>
      <c r="Z412" s="40"/>
      <c r="AA412" s="136" t="str">
        <f t="shared" ca="1" si="34"/>
        <v/>
      </c>
      <c r="AB412" s="40"/>
      <c r="AC412" s="116"/>
      <c r="AD412" s="116"/>
      <c r="AE412" s="40"/>
      <c r="AF412" s="136" t="str">
        <f t="shared" ca="1" si="35"/>
        <v/>
      </c>
      <c r="AG412" s="127"/>
      <c r="AH412" s="127"/>
      <c r="AI412" s="127"/>
      <c r="AJ412" s="128"/>
      <c r="AK412" s="128"/>
      <c r="AL412" s="129"/>
    </row>
    <row r="413" spans="1:38" ht="24.95" customHeight="1" x14ac:dyDescent="0.25">
      <c r="A413" s="142" t="str">
        <f t="shared" si="36"/>
        <v>16SAM078</v>
      </c>
      <c r="B413" s="192">
        <v>78</v>
      </c>
      <c r="C413" s="142" t="s">
        <v>57</v>
      </c>
      <c r="D413" s="143" t="s">
        <v>170</v>
      </c>
      <c r="E413" s="124" t="s">
        <v>79</v>
      </c>
      <c r="F413" s="124" t="s">
        <v>1324</v>
      </c>
      <c r="G413" s="251"/>
      <c r="H413" s="34" t="s">
        <v>112</v>
      </c>
      <c r="I413" s="126" t="s">
        <v>1325</v>
      </c>
      <c r="J413" s="47" t="s">
        <v>180</v>
      </c>
      <c r="K413" s="126">
        <v>366.86</v>
      </c>
      <c r="L413" s="126">
        <v>3621</v>
      </c>
      <c r="M413" s="104" t="s">
        <v>1326</v>
      </c>
      <c r="N413" s="265">
        <v>42479</v>
      </c>
      <c r="O413" s="260"/>
      <c r="P413" s="106" t="s">
        <v>86</v>
      </c>
      <c r="Q413" s="107" t="s">
        <v>504</v>
      </c>
      <c r="R413" s="244"/>
      <c r="S413" s="37"/>
      <c r="T413" s="36" t="str">
        <f t="shared" ref="T413:T476" ca="1" si="37">IF(S413="","",IF(S413=0,"Empty",IF(O413="","",IF(O413,DAYS360(O413,TODAY())))))</f>
        <v/>
      </c>
      <c r="U413" s="37"/>
      <c r="V413" s="37"/>
      <c r="W413" s="38"/>
      <c r="X413" s="39"/>
      <c r="Y413" s="39"/>
      <c r="Z413" s="40"/>
      <c r="AA413" s="136" t="str">
        <f t="shared" ca="1" si="34"/>
        <v/>
      </c>
      <c r="AB413" s="40"/>
      <c r="AC413" s="116"/>
      <c r="AD413" s="116"/>
      <c r="AE413" s="40"/>
      <c r="AF413" s="136" t="str">
        <f t="shared" ca="1" si="35"/>
        <v/>
      </c>
      <c r="AG413" s="127"/>
      <c r="AH413" s="127"/>
      <c r="AI413" s="127"/>
      <c r="AJ413" s="128"/>
      <c r="AK413" s="128"/>
      <c r="AL413" s="129"/>
    </row>
    <row r="414" spans="1:38" ht="24.95" customHeight="1" x14ac:dyDescent="0.25">
      <c r="A414" s="142" t="str">
        <f t="shared" si="36"/>
        <v>16SAM079</v>
      </c>
      <c r="B414" s="192">
        <v>79</v>
      </c>
      <c r="C414" s="142" t="s">
        <v>57</v>
      </c>
      <c r="D414" s="143" t="s">
        <v>170</v>
      </c>
      <c r="E414" s="124" t="s">
        <v>289</v>
      </c>
      <c r="F414" s="124" t="s">
        <v>873</v>
      </c>
      <c r="G414" s="251" t="s">
        <v>1094</v>
      </c>
      <c r="H414" s="34" t="s">
        <v>112</v>
      </c>
      <c r="I414" s="126" t="s">
        <v>875</v>
      </c>
      <c r="J414" s="47" t="s">
        <v>105</v>
      </c>
      <c r="K414" s="126">
        <v>1197.4000000000001</v>
      </c>
      <c r="L414" s="126">
        <v>1843</v>
      </c>
      <c r="M414" s="104" t="s">
        <v>876</v>
      </c>
      <c r="N414" s="265">
        <v>42481</v>
      </c>
      <c r="O414" s="260">
        <v>42485</v>
      </c>
      <c r="P414" s="106" t="s">
        <v>194</v>
      </c>
      <c r="Q414" s="107" t="s">
        <v>1327</v>
      </c>
      <c r="R414" s="244"/>
      <c r="S414" s="37">
        <v>0</v>
      </c>
      <c r="T414" s="36" t="str">
        <f t="shared" ca="1" si="37"/>
        <v>Empty</v>
      </c>
      <c r="U414" s="37" t="s">
        <v>1227</v>
      </c>
      <c r="V414" s="37"/>
      <c r="W414" s="38">
        <v>42485</v>
      </c>
      <c r="X414" s="39" t="s">
        <v>1328</v>
      </c>
      <c r="Y414" s="39" t="s">
        <v>51</v>
      </c>
      <c r="Z414" s="40" t="s">
        <v>49</v>
      </c>
      <c r="AA414" s="136">
        <f t="shared" ca="1" si="34"/>
        <v>879</v>
      </c>
      <c r="AB414" s="40"/>
      <c r="AC414" s="116"/>
      <c r="AD414" s="116"/>
      <c r="AE414" s="40"/>
      <c r="AF414" s="136" t="str">
        <f t="shared" ca="1" si="35"/>
        <v/>
      </c>
      <c r="AG414" s="127"/>
      <c r="AH414" s="127"/>
      <c r="AI414" s="127"/>
      <c r="AJ414" s="128"/>
      <c r="AK414" s="128"/>
      <c r="AL414" s="129"/>
    </row>
    <row r="415" spans="1:38" ht="24.95" customHeight="1" x14ac:dyDescent="0.25">
      <c r="A415" s="142" t="str">
        <f t="shared" si="36"/>
        <v>16SAM080</v>
      </c>
      <c r="B415" s="192">
        <v>80</v>
      </c>
      <c r="C415" s="142" t="s">
        <v>57</v>
      </c>
      <c r="D415" s="143" t="s">
        <v>170</v>
      </c>
      <c r="E415" s="124" t="s">
        <v>289</v>
      </c>
      <c r="F415" s="124" t="s">
        <v>873</v>
      </c>
      <c r="G415" s="251" t="s">
        <v>1094</v>
      </c>
      <c r="H415" s="34" t="s">
        <v>112</v>
      </c>
      <c r="I415" s="126" t="s">
        <v>875</v>
      </c>
      <c r="J415" s="47" t="s">
        <v>105</v>
      </c>
      <c r="K415" s="126">
        <v>1197.4000000000001</v>
      </c>
      <c r="L415" s="126">
        <v>1843</v>
      </c>
      <c r="M415" s="104" t="s">
        <v>876</v>
      </c>
      <c r="N415" s="265">
        <v>42481</v>
      </c>
      <c r="O415" s="260"/>
      <c r="P415" s="106" t="s">
        <v>194</v>
      </c>
      <c r="Q415" s="107" t="s">
        <v>1327</v>
      </c>
      <c r="R415" s="244"/>
      <c r="S415" s="37"/>
      <c r="T415" s="36" t="str">
        <f t="shared" ca="1" si="37"/>
        <v/>
      </c>
      <c r="U415" s="37"/>
      <c r="V415" s="37"/>
      <c r="W415" s="38"/>
      <c r="X415" s="39"/>
      <c r="Y415" s="39"/>
      <c r="Z415" s="40"/>
      <c r="AA415" s="136" t="str">
        <f t="shared" ca="1" si="34"/>
        <v/>
      </c>
      <c r="AB415" s="40"/>
      <c r="AC415" s="116"/>
      <c r="AD415" s="116"/>
      <c r="AE415" s="40"/>
      <c r="AF415" s="136" t="str">
        <f t="shared" ca="1" si="35"/>
        <v/>
      </c>
      <c r="AG415" s="127"/>
      <c r="AH415" s="127"/>
      <c r="AI415" s="127"/>
      <c r="AJ415" s="128"/>
      <c r="AK415" s="128"/>
      <c r="AL415" s="129"/>
    </row>
    <row r="416" spans="1:38" ht="24.95" customHeight="1" x14ac:dyDescent="0.25">
      <c r="A416" s="142" t="str">
        <f t="shared" si="36"/>
        <v>16SAM081</v>
      </c>
      <c r="B416" s="192">
        <v>81</v>
      </c>
      <c r="C416" s="142" t="s">
        <v>57</v>
      </c>
      <c r="D416" s="143" t="s">
        <v>40</v>
      </c>
      <c r="E416" s="124" t="s">
        <v>739</v>
      </c>
      <c r="F416" s="124" t="s">
        <v>1329</v>
      </c>
      <c r="G416" s="251"/>
      <c r="H416" s="34" t="s">
        <v>60</v>
      </c>
      <c r="I416" s="126" t="s">
        <v>1330</v>
      </c>
      <c r="J416" s="34" t="s">
        <v>45</v>
      </c>
      <c r="K416" s="126">
        <v>513.6</v>
      </c>
      <c r="L416" s="132" t="s">
        <v>61</v>
      </c>
      <c r="M416" s="105" t="s">
        <v>61</v>
      </c>
      <c r="N416" s="265">
        <v>42481</v>
      </c>
      <c r="O416" s="260">
        <v>42482</v>
      </c>
      <c r="P416" s="106" t="s">
        <v>1331</v>
      </c>
      <c r="Q416" s="107" t="s">
        <v>212</v>
      </c>
      <c r="R416" s="244"/>
      <c r="S416" s="37">
        <v>0</v>
      </c>
      <c r="T416" s="36" t="str">
        <f t="shared" ca="1" si="37"/>
        <v>Empty</v>
      </c>
      <c r="U416" s="37" t="s">
        <v>1332</v>
      </c>
      <c r="V416" s="37"/>
      <c r="W416" s="38">
        <v>42482</v>
      </c>
      <c r="X416" s="39" t="s">
        <v>248</v>
      </c>
      <c r="Y416" s="39" t="s">
        <v>1333</v>
      </c>
      <c r="Z416" s="40" t="s">
        <v>212</v>
      </c>
      <c r="AA416" s="136">
        <f t="shared" ca="1" si="34"/>
        <v>882</v>
      </c>
      <c r="AB416" s="40"/>
      <c r="AC416" s="116"/>
      <c r="AD416" s="116"/>
      <c r="AE416" s="40"/>
      <c r="AF416" s="136" t="str">
        <f t="shared" ca="1" si="35"/>
        <v/>
      </c>
      <c r="AG416" s="127"/>
      <c r="AH416" s="127"/>
      <c r="AI416" s="127"/>
      <c r="AJ416" s="128"/>
      <c r="AK416" s="128"/>
      <c r="AL416" s="129"/>
    </row>
    <row r="417" spans="1:38" ht="24.95" customHeight="1" x14ac:dyDescent="0.25">
      <c r="A417" s="140" t="str">
        <f t="shared" si="36"/>
        <v>16REF082</v>
      </c>
      <c r="B417" s="193">
        <v>82</v>
      </c>
      <c r="C417" s="140" t="s">
        <v>39</v>
      </c>
      <c r="D417" s="141" t="s">
        <v>40</v>
      </c>
      <c r="E417" s="124" t="s">
        <v>41</v>
      </c>
      <c r="F417" s="124" t="s">
        <v>1334</v>
      </c>
      <c r="G417" s="251"/>
      <c r="H417" s="34" t="s">
        <v>330</v>
      </c>
      <c r="I417" s="126" t="s">
        <v>1335</v>
      </c>
      <c r="J417" s="47" t="s">
        <v>180</v>
      </c>
      <c r="K417" s="126">
        <v>265.31</v>
      </c>
      <c r="L417" s="126" t="s">
        <v>1336</v>
      </c>
      <c r="M417" s="104" t="s">
        <v>1337</v>
      </c>
      <c r="N417" s="265">
        <v>42486</v>
      </c>
      <c r="O417" s="260">
        <v>42486</v>
      </c>
      <c r="P417" s="106" t="s">
        <v>183</v>
      </c>
      <c r="Q417" s="107" t="s">
        <v>504</v>
      </c>
      <c r="R417" s="244" t="s">
        <v>1355</v>
      </c>
      <c r="S417" s="37">
        <v>0</v>
      </c>
      <c r="T417" s="36" t="str">
        <f t="shared" ca="1" si="37"/>
        <v>Empty</v>
      </c>
      <c r="U417" s="37" t="s">
        <v>1338</v>
      </c>
      <c r="V417" s="37"/>
      <c r="W417" s="38">
        <v>42486</v>
      </c>
      <c r="X417" s="39" t="s">
        <v>728</v>
      </c>
      <c r="Y417" s="39" t="s">
        <v>1339</v>
      </c>
      <c r="Z417" s="40" t="s">
        <v>212</v>
      </c>
      <c r="AA417" s="136">
        <f ca="1">IF(W417="","",IF(W417,DAYS360(W417,TODAY())))</f>
        <v>878</v>
      </c>
      <c r="AB417" s="40"/>
      <c r="AC417" s="116"/>
      <c r="AD417" s="116"/>
      <c r="AE417" s="40"/>
      <c r="AF417" s="136" t="str">
        <f t="shared" ca="1" si="35"/>
        <v/>
      </c>
      <c r="AG417" s="127"/>
      <c r="AH417" s="127"/>
      <c r="AI417" s="127"/>
      <c r="AJ417" s="128"/>
      <c r="AK417" s="128"/>
      <c r="AL417" s="129"/>
    </row>
    <row r="418" spans="1:38" ht="24.95" customHeight="1" x14ac:dyDescent="0.25">
      <c r="A418" s="140" t="str">
        <f t="shared" si="36"/>
        <v>16REF083</v>
      </c>
      <c r="B418" s="193">
        <v>83</v>
      </c>
      <c r="C418" s="140" t="s">
        <v>39</v>
      </c>
      <c r="D418" s="141" t="s">
        <v>40</v>
      </c>
      <c r="E418" s="124" t="s">
        <v>41</v>
      </c>
      <c r="F418" s="124" t="s">
        <v>1349</v>
      </c>
      <c r="G418" s="251" t="s">
        <v>1350</v>
      </c>
      <c r="H418" s="34" t="s">
        <v>330</v>
      </c>
      <c r="I418" s="126" t="s">
        <v>1351</v>
      </c>
      <c r="J418" s="47" t="s">
        <v>180</v>
      </c>
      <c r="K418" s="126">
        <v>281.35000000000002</v>
      </c>
      <c r="L418" s="126" t="s">
        <v>1352</v>
      </c>
      <c r="M418" s="104" t="s">
        <v>1353</v>
      </c>
      <c r="N418" s="265">
        <v>42494</v>
      </c>
      <c r="O418" s="260"/>
      <c r="P418" s="106" t="s">
        <v>160</v>
      </c>
      <c r="Q418" s="107" t="s">
        <v>1354</v>
      </c>
      <c r="R418" s="244" t="s">
        <v>1355</v>
      </c>
      <c r="S418" s="37"/>
      <c r="T418" s="36" t="str">
        <f t="shared" ca="1" si="37"/>
        <v/>
      </c>
      <c r="U418" s="37"/>
      <c r="V418" s="37"/>
      <c r="W418" s="38"/>
      <c r="X418" s="39"/>
      <c r="Y418" s="39"/>
      <c r="Z418" s="40"/>
      <c r="AA418" s="136" t="str">
        <f t="shared" ca="1" si="34"/>
        <v/>
      </c>
      <c r="AB418" s="40"/>
      <c r="AC418" s="116"/>
      <c r="AD418" s="116"/>
      <c r="AE418" s="40"/>
      <c r="AF418" s="136" t="str">
        <f t="shared" ca="1" si="35"/>
        <v/>
      </c>
      <c r="AG418" s="127"/>
      <c r="AH418" s="127"/>
      <c r="AI418" s="127"/>
      <c r="AJ418" s="128"/>
      <c r="AK418" s="128"/>
      <c r="AL418" s="129"/>
    </row>
    <row r="419" spans="1:38" ht="24.95" customHeight="1" x14ac:dyDescent="0.25">
      <c r="A419" s="140" t="str">
        <f t="shared" si="36"/>
        <v>16REF084</v>
      </c>
      <c r="B419" s="193">
        <v>84</v>
      </c>
      <c r="C419" s="140" t="s">
        <v>39</v>
      </c>
      <c r="D419" s="141" t="s">
        <v>40</v>
      </c>
      <c r="E419" s="124" t="s">
        <v>41</v>
      </c>
      <c r="F419" s="124" t="s">
        <v>1356</v>
      </c>
      <c r="G419" s="251" t="s">
        <v>1358</v>
      </c>
      <c r="H419" s="34" t="s">
        <v>43</v>
      </c>
      <c r="I419" s="126" t="s">
        <v>1357</v>
      </c>
      <c r="J419" s="47" t="s">
        <v>45</v>
      </c>
      <c r="K419" s="126">
        <v>151.16</v>
      </c>
      <c r="L419" s="126" t="s">
        <v>1359</v>
      </c>
      <c r="M419" s="104" t="s">
        <v>1360</v>
      </c>
      <c r="N419" s="265">
        <v>42494</v>
      </c>
      <c r="O419" s="260">
        <v>42501</v>
      </c>
      <c r="P419" s="106" t="s">
        <v>1295</v>
      </c>
      <c r="Q419" s="107" t="s">
        <v>1426</v>
      </c>
      <c r="R419" s="244" t="s">
        <v>1361</v>
      </c>
      <c r="S419" s="37">
        <v>0</v>
      </c>
      <c r="T419" s="36" t="str">
        <f t="shared" ca="1" si="37"/>
        <v>Empty</v>
      </c>
      <c r="U419" s="37" t="s">
        <v>1412</v>
      </c>
      <c r="V419" s="37" t="s">
        <v>2600</v>
      </c>
      <c r="W419" s="38">
        <v>42501</v>
      </c>
      <c r="X419" s="39" t="s">
        <v>334</v>
      </c>
      <c r="Y419" s="39" t="s">
        <v>1428</v>
      </c>
      <c r="Z419" s="40" t="s">
        <v>212</v>
      </c>
      <c r="AA419" s="136">
        <f t="shared" ca="1" si="34"/>
        <v>863</v>
      </c>
      <c r="AB419" s="40"/>
      <c r="AC419" s="116"/>
      <c r="AD419" s="116"/>
      <c r="AE419" s="40"/>
      <c r="AF419" s="136" t="str">
        <f t="shared" ca="1" si="35"/>
        <v/>
      </c>
      <c r="AG419" s="127"/>
      <c r="AH419" s="127"/>
      <c r="AI419" s="127"/>
      <c r="AJ419" s="128"/>
      <c r="AK419" s="128"/>
      <c r="AL419" s="129"/>
    </row>
    <row r="420" spans="1:38" ht="24.95" customHeight="1" x14ac:dyDescent="0.25">
      <c r="A420" s="140" t="str">
        <f t="shared" si="36"/>
        <v>16REF085</v>
      </c>
      <c r="B420" s="193">
        <v>85</v>
      </c>
      <c r="C420" s="140" t="s">
        <v>39</v>
      </c>
      <c r="D420" s="141" t="s">
        <v>40</v>
      </c>
      <c r="E420" s="124" t="s">
        <v>41</v>
      </c>
      <c r="F420" s="124" t="s">
        <v>1362</v>
      </c>
      <c r="G420" s="251"/>
      <c r="H420" s="34" t="s">
        <v>43</v>
      </c>
      <c r="I420" s="126" t="s">
        <v>1363</v>
      </c>
      <c r="J420" s="47" t="s">
        <v>45</v>
      </c>
      <c r="K420" s="126">
        <v>65.12</v>
      </c>
      <c r="L420" s="126">
        <v>60178</v>
      </c>
      <c r="M420" s="104" t="s">
        <v>1364</v>
      </c>
      <c r="N420" s="265">
        <v>42494</v>
      </c>
      <c r="O420" s="260">
        <v>42501</v>
      </c>
      <c r="P420" s="106" t="s">
        <v>48</v>
      </c>
      <c r="Q420" s="107" t="s">
        <v>1365</v>
      </c>
      <c r="R420" s="244" t="s">
        <v>1355</v>
      </c>
      <c r="S420" s="37">
        <f>25000-10.85</f>
        <v>24989.15</v>
      </c>
      <c r="T420" s="36">
        <f t="shared" ca="1" si="37"/>
        <v>863</v>
      </c>
      <c r="U420" s="37" t="s">
        <v>1412</v>
      </c>
      <c r="V420" s="37"/>
      <c r="W420" s="38"/>
      <c r="X420" s="39"/>
      <c r="Y420" s="39"/>
      <c r="Z420" s="40"/>
      <c r="AA420" s="136" t="str">
        <f t="shared" ca="1" si="34"/>
        <v/>
      </c>
      <c r="AB420" s="40"/>
      <c r="AC420" s="116"/>
      <c r="AD420" s="116"/>
      <c r="AE420" s="40"/>
      <c r="AF420" s="136" t="str">
        <f t="shared" ca="1" si="35"/>
        <v/>
      </c>
      <c r="AG420" s="127"/>
      <c r="AH420" s="127"/>
      <c r="AI420" s="127"/>
      <c r="AJ420" s="128"/>
      <c r="AK420" s="128"/>
      <c r="AL420" s="129"/>
    </row>
    <row r="421" spans="1:38" ht="24.95" customHeight="1" x14ac:dyDescent="0.25">
      <c r="A421" s="140" t="str">
        <f t="shared" si="36"/>
        <v>16REF086</v>
      </c>
      <c r="B421" s="193">
        <v>86</v>
      </c>
      <c r="C421" s="140" t="s">
        <v>39</v>
      </c>
      <c r="D421" s="141" t="s">
        <v>40</v>
      </c>
      <c r="E421" s="124" t="s">
        <v>41</v>
      </c>
      <c r="F421" s="124" t="s">
        <v>694</v>
      </c>
      <c r="G421" s="251"/>
      <c r="H421" s="34" t="s">
        <v>43</v>
      </c>
      <c r="I421" s="126" t="s">
        <v>695</v>
      </c>
      <c r="J421" s="47" t="s">
        <v>180</v>
      </c>
      <c r="K421" s="126">
        <v>212.68</v>
      </c>
      <c r="L421" s="126" t="s">
        <v>696</v>
      </c>
      <c r="M421" s="104" t="s">
        <v>697</v>
      </c>
      <c r="N421" s="265">
        <v>42494</v>
      </c>
      <c r="O421" s="260"/>
      <c r="P421" s="106" t="s">
        <v>124</v>
      </c>
      <c r="Q421" s="107" t="s">
        <v>1366</v>
      </c>
      <c r="R421" s="266">
        <v>0.99</v>
      </c>
      <c r="S421" s="37"/>
      <c r="T421" s="36" t="str">
        <f t="shared" ca="1" si="37"/>
        <v/>
      </c>
      <c r="U421" s="37"/>
      <c r="V421" s="37"/>
      <c r="W421" s="38"/>
      <c r="X421" s="39"/>
      <c r="Y421" s="39"/>
      <c r="Z421" s="40"/>
      <c r="AA421" s="136" t="str">
        <f t="shared" ca="1" si="34"/>
        <v/>
      </c>
      <c r="AB421" s="40"/>
      <c r="AC421" s="116"/>
      <c r="AD421" s="116"/>
      <c r="AE421" s="40"/>
      <c r="AF421" s="136" t="str">
        <f t="shared" ref="AF421:AF484" ca="1" si="38">IF(AB421="","",IF(AB421,DAYS360(AB421,TODAY())))</f>
        <v/>
      </c>
      <c r="AG421" s="127"/>
      <c r="AH421" s="127"/>
      <c r="AI421" s="127"/>
      <c r="AJ421" s="128"/>
      <c r="AK421" s="128"/>
      <c r="AL421" s="129"/>
    </row>
    <row r="422" spans="1:38" ht="24.95" customHeight="1" x14ac:dyDescent="0.25">
      <c r="A422" s="142" t="str">
        <f t="shared" si="36"/>
        <v>16SAM087</v>
      </c>
      <c r="B422" s="192">
        <v>87</v>
      </c>
      <c r="C422" s="142" t="s">
        <v>57</v>
      </c>
      <c r="D422" s="143" t="s">
        <v>170</v>
      </c>
      <c r="E422" s="124" t="s">
        <v>739</v>
      </c>
      <c r="F422" s="124" t="s">
        <v>1367</v>
      </c>
      <c r="G422" s="251"/>
      <c r="H422" s="34" t="s">
        <v>1368</v>
      </c>
      <c r="I422" s="126" t="s">
        <v>1369</v>
      </c>
      <c r="J422" s="47" t="s">
        <v>105</v>
      </c>
      <c r="K422" s="126">
        <v>397.6</v>
      </c>
      <c r="L422" s="126">
        <v>376650</v>
      </c>
      <c r="M422" s="104" t="s">
        <v>1370</v>
      </c>
      <c r="N422" s="265">
        <v>42494</v>
      </c>
      <c r="O422" s="260">
        <v>42523</v>
      </c>
      <c r="P422" s="106" t="s">
        <v>497</v>
      </c>
      <c r="Q422" s="107" t="s">
        <v>1371</v>
      </c>
      <c r="R422" s="266">
        <v>0.98</v>
      </c>
      <c r="S422" s="37">
        <v>0</v>
      </c>
      <c r="T422" s="36" t="str">
        <f t="shared" ca="1" si="37"/>
        <v>Empty</v>
      </c>
      <c r="U422" s="37" t="s">
        <v>1372</v>
      </c>
      <c r="V422" s="37"/>
      <c r="W422" s="38">
        <v>42523</v>
      </c>
      <c r="X422" s="39" t="s">
        <v>50</v>
      </c>
      <c r="Y422" s="39" t="s">
        <v>1439</v>
      </c>
      <c r="Z422" s="40" t="s">
        <v>212</v>
      </c>
      <c r="AA422" s="136">
        <f t="shared" ca="1" si="34"/>
        <v>842</v>
      </c>
      <c r="AB422" s="40"/>
      <c r="AC422" s="116"/>
      <c r="AD422" s="116"/>
      <c r="AE422" s="40"/>
      <c r="AF422" s="136" t="str">
        <f t="shared" ca="1" si="38"/>
        <v/>
      </c>
      <c r="AG422" s="127"/>
      <c r="AH422" s="127"/>
      <c r="AI422" s="127"/>
      <c r="AJ422" s="128"/>
      <c r="AK422" s="128"/>
      <c r="AL422" s="129"/>
    </row>
    <row r="423" spans="1:38" ht="23.25" x14ac:dyDescent="0.25">
      <c r="A423" s="142" t="str">
        <f t="shared" si="36"/>
        <v>16SAM088</v>
      </c>
      <c r="B423" s="192">
        <v>88</v>
      </c>
      <c r="C423" s="142" t="s">
        <v>57</v>
      </c>
      <c r="D423" s="143" t="s">
        <v>170</v>
      </c>
      <c r="E423" s="124" t="s">
        <v>1373</v>
      </c>
      <c r="F423" s="124" t="s">
        <v>1374</v>
      </c>
      <c r="G423" s="251" t="s">
        <v>1375</v>
      </c>
      <c r="H423" s="34" t="s">
        <v>60</v>
      </c>
      <c r="I423" s="132" t="s">
        <v>61</v>
      </c>
      <c r="J423" s="47" t="s">
        <v>45</v>
      </c>
      <c r="K423" s="126">
        <v>443.5</v>
      </c>
      <c r="L423" s="132" t="s">
        <v>61</v>
      </c>
      <c r="M423" s="105" t="s">
        <v>61</v>
      </c>
      <c r="N423" s="265">
        <v>42494</v>
      </c>
      <c r="O423" s="260">
        <v>42529</v>
      </c>
      <c r="P423" s="106" t="s">
        <v>1376</v>
      </c>
      <c r="Q423" s="107" t="s">
        <v>1377</v>
      </c>
      <c r="R423" s="244">
        <f>208.69-50.67</f>
        <v>158.01999999999998</v>
      </c>
      <c r="S423" s="37"/>
      <c r="T423" s="36" t="str">
        <f t="shared" ca="1" si="37"/>
        <v/>
      </c>
      <c r="U423" s="37" t="s">
        <v>1378</v>
      </c>
      <c r="V423" s="37" t="s">
        <v>1379</v>
      </c>
      <c r="W423" s="38">
        <v>42529</v>
      </c>
      <c r="X423" s="39" t="s">
        <v>334</v>
      </c>
      <c r="Y423" s="39" t="s">
        <v>1485</v>
      </c>
      <c r="Z423" s="40" t="s">
        <v>212</v>
      </c>
      <c r="AA423" s="136">
        <f t="shared" ca="1" si="34"/>
        <v>836</v>
      </c>
      <c r="AB423" s="40"/>
      <c r="AC423" s="116"/>
      <c r="AD423" s="116"/>
      <c r="AE423" s="40"/>
      <c r="AF423" s="136" t="str">
        <f t="shared" ca="1" si="38"/>
        <v/>
      </c>
      <c r="AG423" s="127"/>
      <c r="AH423" s="127"/>
      <c r="AI423" s="127"/>
      <c r="AJ423" s="128"/>
      <c r="AK423" s="128"/>
      <c r="AL423" s="129"/>
    </row>
    <row r="424" spans="1:38" ht="24.95" customHeight="1" x14ac:dyDescent="0.25">
      <c r="A424" s="140" t="str">
        <f t="shared" si="36"/>
        <v>16REF089</v>
      </c>
      <c r="B424" s="193">
        <v>89</v>
      </c>
      <c r="C424" s="140" t="s">
        <v>39</v>
      </c>
      <c r="D424" s="141" t="s">
        <v>824</v>
      </c>
      <c r="E424" s="124" t="s">
        <v>41</v>
      </c>
      <c r="F424" s="124" t="s">
        <v>1380</v>
      </c>
      <c r="G424" s="251"/>
      <c r="H424" s="34" t="s">
        <v>43</v>
      </c>
      <c r="I424" s="126" t="s">
        <v>1381</v>
      </c>
      <c r="J424" s="47" t="s">
        <v>105</v>
      </c>
      <c r="K424" s="126" t="s">
        <v>1382</v>
      </c>
      <c r="L424" s="126" t="s">
        <v>1383</v>
      </c>
      <c r="M424" s="104" t="s">
        <v>1384</v>
      </c>
      <c r="N424" s="265">
        <v>42494</v>
      </c>
      <c r="O424" s="260"/>
      <c r="P424" s="106" t="s">
        <v>1385</v>
      </c>
      <c r="Q424" s="107"/>
      <c r="R424" s="244" t="s">
        <v>61</v>
      </c>
      <c r="S424" s="37">
        <v>0</v>
      </c>
      <c r="T424" s="36" t="str">
        <f t="shared" ca="1" si="37"/>
        <v>Empty</v>
      </c>
      <c r="U424" s="37"/>
      <c r="V424" s="37"/>
      <c r="W424" s="38"/>
      <c r="X424" s="39"/>
      <c r="Y424" s="39"/>
      <c r="Z424" s="40"/>
      <c r="AA424" s="136" t="str">
        <f t="shared" ca="1" si="34"/>
        <v/>
      </c>
      <c r="AB424" s="40"/>
      <c r="AC424" s="116"/>
      <c r="AD424" s="116"/>
      <c r="AE424" s="40"/>
      <c r="AF424" s="136" t="str">
        <f t="shared" ca="1" si="38"/>
        <v/>
      </c>
      <c r="AG424" s="127"/>
      <c r="AH424" s="127"/>
      <c r="AI424" s="127"/>
      <c r="AJ424" s="128"/>
      <c r="AK424" s="128"/>
      <c r="AL424" s="129"/>
    </row>
    <row r="425" spans="1:38" ht="24.95" customHeight="1" x14ac:dyDescent="0.25">
      <c r="A425" s="142" t="str">
        <f t="shared" si="36"/>
        <v>16SAM090</v>
      </c>
      <c r="B425" s="192">
        <v>90</v>
      </c>
      <c r="C425" s="142" t="s">
        <v>57</v>
      </c>
      <c r="D425" s="143" t="s">
        <v>170</v>
      </c>
      <c r="E425" s="124" t="s">
        <v>1373</v>
      </c>
      <c r="F425" s="124" t="s">
        <v>751</v>
      </c>
      <c r="G425" s="251"/>
      <c r="H425" s="34" t="s">
        <v>112</v>
      </c>
      <c r="I425" s="126" t="s">
        <v>1387</v>
      </c>
      <c r="J425" s="47" t="s">
        <v>45</v>
      </c>
      <c r="K425" s="126">
        <v>415.95</v>
      </c>
      <c r="L425" s="126">
        <v>4385</v>
      </c>
      <c r="M425" s="104" t="s">
        <v>755</v>
      </c>
      <c r="N425" s="265">
        <v>42499</v>
      </c>
      <c r="O425" s="260">
        <v>42508</v>
      </c>
      <c r="P425" s="106" t="s">
        <v>86</v>
      </c>
      <c r="Q425" s="107" t="s">
        <v>1391</v>
      </c>
      <c r="R425" s="266">
        <v>1</v>
      </c>
      <c r="S425" s="37">
        <v>0</v>
      </c>
      <c r="T425" s="36" t="str">
        <f t="shared" ca="1" si="37"/>
        <v>Empty</v>
      </c>
      <c r="U425" s="37" t="s">
        <v>1378</v>
      </c>
      <c r="V425" s="37"/>
      <c r="W425" s="38">
        <v>42505</v>
      </c>
      <c r="X425" s="39" t="s">
        <v>248</v>
      </c>
      <c r="Y425" s="39" t="s">
        <v>1466</v>
      </c>
      <c r="Z425" s="40" t="s">
        <v>49</v>
      </c>
      <c r="AA425" s="136">
        <f t="shared" ca="1" si="34"/>
        <v>859</v>
      </c>
      <c r="AB425" s="40"/>
      <c r="AC425" s="116"/>
      <c r="AD425" s="116"/>
      <c r="AE425" s="40"/>
      <c r="AF425" s="136" t="str">
        <f t="shared" ca="1" si="38"/>
        <v/>
      </c>
      <c r="AG425" s="127"/>
      <c r="AH425" s="127"/>
      <c r="AI425" s="127"/>
      <c r="AJ425" s="128"/>
      <c r="AK425" s="128"/>
      <c r="AL425" s="129"/>
    </row>
    <row r="426" spans="1:38" ht="24.95" customHeight="1" x14ac:dyDescent="0.25">
      <c r="A426" s="142" t="str">
        <f t="shared" si="36"/>
        <v>16SAM091</v>
      </c>
      <c r="B426" s="192">
        <v>91</v>
      </c>
      <c r="C426" s="142" t="s">
        <v>57</v>
      </c>
      <c r="D426" s="143" t="s">
        <v>170</v>
      </c>
      <c r="E426" s="124" t="s">
        <v>1373</v>
      </c>
      <c r="F426" s="124" t="s">
        <v>1386</v>
      </c>
      <c r="G426" s="251"/>
      <c r="H426" s="34" t="s">
        <v>112</v>
      </c>
      <c r="I426" s="126" t="s">
        <v>1388</v>
      </c>
      <c r="J426" s="47" t="s">
        <v>180</v>
      </c>
      <c r="K426" s="126">
        <v>311.72000000000003</v>
      </c>
      <c r="L426" s="126">
        <v>2498</v>
      </c>
      <c r="M426" s="104" t="s">
        <v>1390</v>
      </c>
      <c r="N426" s="265">
        <v>42499</v>
      </c>
      <c r="O426" s="260">
        <v>42508</v>
      </c>
      <c r="P426" s="106" t="s">
        <v>86</v>
      </c>
      <c r="Q426" s="107" t="s">
        <v>504</v>
      </c>
      <c r="R426" s="244" t="s">
        <v>1392</v>
      </c>
      <c r="S426" s="37">
        <v>0</v>
      </c>
      <c r="T426" s="36" t="str">
        <f t="shared" ca="1" si="37"/>
        <v>Empty</v>
      </c>
      <c r="U426" s="37" t="s">
        <v>1378</v>
      </c>
      <c r="V426" s="37"/>
      <c r="W426" s="38">
        <v>42508</v>
      </c>
      <c r="X426" s="39" t="s">
        <v>50</v>
      </c>
      <c r="Y426" s="39" t="s">
        <v>651</v>
      </c>
      <c r="Z426" s="40" t="s">
        <v>212</v>
      </c>
      <c r="AA426" s="136">
        <f ca="1">IF(W426="","",IF(W426,DAYS360(W426,TODAY())))</f>
        <v>856</v>
      </c>
      <c r="AB426" s="40"/>
      <c r="AC426" s="116"/>
      <c r="AD426" s="116"/>
      <c r="AE426" s="40"/>
      <c r="AF426" s="136" t="str">
        <f t="shared" ca="1" si="38"/>
        <v/>
      </c>
      <c r="AG426" s="127"/>
      <c r="AH426" s="127"/>
      <c r="AI426" s="127"/>
      <c r="AJ426" s="128"/>
      <c r="AK426" s="128"/>
      <c r="AL426" s="129"/>
    </row>
    <row r="427" spans="1:38" ht="24.95" customHeight="1" x14ac:dyDescent="0.25">
      <c r="A427" s="142" t="str">
        <f t="shared" si="36"/>
        <v>16SAM092</v>
      </c>
      <c r="B427" s="192">
        <v>92</v>
      </c>
      <c r="C427" s="142" t="s">
        <v>57</v>
      </c>
      <c r="D427" s="143" t="s">
        <v>170</v>
      </c>
      <c r="E427" s="124" t="s">
        <v>1373</v>
      </c>
      <c r="F427" s="124" t="s">
        <v>505</v>
      </c>
      <c r="G427" s="251"/>
      <c r="H427" s="34" t="s">
        <v>112</v>
      </c>
      <c r="I427" s="126" t="s">
        <v>1389</v>
      </c>
      <c r="J427" s="47" t="s">
        <v>45</v>
      </c>
      <c r="K427" s="126">
        <v>264.75</v>
      </c>
      <c r="L427" s="126">
        <v>2303</v>
      </c>
      <c r="M427" s="104" t="s">
        <v>1017</v>
      </c>
      <c r="N427" s="265">
        <v>42499</v>
      </c>
      <c r="O427" s="260"/>
      <c r="P427" s="106" t="s">
        <v>86</v>
      </c>
      <c r="Q427" s="107" t="s">
        <v>1393</v>
      </c>
      <c r="R427" s="267">
        <v>0.98899999999999999</v>
      </c>
      <c r="S427" s="37"/>
      <c r="T427" s="36" t="str">
        <f t="shared" ca="1" si="37"/>
        <v/>
      </c>
      <c r="U427" s="37" t="s">
        <v>1378</v>
      </c>
      <c r="V427" s="37"/>
      <c r="W427" s="38"/>
      <c r="X427" s="39"/>
      <c r="Y427" s="39"/>
      <c r="Z427" s="40"/>
      <c r="AA427" s="136" t="str">
        <f t="shared" ca="1" si="34"/>
        <v/>
      </c>
      <c r="AB427" s="40"/>
      <c r="AC427" s="116"/>
      <c r="AD427" s="116"/>
      <c r="AE427" s="40"/>
      <c r="AF427" s="136" t="str">
        <f t="shared" ca="1" si="38"/>
        <v/>
      </c>
      <c r="AG427" s="127"/>
      <c r="AH427" s="127"/>
      <c r="AI427" s="127"/>
      <c r="AJ427" s="128"/>
      <c r="AK427" s="128"/>
      <c r="AL427" s="129"/>
    </row>
    <row r="428" spans="1:38" ht="24.95" customHeight="1" x14ac:dyDescent="0.25">
      <c r="A428" s="140" t="str">
        <f t="shared" si="36"/>
        <v>16REF093</v>
      </c>
      <c r="B428" s="193">
        <v>93</v>
      </c>
      <c r="C428" s="140" t="s">
        <v>39</v>
      </c>
      <c r="D428" s="141" t="s">
        <v>40</v>
      </c>
      <c r="E428" s="124" t="s">
        <v>41</v>
      </c>
      <c r="F428" s="124" t="s">
        <v>1394</v>
      </c>
      <c r="G428" s="251" t="s">
        <v>1395</v>
      </c>
      <c r="H428" s="34" t="s">
        <v>43</v>
      </c>
      <c r="I428" s="126" t="s">
        <v>1396</v>
      </c>
      <c r="J428" s="47" t="s">
        <v>45</v>
      </c>
      <c r="K428" s="126">
        <v>180.16</v>
      </c>
      <c r="L428" s="126" t="s">
        <v>1397</v>
      </c>
      <c r="M428" s="104" t="s">
        <v>1398</v>
      </c>
      <c r="N428" s="265">
        <v>42499</v>
      </c>
      <c r="O428" s="260">
        <v>42499</v>
      </c>
      <c r="P428" s="106" t="s">
        <v>327</v>
      </c>
      <c r="Q428" s="107" t="s">
        <v>1399</v>
      </c>
      <c r="R428" s="266">
        <v>1</v>
      </c>
      <c r="S428" s="37">
        <f>50000-7.84</f>
        <v>49992.160000000003</v>
      </c>
      <c r="T428" s="36">
        <f t="shared" ca="1" si="37"/>
        <v>865</v>
      </c>
      <c r="U428" s="37" t="s">
        <v>1412</v>
      </c>
      <c r="V428" s="37"/>
      <c r="W428" s="38"/>
      <c r="X428" s="39"/>
      <c r="Y428" s="39"/>
      <c r="Z428" s="40"/>
      <c r="AA428" s="136" t="str">
        <f t="shared" ca="1" si="34"/>
        <v/>
      </c>
      <c r="AB428" s="40"/>
      <c r="AC428" s="116"/>
      <c r="AD428" s="116"/>
      <c r="AE428" s="40"/>
      <c r="AF428" s="136" t="str">
        <f t="shared" ca="1" si="38"/>
        <v/>
      </c>
      <c r="AG428" s="127"/>
      <c r="AH428" s="127"/>
      <c r="AI428" s="127"/>
      <c r="AJ428" s="128"/>
      <c r="AK428" s="128"/>
      <c r="AL428" s="129"/>
    </row>
    <row r="429" spans="1:38" ht="24.95" customHeight="1" x14ac:dyDescent="0.25">
      <c r="A429" s="140" t="str">
        <f t="shared" si="36"/>
        <v>16REF094</v>
      </c>
      <c r="B429" s="193">
        <v>94</v>
      </c>
      <c r="C429" s="140" t="s">
        <v>39</v>
      </c>
      <c r="D429" s="141" t="s">
        <v>40</v>
      </c>
      <c r="E429" s="124" t="s">
        <v>41</v>
      </c>
      <c r="F429" s="124" t="s">
        <v>1400</v>
      </c>
      <c r="G429" s="251" t="s">
        <v>1401</v>
      </c>
      <c r="H429" s="34" t="s">
        <v>330</v>
      </c>
      <c r="I429" s="104" t="s">
        <v>1402</v>
      </c>
      <c r="J429" s="47" t="s">
        <v>180</v>
      </c>
      <c r="K429" s="126">
        <v>420.43</v>
      </c>
      <c r="L429" s="126" t="s">
        <v>1403</v>
      </c>
      <c r="M429" s="104" t="s">
        <v>1404</v>
      </c>
      <c r="N429" s="265">
        <v>42499</v>
      </c>
      <c r="O429" s="260">
        <v>42529</v>
      </c>
      <c r="P429" s="106" t="s">
        <v>48</v>
      </c>
      <c r="Q429" s="107" t="s">
        <v>510</v>
      </c>
      <c r="R429" s="244" t="s">
        <v>1355</v>
      </c>
      <c r="S429" s="37">
        <f>25000-68.3</f>
        <v>24931.7</v>
      </c>
      <c r="T429" s="36">
        <f t="shared" ca="1" si="37"/>
        <v>836</v>
      </c>
      <c r="U429" s="37" t="s">
        <v>1412</v>
      </c>
      <c r="V429" s="37"/>
      <c r="W429" s="38">
        <v>42529</v>
      </c>
      <c r="X429" s="39" t="s">
        <v>334</v>
      </c>
      <c r="Y429" s="39" t="s">
        <v>1217</v>
      </c>
      <c r="Z429" s="40" t="s">
        <v>49</v>
      </c>
      <c r="AA429" s="136">
        <f t="shared" ca="1" si="34"/>
        <v>836</v>
      </c>
      <c r="AB429" s="40"/>
      <c r="AC429" s="116"/>
      <c r="AD429" s="116"/>
      <c r="AE429" s="40"/>
      <c r="AF429" s="136" t="str">
        <f t="shared" ca="1" si="38"/>
        <v/>
      </c>
      <c r="AG429" s="127"/>
      <c r="AH429" s="127"/>
      <c r="AI429" s="127"/>
      <c r="AJ429" s="128"/>
      <c r="AK429" s="128"/>
      <c r="AL429" s="129"/>
    </row>
    <row r="430" spans="1:38" ht="24.95" customHeight="1" x14ac:dyDescent="0.25">
      <c r="A430" s="140" t="str">
        <f t="shared" si="36"/>
        <v>16REF095</v>
      </c>
      <c r="B430" s="193">
        <v>95</v>
      </c>
      <c r="C430" s="140" t="s">
        <v>39</v>
      </c>
      <c r="D430" s="141" t="s">
        <v>40</v>
      </c>
      <c r="E430" s="124" t="s">
        <v>41</v>
      </c>
      <c r="F430" s="124" t="s">
        <v>1405</v>
      </c>
      <c r="G430" s="251" t="s">
        <v>1350</v>
      </c>
      <c r="H430" s="34" t="s">
        <v>330</v>
      </c>
      <c r="I430" s="126" t="s">
        <v>1406</v>
      </c>
      <c r="J430" s="47" t="s">
        <v>180</v>
      </c>
      <c r="K430" s="126">
        <v>553.55999999999995</v>
      </c>
      <c r="L430" s="126" t="s">
        <v>1407</v>
      </c>
      <c r="M430" s="104" t="s">
        <v>1408</v>
      </c>
      <c r="N430" s="265">
        <v>42499</v>
      </c>
      <c r="O430" s="260"/>
      <c r="P430" s="106" t="s">
        <v>183</v>
      </c>
      <c r="Q430" s="107" t="s">
        <v>510</v>
      </c>
      <c r="R430" s="244" t="s">
        <v>1355</v>
      </c>
      <c r="S430" s="37"/>
      <c r="T430" s="36" t="str">
        <f t="shared" ca="1" si="37"/>
        <v/>
      </c>
      <c r="U430" s="37"/>
      <c r="V430" s="37"/>
      <c r="W430" s="38"/>
      <c r="X430" s="39"/>
      <c r="Y430" s="39"/>
      <c r="Z430" s="40"/>
      <c r="AA430" s="136" t="str">
        <f t="shared" ca="1" si="34"/>
        <v/>
      </c>
      <c r="AB430" s="40"/>
      <c r="AC430" s="116"/>
      <c r="AD430" s="116"/>
      <c r="AE430" s="40"/>
      <c r="AF430" s="136" t="str">
        <f t="shared" ca="1" si="38"/>
        <v/>
      </c>
      <c r="AG430" s="127"/>
      <c r="AH430" s="127"/>
      <c r="AI430" s="127"/>
      <c r="AJ430" s="128"/>
      <c r="AK430" s="128"/>
      <c r="AL430" s="129"/>
    </row>
    <row r="431" spans="1:38" ht="24.95" customHeight="1" x14ac:dyDescent="0.25">
      <c r="A431" s="142" t="str">
        <f t="shared" si="36"/>
        <v>16SAM096</v>
      </c>
      <c r="B431" s="192">
        <v>96</v>
      </c>
      <c r="C431" s="142" t="s">
        <v>57</v>
      </c>
      <c r="D431" s="143" t="s">
        <v>40</v>
      </c>
      <c r="E431" s="124" t="s">
        <v>230</v>
      </c>
      <c r="F431" s="124" t="s">
        <v>1409</v>
      </c>
      <c r="G431" s="251" t="s">
        <v>1410</v>
      </c>
      <c r="H431" s="34" t="s">
        <v>60</v>
      </c>
      <c r="I431" s="126">
        <v>210013209</v>
      </c>
      <c r="J431" s="47" t="s">
        <v>45</v>
      </c>
      <c r="K431" s="126">
        <v>430.71</v>
      </c>
      <c r="L431" s="132" t="s">
        <v>61</v>
      </c>
      <c r="M431" s="105" t="s">
        <v>61</v>
      </c>
      <c r="N431" s="265">
        <v>42499</v>
      </c>
      <c r="O431" s="260">
        <v>42500</v>
      </c>
      <c r="P431" s="106" t="s">
        <v>1066</v>
      </c>
      <c r="Q431" s="268" t="s">
        <v>212</v>
      </c>
      <c r="R431" s="269" t="s">
        <v>61</v>
      </c>
      <c r="S431" s="37">
        <v>0</v>
      </c>
      <c r="T431" s="36" t="str">
        <f t="shared" ca="1" si="37"/>
        <v>Empty</v>
      </c>
      <c r="U431" s="37" t="s">
        <v>1411</v>
      </c>
      <c r="V431" s="37"/>
      <c r="W431" s="38"/>
      <c r="X431" s="39"/>
      <c r="Y431" s="39"/>
      <c r="Z431" s="40"/>
      <c r="AA431" s="136" t="str">
        <f t="shared" ca="1" si="34"/>
        <v/>
      </c>
      <c r="AB431" s="40"/>
      <c r="AC431" s="116"/>
      <c r="AD431" s="116"/>
      <c r="AE431" s="40"/>
      <c r="AF431" s="136" t="str">
        <f t="shared" ca="1" si="38"/>
        <v/>
      </c>
      <c r="AG431" s="127"/>
      <c r="AH431" s="127"/>
      <c r="AI431" s="127"/>
      <c r="AJ431" s="128"/>
      <c r="AK431" s="128"/>
      <c r="AL431" s="129"/>
    </row>
    <row r="432" spans="1:38" ht="24.95" customHeight="1" x14ac:dyDescent="0.25">
      <c r="A432" s="140" t="str">
        <f t="shared" si="36"/>
        <v>16REF097</v>
      </c>
      <c r="B432" s="193">
        <v>97</v>
      </c>
      <c r="C432" s="140" t="s">
        <v>39</v>
      </c>
      <c r="D432" s="141" t="s">
        <v>40</v>
      </c>
      <c r="E432" s="124" t="s">
        <v>41</v>
      </c>
      <c r="F432" s="124" t="s">
        <v>860</v>
      </c>
      <c r="G432" s="251" t="s">
        <v>802</v>
      </c>
      <c r="H432" s="34" t="s">
        <v>330</v>
      </c>
      <c r="I432" s="126" t="s">
        <v>971</v>
      </c>
      <c r="J432" s="47" t="s">
        <v>180</v>
      </c>
      <c r="K432" s="126">
        <v>340.78</v>
      </c>
      <c r="L432" s="126" t="s">
        <v>862</v>
      </c>
      <c r="M432" s="104" t="s">
        <v>863</v>
      </c>
      <c r="N432" s="265">
        <v>42501</v>
      </c>
      <c r="O432" s="260">
        <v>42573</v>
      </c>
      <c r="P432" s="106" t="s">
        <v>183</v>
      </c>
      <c r="Q432" s="107" t="s">
        <v>2920</v>
      </c>
      <c r="R432" s="244" t="s">
        <v>1418</v>
      </c>
      <c r="S432" s="37">
        <v>0</v>
      </c>
      <c r="T432" s="36" t="str">
        <f t="shared" ca="1" si="37"/>
        <v>Empty</v>
      </c>
      <c r="U432" s="37" t="s">
        <v>1493</v>
      </c>
      <c r="V432" s="37" t="s">
        <v>2113</v>
      </c>
      <c r="W432" s="38"/>
      <c r="X432" s="39"/>
      <c r="Y432" s="39"/>
      <c r="Z432" s="40"/>
      <c r="AA432" s="136" t="str">
        <f t="shared" ca="1" si="34"/>
        <v/>
      </c>
      <c r="AB432" s="40"/>
      <c r="AC432" s="116"/>
      <c r="AD432" s="116"/>
      <c r="AE432" s="40"/>
      <c r="AF432" s="136" t="str">
        <f t="shared" ca="1" si="38"/>
        <v/>
      </c>
      <c r="AG432" s="127"/>
      <c r="AH432" s="127"/>
      <c r="AI432" s="127"/>
      <c r="AJ432" s="128"/>
      <c r="AK432" s="128"/>
      <c r="AL432" s="129"/>
    </row>
    <row r="433" spans="1:38" ht="24.95" customHeight="1" x14ac:dyDescent="0.25">
      <c r="A433" s="140" t="str">
        <f t="shared" si="36"/>
        <v>16REF098</v>
      </c>
      <c r="B433" s="193">
        <v>98</v>
      </c>
      <c r="C433" s="140" t="s">
        <v>39</v>
      </c>
      <c r="D433" s="141" t="s">
        <v>40</v>
      </c>
      <c r="E433" s="124" t="s">
        <v>41</v>
      </c>
      <c r="F433" s="124" t="s">
        <v>860</v>
      </c>
      <c r="G433" s="251" t="s">
        <v>802</v>
      </c>
      <c r="H433" s="34" t="s">
        <v>330</v>
      </c>
      <c r="I433" s="126" t="s">
        <v>971</v>
      </c>
      <c r="J433" s="47" t="s">
        <v>180</v>
      </c>
      <c r="K433" s="126">
        <v>340.78</v>
      </c>
      <c r="L433" s="126" t="s">
        <v>862</v>
      </c>
      <c r="M433" s="104" t="s">
        <v>863</v>
      </c>
      <c r="N433" s="265">
        <v>42501</v>
      </c>
      <c r="O433" s="260">
        <v>42938</v>
      </c>
      <c r="P433" s="106" t="s">
        <v>183</v>
      </c>
      <c r="Q433" s="107" t="s">
        <v>2920</v>
      </c>
      <c r="R433" s="244" t="s">
        <v>1361</v>
      </c>
      <c r="S433" s="37">
        <v>0</v>
      </c>
      <c r="T433" s="36" t="str">
        <f t="shared" ca="1" si="37"/>
        <v>Empty</v>
      </c>
      <c r="U433" s="37"/>
      <c r="V433" s="37"/>
      <c r="W433" s="38"/>
      <c r="X433" s="39"/>
      <c r="Y433" s="39"/>
      <c r="Z433" s="40"/>
      <c r="AA433" s="136" t="str">
        <f t="shared" ca="1" si="34"/>
        <v/>
      </c>
      <c r="AB433" s="40"/>
      <c r="AC433" s="116"/>
      <c r="AD433" s="116"/>
      <c r="AE433" s="40"/>
      <c r="AF433" s="136" t="str">
        <f t="shared" ca="1" si="38"/>
        <v/>
      </c>
      <c r="AG433" s="127"/>
      <c r="AH433" s="127"/>
      <c r="AI433" s="127"/>
      <c r="AJ433" s="128"/>
      <c r="AK433" s="128"/>
      <c r="AL433" s="129"/>
    </row>
    <row r="434" spans="1:38" ht="24.95" customHeight="1" x14ac:dyDescent="0.25">
      <c r="A434" s="142" t="str">
        <f t="shared" si="36"/>
        <v>16SAM099</v>
      </c>
      <c r="B434" s="192">
        <v>99</v>
      </c>
      <c r="C434" s="142" t="s">
        <v>57</v>
      </c>
      <c r="D434" s="143" t="s">
        <v>170</v>
      </c>
      <c r="E434" s="124" t="s">
        <v>846</v>
      </c>
      <c r="F434" s="124" t="s">
        <v>1436</v>
      </c>
      <c r="G434" s="251"/>
      <c r="H434" s="34"/>
      <c r="I434" s="124" t="s">
        <v>1435</v>
      </c>
      <c r="J434" s="47" t="s">
        <v>180</v>
      </c>
      <c r="K434" s="126">
        <v>350.39299999999997</v>
      </c>
      <c r="L434" s="126"/>
      <c r="M434" s="104"/>
      <c r="N434" s="265">
        <v>42507</v>
      </c>
      <c r="O434" s="260">
        <v>42514</v>
      </c>
      <c r="P434" s="106" t="s">
        <v>86</v>
      </c>
      <c r="Q434" s="107" t="s">
        <v>1437</v>
      </c>
      <c r="R434" s="266">
        <v>0.99</v>
      </c>
      <c r="S434" s="37">
        <v>0</v>
      </c>
      <c r="T434" s="36" t="str">
        <f t="shared" ca="1" si="37"/>
        <v>Empty</v>
      </c>
      <c r="U434" s="37" t="s">
        <v>1465</v>
      </c>
      <c r="V434" s="37"/>
      <c r="W434" s="38">
        <v>42514</v>
      </c>
      <c r="X434" s="39" t="s">
        <v>50</v>
      </c>
      <c r="Y434" s="39" t="s">
        <v>1469</v>
      </c>
      <c r="Z434" s="40" t="s">
        <v>212</v>
      </c>
      <c r="AA434" s="136">
        <f t="shared" ca="1" si="34"/>
        <v>850</v>
      </c>
      <c r="AB434" s="40"/>
      <c r="AC434" s="116"/>
      <c r="AD434" s="116"/>
      <c r="AE434" s="40"/>
      <c r="AF434" s="136" t="str">
        <f t="shared" ca="1" si="38"/>
        <v/>
      </c>
      <c r="AG434" s="127"/>
      <c r="AH434" s="127"/>
      <c r="AI434" s="127"/>
      <c r="AJ434" s="128"/>
      <c r="AK434" s="128"/>
      <c r="AL434" s="129"/>
    </row>
    <row r="435" spans="1:38" ht="24.95" customHeight="1" x14ac:dyDescent="0.25">
      <c r="A435" s="142" t="str">
        <f t="shared" ref="A435:A498" si="39">IF(C435="","",CONCATENATE(16,MID(C435,1,3),B435))</f>
        <v>16SAM100</v>
      </c>
      <c r="B435" s="192">
        <v>100</v>
      </c>
      <c r="C435" s="142" t="s">
        <v>57</v>
      </c>
      <c r="D435" s="143" t="s">
        <v>40</v>
      </c>
      <c r="E435" s="124" t="s">
        <v>1440</v>
      </c>
      <c r="F435" s="124" t="s">
        <v>1441</v>
      </c>
      <c r="G435" s="251"/>
      <c r="H435" s="34"/>
      <c r="I435" s="126" t="s">
        <v>1448</v>
      </c>
      <c r="J435" s="47" t="s">
        <v>105</v>
      </c>
      <c r="K435" s="126">
        <v>314.45999999999998</v>
      </c>
      <c r="L435" s="126"/>
      <c r="M435" s="104"/>
      <c r="N435" s="265">
        <v>42509</v>
      </c>
      <c r="O435" s="260">
        <v>42513</v>
      </c>
      <c r="P435" s="106" t="s">
        <v>1455</v>
      </c>
      <c r="Q435" s="107" t="s">
        <v>1457</v>
      </c>
      <c r="R435" s="267">
        <v>0.98199999999999998</v>
      </c>
      <c r="S435" s="37">
        <v>0</v>
      </c>
      <c r="T435" s="36" t="str">
        <f t="shared" ca="1" si="37"/>
        <v>Empty</v>
      </c>
      <c r="U435" s="37" t="s">
        <v>1458</v>
      </c>
      <c r="V435" s="37"/>
      <c r="W435" s="38">
        <v>42513</v>
      </c>
      <c r="X435" s="39" t="s">
        <v>898</v>
      </c>
      <c r="Y435" s="39" t="s">
        <v>1467</v>
      </c>
      <c r="Z435" s="40" t="s">
        <v>212</v>
      </c>
      <c r="AA435" s="136">
        <f t="shared" ca="1" si="34"/>
        <v>851</v>
      </c>
      <c r="AB435" s="40"/>
      <c r="AC435" s="116"/>
      <c r="AD435" s="116"/>
      <c r="AE435" s="40"/>
      <c r="AF435" s="136" t="str">
        <f t="shared" ca="1" si="38"/>
        <v/>
      </c>
      <c r="AG435" s="127"/>
      <c r="AH435" s="127"/>
      <c r="AI435" s="127"/>
      <c r="AJ435" s="128"/>
      <c r="AK435" s="128"/>
      <c r="AL435" s="129"/>
    </row>
    <row r="436" spans="1:38" ht="24.95" customHeight="1" x14ac:dyDescent="0.25">
      <c r="A436" s="142" t="str">
        <f t="shared" si="39"/>
        <v>16SAM101</v>
      </c>
      <c r="B436" s="192">
        <v>101</v>
      </c>
      <c r="C436" s="142" t="s">
        <v>57</v>
      </c>
      <c r="D436" s="143" t="s">
        <v>40</v>
      </c>
      <c r="E436" s="124" t="s">
        <v>1440</v>
      </c>
      <c r="F436" s="124" t="s">
        <v>1442</v>
      </c>
      <c r="G436" s="251"/>
      <c r="H436" s="34"/>
      <c r="I436" s="126" t="s">
        <v>1449</v>
      </c>
      <c r="J436" s="47" t="s">
        <v>105</v>
      </c>
      <c r="K436" s="126">
        <v>358.48</v>
      </c>
      <c r="L436" s="126"/>
      <c r="M436" s="104"/>
      <c r="N436" s="265">
        <v>42509</v>
      </c>
      <c r="O436" s="260">
        <v>42513</v>
      </c>
      <c r="P436" s="106" t="s">
        <v>139</v>
      </c>
      <c r="Q436" s="107" t="s">
        <v>1457</v>
      </c>
      <c r="R436" s="267">
        <v>0.96799999999999997</v>
      </c>
      <c r="S436" s="37">
        <v>0</v>
      </c>
      <c r="T436" s="36" t="str">
        <f t="shared" ca="1" si="37"/>
        <v>Empty</v>
      </c>
      <c r="U436" s="37" t="s">
        <v>1458</v>
      </c>
      <c r="V436" s="37"/>
      <c r="W436" s="38">
        <v>42513</v>
      </c>
      <c r="X436" s="39" t="s">
        <v>898</v>
      </c>
      <c r="Y436" s="39" t="s">
        <v>1467</v>
      </c>
      <c r="Z436" s="40" t="s">
        <v>212</v>
      </c>
      <c r="AA436" s="136">
        <f t="shared" ca="1" si="34"/>
        <v>851</v>
      </c>
      <c r="AB436" s="40"/>
      <c r="AC436" s="116"/>
      <c r="AD436" s="116"/>
      <c r="AE436" s="40"/>
      <c r="AF436" s="136" t="str">
        <f t="shared" ca="1" si="38"/>
        <v/>
      </c>
      <c r="AG436" s="127"/>
      <c r="AH436" s="127"/>
      <c r="AI436" s="127"/>
      <c r="AJ436" s="128"/>
      <c r="AK436" s="128"/>
      <c r="AL436" s="129"/>
    </row>
    <row r="437" spans="1:38" ht="24.95" customHeight="1" x14ac:dyDescent="0.25">
      <c r="A437" s="142" t="str">
        <f t="shared" si="39"/>
        <v>16SAM102</v>
      </c>
      <c r="B437" s="192">
        <v>102</v>
      </c>
      <c r="C437" s="142" t="s">
        <v>57</v>
      </c>
      <c r="D437" s="143" t="s">
        <v>40</v>
      </c>
      <c r="E437" s="124" t="s">
        <v>1440</v>
      </c>
      <c r="F437" s="124" t="s">
        <v>1443</v>
      </c>
      <c r="G437" s="251"/>
      <c r="H437" s="34"/>
      <c r="I437" s="126" t="s">
        <v>1450</v>
      </c>
      <c r="J437" s="47" t="s">
        <v>105</v>
      </c>
      <c r="K437" s="126">
        <v>286.2</v>
      </c>
      <c r="L437" s="126"/>
      <c r="M437" s="104"/>
      <c r="N437" s="265">
        <v>42509</v>
      </c>
      <c r="O437" s="260">
        <v>42513</v>
      </c>
      <c r="P437" s="106" t="s">
        <v>1456</v>
      </c>
      <c r="Q437" s="107" t="s">
        <v>1457</v>
      </c>
      <c r="R437" s="267">
        <v>0.98899999999999999</v>
      </c>
      <c r="S437" s="37">
        <v>0</v>
      </c>
      <c r="T437" s="36" t="str">
        <f t="shared" ca="1" si="37"/>
        <v>Empty</v>
      </c>
      <c r="U437" s="37" t="s">
        <v>1458</v>
      </c>
      <c r="V437" s="37"/>
      <c r="W437" s="38">
        <v>42513</v>
      </c>
      <c r="X437" s="39" t="s">
        <v>898</v>
      </c>
      <c r="Y437" s="39" t="s">
        <v>1467</v>
      </c>
      <c r="Z437" s="40" t="s">
        <v>212</v>
      </c>
      <c r="AA437" s="136">
        <f ca="1">IF(W437="","",IF(W437,DAYS360(W437,TODAY())))</f>
        <v>851</v>
      </c>
      <c r="AB437" s="40"/>
      <c r="AC437" s="116"/>
      <c r="AD437" s="116"/>
      <c r="AE437" s="40"/>
      <c r="AF437" s="136" t="str">
        <f t="shared" ca="1" si="38"/>
        <v/>
      </c>
      <c r="AG437" s="127"/>
      <c r="AH437" s="127"/>
      <c r="AI437" s="127"/>
      <c r="AJ437" s="128"/>
      <c r="AK437" s="128"/>
      <c r="AL437" s="129"/>
    </row>
    <row r="438" spans="1:38" ht="24.95" customHeight="1" x14ac:dyDescent="0.25">
      <c r="A438" s="142" t="str">
        <f t="shared" si="39"/>
        <v>16SAM103</v>
      </c>
      <c r="B438" s="192">
        <v>103</v>
      </c>
      <c r="C438" s="142" t="s">
        <v>57</v>
      </c>
      <c r="D438" s="143" t="s">
        <v>40</v>
      </c>
      <c r="E438" s="124" t="s">
        <v>1440</v>
      </c>
      <c r="F438" s="124" t="s">
        <v>1444</v>
      </c>
      <c r="G438" s="251"/>
      <c r="H438" s="34"/>
      <c r="I438" s="126" t="s">
        <v>1451</v>
      </c>
      <c r="J438" s="47" t="s">
        <v>105</v>
      </c>
      <c r="K438" s="126">
        <v>330.47</v>
      </c>
      <c r="L438" s="126"/>
      <c r="M438" s="104"/>
      <c r="N438" s="265">
        <v>42509</v>
      </c>
      <c r="O438" s="260">
        <v>42513</v>
      </c>
      <c r="P438" s="106" t="s">
        <v>139</v>
      </c>
      <c r="Q438" s="107" t="s">
        <v>1457</v>
      </c>
      <c r="R438" s="267">
        <v>0.879</v>
      </c>
      <c r="S438" s="37">
        <v>0</v>
      </c>
      <c r="T438" s="36" t="str">
        <f t="shared" ca="1" si="37"/>
        <v>Empty</v>
      </c>
      <c r="U438" s="37" t="s">
        <v>1458</v>
      </c>
      <c r="V438" s="37"/>
      <c r="W438" s="38">
        <v>42513</v>
      </c>
      <c r="X438" s="39" t="s">
        <v>898</v>
      </c>
      <c r="Y438" s="39" t="s">
        <v>1467</v>
      </c>
      <c r="Z438" s="40" t="s">
        <v>212</v>
      </c>
      <c r="AA438" s="136">
        <f ca="1">IF(W438="","",IF(W438,DAYS360(W438,TODAY())))</f>
        <v>851</v>
      </c>
      <c r="AB438" s="40"/>
      <c r="AC438" s="116"/>
      <c r="AD438" s="116"/>
      <c r="AE438" s="40"/>
      <c r="AF438" s="136" t="str">
        <f t="shared" ca="1" si="38"/>
        <v/>
      </c>
      <c r="AG438" s="127"/>
      <c r="AH438" s="127"/>
      <c r="AI438" s="127"/>
      <c r="AJ438" s="128"/>
      <c r="AK438" s="128"/>
      <c r="AL438" s="129"/>
    </row>
    <row r="439" spans="1:38" ht="24.95" customHeight="1" x14ac:dyDescent="0.25">
      <c r="A439" s="142" t="str">
        <f t="shared" si="39"/>
        <v>16SAM104</v>
      </c>
      <c r="B439" s="192">
        <v>104</v>
      </c>
      <c r="C439" s="142" t="s">
        <v>57</v>
      </c>
      <c r="D439" s="143" t="s">
        <v>40</v>
      </c>
      <c r="E439" s="124" t="s">
        <v>1440</v>
      </c>
      <c r="F439" s="124" t="s">
        <v>1445</v>
      </c>
      <c r="G439" s="251"/>
      <c r="H439" s="34"/>
      <c r="I439" s="126" t="s">
        <v>1452</v>
      </c>
      <c r="J439" s="47" t="s">
        <v>105</v>
      </c>
      <c r="K439" s="126">
        <v>344.44</v>
      </c>
      <c r="L439" s="126"/>
      <c r="M439" s="104"/>
      <c r="N439" s="265">
        <v>42509</v>
      </c>
      <c r="O439" s="260">
        <v>42513</v>
      </c>
      <c r="P439" s="106" t="s">
        <v>139</v>
      </c>
      <c r="Q439" s="107" t="s">
        <v>1457</v>
      </c>
      <c r="R439" s="267">
        <v>0.99099999999999999</v>
      </c>
      <c r="S439" s="37">
        <v>0</v>
      </c>
      <c r="T439" s="36" t="str">
        <f t="shared" ca="1" si="37"/>
        <v>Empty</v>
      </c>
      <c r="U439" s="37" t="s">
        <v>1458</v>
      </c>
      <c r="V439" s="37"/>
      <c r="W439" s="38">
        <v>42513</v>
      </c>
      <c r="X439" s="39" t="s">
        <v>898</v>
      </c>
      <c r="Y439" s="39" t="s">
        <v>1467</v>
      </c>
      <c r="Z439" s="40" t="s">
        <v>212</v>
      </c>
      <c r="AA439" s="136">
        <f ca="1">IF(W439="","",IF(W439,DAYS360(W439,TODAY())))</f>
        <v>851</v>
      </c>
      <c r="AB439" s="40"/>
      <c r="AC439" s="116"/>
      <c r="AD439" s="116"/>
      <c r="AE439" s="40"/>
      <c r="AF439" s="136" t="str">
        <f t="shared" ca="1" si="38"/>
        <v/>
      </c>
      <c r="AG439" s="127"/>
      <c r="AH439" s="127"/>
      <c r="AI439" s="127"/>
      <c r="AJ439" s="128"/>
      <c r="AK439" s="128"/>
      <c r="AL439" s="129"/>
    </row>
    <row r="440" spans="1:38" ht="24.95" customHeight="1" x14ac:dyDescent="0.25">
      <c r="A440" s="142" t="str">
        <f t="shared" si="39"/>
        <v>16SAM105</v>
      </c>
      <c r="B440" s="192">
        <v>105</v>
      </c>
      <c r="C440" s="142" t="s">
        <v>57</v>
      </c>
      <c r="D440" s="143" t="s">
        <v>40</v>
      </c>
      <c r="E440" s="124" t="s">
        <v>1440</v>
      </c>
      <c r="F440" s="124" t="s">
        <v>1446</v>
      </c>
      <c r="G440" s="251"/>
      <c r="H440" s="34"/>
      <c r="I440" s="126" t="s">
        <v>1453</v>
      </c>
      <c r="J440" s="47" t="s">
        <v>105</v>
      </c>
      <c r="K440" s="126">
        <v>302.2</v>
      </c>
      <c r="L440" s="126"/>
      <c r="M440" s="104"/>
      <c r="N440" s="265">
        <v>42509</v>
      </c>
      <c r="O440" s="260">
        <v>42513</v>
      </c>
      <c r="P440" s="106" t="s">
        <v>1456</v>
      </c>
      <c r="Q440" s="107" t="s">
        <v>1457</v>
      </c>
      <c r="R440" s="267">
        <v>0.96599999999999997</v>
      </c>
      <c r="S440" s="37">
        <v>0</v>
      </c>
      <c r="T440" s="36" t="str">
        <f t="shared" ca="1" si="37"/>
        <v>Empty</v>
      </c>
      <c r="U440" s="37" t="s">
        <v>1458</v>
      </c>
      <c r="V440" s="37"/>
      <c r="W440" s="38">
        <v>42513</v>
      </c>
      <c r="X440" s="39" t="s">
        <v>898</v>
      </c>
      <c r="Y440" s="39" t="s">
        <v>1467</v>
      </c>
      <c r="Z440" s="40" t="s">
        <v>212</v>
      </c>
      <c r="AA440" s="136">
        <f ca="1">IF(W440="","",IF(W440,DAYS360(W440,TODAY())))</f>
        <v>851</v>
      </c>
      <c r="AB440" s="40"/>
      <c r="AC440" s="116"/>
      <c r="AD440" s="116"/>
      <c r="AE440" s="40"/>
      <c r="AF440" s="136" t="str">
        <f t="shared" ca="1" si="38"/>
        <v/>
      </c>
      <c r="AG440" s="127"/>
      <c r="AH440" s="127"/>
      <c r="AI440" s="127"/>
      <c r="AJ440" s="128"/>
      <c r="AK440" s="128"/>
      <c r="AL440" s="129"/>
    </row>
    <row r="441" spans="1:38" ht="24.95" customHeight="1" x14ac:dyDescent="0.25">
      <c r="A441" s="142" t="str">
        <f t="shared" si="39"/>
        <v>16SAM106</v>
      </c>
      <c r="B441" s="192">
        <v>106</v>
      </c>
      <c r="C441" s="142" t="s">
        <v>57</v>
      </c>
      <c r="D441" s="143" t="s">
        <v>40</v>
      </c>
      <c r="E441" s="124" t="s">
        <v>1440</v>
      </c>
      <c r="F441" s="124" t="s">
        <v>1447</v>
      </c>
      <c r="G441" s="251"/>
      <c r="H441" s="34"/>
      <c r="I441" s="126" t="s">
        <v>1454</v>
      </c>
      <c r="J441" s="47" t="s">
        <v>105</v>
      </c>
      <c r="K441" s="126">
        <v>316.39</v>
      </c>
      <c r="L441" s="126"/>
      <c r="M441" s="104"/>
      <c r="N441" s="265">
        <v>42509</v>
      </c>
      <c r="O441" s="260">
        <v>42513</v>
      </c>
      <c r="P441" s="106" t="s">
        <v>422</v>
      </c>
      <c r="Q441" s="107" t="s">
        <v>1457</v>
      </c>
      <c r="R441" s="267">
        <v>0.97199999999999998</v>
      </c>
      <c r="S441" s="37">
        <v>0</v>
      </c>
      <c r="T441" s="36" t="str">
        <f t="shared" ca="1" si="37"/>
        <v>Empty</v>
      </c>
      <c r="U441" s="37" t="s">
        <v>1458</v>
      </c>
      <c r="V441" s="37"/>
      <c r="W441" s="38">
        <v>42513</v>
      </c>
      <c r="X441" s="39" t="s">
        <v>898</v>
      </c>
      <c r="Y441" s="39" t="s">
        <v>1467</v>
      </c>
      <c r="Z441" s="40" t="s">
        <v>212</v>
      </c>
      <c r="AA441" s="136">
        <f ca="1">IF(W441="","",IF(W441,DAYS360(W441,TODAY())))</f>
        <v>851</v>
      </c>
      <c r="AB441" s="40"/>
      <c r="AC441" s="116"/>
      <c r="AD441" s="116"/>
      <c r="AE441" s="40"/>
      <c r="AF441" s="136" t="str">
        <f t="shared" ca="1" si="38"/>
        <v/>
      </c>
      <c r="AG441" s="127"/>
      <c r="AH441" s="127"/>
      <c r="AI441" s="127"/>
      <c r="AJ441" s="128"/>
      <c r="AK441" s="128"/>
      <c r="AL441" s="129"/>
    </row>
    <row r="442" spans="1:38" ht="24.95" customHeight="1" x14ac:dyDescent="0.25">
      <c r="A442" s="142" t="str">
        <f t="shared" si="39"/>
        <v>16SAM107</v>
      </c>
      <c r="B442" s="192">
        <v>107</v>
      </c>
      <c r="C442" s="142" t="s">
        <v>57</v>
      </c>
      <c r="D442" s="143" t="s">
        <v>40</v>
      </c>
      <c r="E442" s="124" t="s">
        <v>1041</v>
      </c>
      <c r="F442" s="124" t="s">
        <v>1310</v>
      </c>
      <c r="G442" s="251" t="s">
        <v>1459</v>
      </c>
      <c r="H442" s="34"/>
      <c r="I442" s="126">
        <v>5</v>
      </c>
      <c r="J442" s="47" t="s">
        <v>45</v>
      </c>
      <c r="K442" s="126">
        <v>404</v>
      </c>
      <c r="L442" s="126"/>
      <c r="M442" s="104"/>
      <c r="N442" s="265">
        <v>42510</v>
      </c>
      <c r="O442" s="260"/>
      <c r="P442" s="106" t="s">
        <v>1460</v>
      </c>
      <c r="Q442" s="107" t="s">
        <v>1457</v>
      </c>
      <c r="R442" s="244"/>
      <c r="S442" s="37"/>
      <c r="T442" s="36" t="str">
        <f t="shared" ca="1" si="37"/>
        <v/>
      </c>
      <c r="U442" s="37"/>
      <c r="V442" s="37"/>
      <c r="W442" s="38"/>
      <c r="X442" s="39"/>
      <c r="Y442" s="39"/>
      <c r="Z442" s="40"/>
      <c r="AA442" s="136" t="str">
        <f t="shared" ca="1" si="34"/>
        <v/>
      </c>
      <c r="AB442" s="40"/>
      <c r="AC442" s="116"/>
      <c r="AD442" s="116"/>
      <c r="AE442" s="40"/>
      <c r="AF442" s="136" t="str">
        <f t="shared" ca="1" si="38"/>
        <v/>
      </c>
      <c r="AG442" s="127"/>
      <c r="AH442" s="127"/>
      <c r="AI442" s="127"/>
      <c r="AJ442" s="128"/>
      <c r="AK442" s="128"/>
      <c r="AL442" s="129"/>
    </row>
    <row r="443" spans="1:38" ht="24.95" customHeight="1" x14ac:dyDescent="0.25">
      <c r="A443" s="140" t="str">
        <f t="shared" si="39"/>
        <v>16REF108</v>
      </c>
      <c r="B443" s="193">
        <v>108</v>
      </c>
      <c r="C443" s="140" t="s">
        <v>39</v>
      </c>
      <c r="D443" s="141" t="s">
        <v>40</v>
      </c>
      <c r="E443" s="124" t="s">
        <v>41</v>
      </c>
      <c r="F443" s="188" t="s">
        <v>1568</v>
      </c>
      <c r="G443" s="251"/>
      <c r="H443" s="34" t="s">
        <v>43</v>
      </c>
      <c r="I443" s="126" t="s">
        <v>909</v>
      </c>
      <c r="J443" s="47" t="s">
        <v>180</v>
      </c>
      <c r="K443" s="126">
        <v>274.19</v>
      </c>
      <c r="L443" s="126" t="s">
        <v>566</v>
      </c>
      <c r="M443" s="104" t="s">
        <v>567</v>
      </c>
      <c r="N443" s="265">
        <v>42514</v>
      </c>
      <c r="O443" s="260"/>
      <c r="P443" s="106" t="s">
        <v>160</v>
      </c>
      <c r="Q443" s="107"/>
      <c r="R443" s="244"/>
      <c r="S443" s="37"/>
      <c r="T443" s="36" t="str">
        <f t="shared" ca="1" si="37"/>
        <v/>
      </c>
      <c r="U443" s="37"/>
      <c r="V443" s="37"/>
      <c r="W443" s="38"/>
      <c r="X443" s="39"/>
      <c r="Y443" s="39"/>
      <c r="Z443" s="40"/>
      <c r="AA443" s="136" t="str">
        <f t="shared" ca="1" si="34"/>
        <v/>
      </c>
      <c r="AB443" s="40"/>
      <c r="AC443" s="116"/>
      <c r="AD443" s="116"/>
      <c r="AE443" s="40"/>
      <c r="AF443" s="136" t="str">
        <f t="shared" ca="1" si="38"/>
        <v/>
      </c>
      <c r="AG443" s="127"/>
      <c r="AH443" s="127"/>
      <c r="AI443" s="127"/>
      <c r="AJ443" s="128"/>
      <c r="AK443" s="128"/>
      <c r="AL443" s="129"/>
    </row>
    <row r="444" spans="1:38" ht="24.95" customHeight="1" x14ac:dyDescent="0.25">
      <c r="A444" s="142" t="str">
        <f t="shared" si="39"/>
        <v>16SAM109</v>
      </c>
      <c r="B444" s="192">
        <v>109</v>
      </c>
      <c r="C444" s="142" t="s">
        <v>57</v>
      </c>
      <c r="D444" s="143" t="s">
        <v>170</v>
      </c>
      <c r="E444" s="124" t="s">
        <v>230</v>
      </c>
      <c r="F444" s="124" t="s">
        <v>1471</v>
      </c>
      <c r="G444" s="251"/>
      <c r="H444" s="34" t="s">
        <v>43</v>
      </c>
      <c r="I444" s="126" t="s">
        <v>1472</v>
      </c>
      <c r="J444" s="34" t="s">
        <v>45</v>
      </c>
      <c r="K444" s="126">
        <v>170.48</v>
      </c>
      <c r="L444" s="126" t="s">
        <v>1473</v>
      </c>
      <c r="M444" s="104" t="s">
        <v>1474</v>
      </c>
      <c r="N444" s="265">
        <v>42521</v>
      </c>
      <c r="O444" s="260">
        <v>42528</v>
      </c>
      <c r="P444" s="106" t="s">
        <v>1295</v>
      </c>
      <c r="Q444" s="107" t="s">
        <v>49</v>
      </c>
      <c r="R444" s="267">
        <v>0.996</v>
      </c>
      <c r="S444" s="37">
        <f xml:space="preserve"> 100000-24.3</f>
        <v>99975.7</v>
      </c>
      <c r="T444" s="36">
        <f t="shared" ca="1" si="37"/>
        <v>837</v>
      </c>
      <c r="U444" s="37" t="s">
        <v>1475</v>
      </c>
      <c r="V444" s="37"/>
      <c r="W444" s="38">
        <v>42528</v>
      </c>
      <c r="X444" s="39" t="s">
        <v>248</v>
      </c>
      <c r="Y444" s="39" t="s">
        <v>1485</v>
      </c>
      <c r="Z444" s="40" t="s">
        <v>49</v>
      </c>
      <c r="AA444" s="136">
        <f t="shared" ca="1" si="34"/>
        <v>837</v>
      </c>
      <c r="AB444" s="40"/>
      <c r="AC444" s="116"/>
      <c r="AD444" s="116"/>
      <c r="AE444" s="40"/>
      <c r="AF444" s="136" t="str">
        <f t="shared" ca="1" si="38"/>
        <v/>
      </c>
      <c r="AG444" s="127"/>
      <c r="AH444" s="127"/>
      <c r="AI444" s="127"/>
      <c r="AJ444" s="128"/>
      <c r="AK444" s="128"/>
      <c r="AL444" s="129"/>
    </row>
    <row r="445" spans="1:38" ht="24.95" customHeight="1" x14ac:dyDescent="0.25">
      <c r="A445" s="140" t="str">
        <f t="shared" si="39"/>
        <v>16REF110</v>
      </c>
      <c r="B445" s="193">
        <v>110</v>
      </c>
      <c r="C445" s="140" t="s">
        <v>39</v>
      </c>
      <c r="D445" s="141" t="s">
        <v>40</v>
      </c>
      <c r="E445" s="124" t="s">
        <v>41</v>
      </c>
      <c r="F445" s="124" t="s">
        <v>1476</v>
      </c>
      <c r="G445" s="251"/>
      <c r="H445" s="34" t="s">
        <v>43</v>
      </c>
      <c r="I445" s="126" t="s">
        <v>1477</v>
      </c>
      <c r="J445" s="34" t="s">
        <v>180</v>
      </c>
      <c r="K445" s="126">
        <v>305.41000000000003</v>
      </c>
      <c r="L445" s="126" t="s">
        <v>1478</v>
      </c>
      <c r="M445" s="104" t="s">
        <v>1479</v>
      </c>
      <c r="N445" s="265">
        <v>42521</v>
      </c>
      <c r="O445" s="260">
        <v>42528</v>
      </c>
      <c r="P445" s="106" t="s">
        <v>183</v>
      </c>
      <c r="Q445" s="107" t="s">
        <v>1480</v>
      </c>
      <c r="R445" s="266">
        <v>0.97</v>
      </c>
      <c r="S445" s="37">
        <f>50-11.5-10.75-1.3</f>
        <v>26.45</v>
      </c>
      <c r="T445" s="36">
        <f t="shared" ca="1" si="37"/>
        <v>837</v>
      </c>
      <c r="U445" s="37" t="s">
        <v>1509</v>
      </c>
      <c r="V445" s="37"/>
      <c r="W445" s="38">
        <v>42902</v>
      </c>
      <c r="X445" s="39" t="s">
        <v>2087</v>
      </c>
      <c r="Y445" s="39" t="s">
        <v>2311</v>
      </c>
      <c r="Z445" s="40" t="s">
        <v>212</v>
      </c>
      <c r="AA445" s="136">
        <f t="shared" ref="AA445:AA507" ca="1" si="40">IF(W445="","",IF(W445,DAYS360(W445,TODAY())))</f>
        <v>468</v>
      </c>
      <c r="AB445" s="40"/>
      <c r="AC445" s="116"/>
      <c r="AD445" s="116"/>
      <c r="AE445" s="40"/>
      <c r="AF445" s="136" t="str">
        <f t="shared" ca="1" si="38"/>
        <v/>
      </c>
      <c r="AG445" s="127"/>
      <c r="AH445" s="127"/>
      <c r="AI445" s="127"/>
      <c r="AJ445" s="128"/>
      <c r="AK445" s="128"/>
      <c r="AL445" s="129"/>
    </row>
    <row r="446" spans="1:38" ht="24.95" customHeight="1" x14ac:dyDescent="0.25">
      <c r="A446" s="142" t="str">
        <f t="shared" si="39"/>
        <v>16SAM111</v>
      </c>
      <c r="B446" s="192">
        <v>111</v>
      </c>
      <c r="C446" s="142" t="s">
        <v>57</v>
      </c>
      <c r="D446" s="143" t="s">
        <v>40</v>
      </c>
      <c r="E446" s="124" t="s">
        <v>739</v>
      </c>
      <c r="F446" s="124" t="s">
        <v>1049</v>
      </c>
      <c r="G446" s="251" t="s">
        <v>1050</v>
      </c>
      <c r="H446" s="34" t="s">
        <v>112</v>
      </c>
      <c r="I446" s="126" t="s">
        <v>1051</v>
      </c>
      <c r="J446" s="34" t="s">
        <v>45</v>
      </c>
      <c r="K446" s="126">
        <v>468.89</v>
      </c>
      <c r="L446" s="126">
        <v>1999</v>
      </c>
      <c r="M446" s="104" t="s">
        <v>1481</v>
      </c>
      <c r="N446" s="265">
        <v>42522</v>
      </c>
      <c r="O446" s="260">
        <v>42522</v>
      </c>
      <c r="P446" s="106" t="s">
        <v>183</v>
      </c>
      <c r="Q446" s="107" t="s">
        <v>1482</v>
      </c>
      <c r="R446" s="266">
        <v>1</v>
      </c>
      <c r="S446" s="37">
        <v>0</v>
      </c>
      <c r="T446" s="36" t="str">
        <f t="shared" ca="1" si="37"/>
        <v>Empty</v>
      </c>
      <c r="U446" s="37" t="s">
        <v>1470</v>
      </c>
      <c r="V446" s="37"/>
      <c r="W446" s="38">
        <v>42522</v>
      </c>
      <c r="X446" s="39" t="s">
        <v>248</v>
      </c>
      <c r="Y446" s="39" t="s">
        <v>1483</v>
      </c>
      <c r="Z446" s="40" t="s">
        <v>49</v>
      </c>
      <c r="AA446" s="136">
        <f t="shared" ca="1" si="40"/>
        <v>843</v>
      </c>
      <c r="AB446" s="40"/>
      <c r="AC446" s="116"/>
      <c r="AD446" s="116"/>
      <c r="AE446" s="40"/>
      <c r="AF446" s="136" t="str">
        <f t="shared" ca="1" si="38"/>
        <v/>
      </c>
      <c r="AG446" s="127"/>
      <c r="AH446" s="127"/>
      <c r="AI446" s="127"/>
      <c r="AJ446" s="128"/>
      <c r="AK446" s="128"/>
      <c r="AL446" s="129"/>
    </row>
    <row r="447" spans="1:38" ht="24.95" customHeight="1" x14ac:dyDescent="0.25">
      <c r="A447" s="142" t="str">
        <f t="shared" si="39"/>
        <v>16SAM112</v>
      </c>
      <c r="B447" s="192">
        <v>112</v>
      </c>
      <c r="C447" s="142" t="s">
        <v>57</v>
      </c>
      <c r="D447" s="143" t="s">
        <v>40</v>
      </c>
      <c r="E447" s="124" t="s">
        <v>915</v>
      </c>
      <c r="F447" s="124" t="s">
        <v>1486</v>
      </c>
      <c r="G447" s="251" t="s">
        <v>1490</v>
      </c>
      <c r="H447" s="34" t="s">
        <v>112</v>
      </c>
      <c r="I447" s="126" t="s">
        <v>1487</v>
      </c>
      <c r="J447" s="47" t="s">
        <v>105</v>
      </c>
      <c r="K447" s="126">
        <v>201.18</v>
      </c>
      <c r="L447" s="126">
        <v>805</v>
      </c>
      <c r="M447" s="104" t="s">
        <v>1488</v>
      </c>
      <c r="N447" s="265">
        <v>42524</v>
      </c>
      <c r="O447" s="260">
        <v>42524</v>
      </c>
      <c r="P447" s="106" t="s">
        <v>86</v>
      </c>
      <c r="Q447" s="107" t="s">
        <v>1491</v>
      </c>
      <c r="R447" s="244" t="s">
        <v>1492</v>
      </c>
      <c r="S447" s="37">
        <v>0</v>
      </c>
      <c r="T447" s="36" t="str">
        <f t="shared" ca="1" si="37"/>
        <v>Empty</v>
      </c>
      <c r="U447" s="37" t="s">
        <v>1503</v>
      </c>
      <c r="V447" s="37"/>
      <c r="W447" s="38"/>
      <c r="X447" s="39"/>
      <c r="Y447" s="39"/>
      <c r="Z447" s="40"/>
      <c r="AA447" s="136" t="str">
        <f t="shared" ca="1" si="40"/>
        <v/>
      </c>
      <c r="AB447" s="40"/>
      <c r="AC447" s="116"/>
      <c r="AD447" s="116"/>
      <c r="AE447" s="40"/>
      <c r="AF447" s="136" t="str">
        <f t="shared" ca="1" si="38"/>
        <v/>
      </c>
      <c r="AG447" s="127"/>
      <c r="AH447" s="127"/>
      <c r="AI447" s="127"/>
      <c r="AJ447" s="128"/>
      <c r="AK447" s="128"/>
      <c r="AL447" s="129"/>
    </row>
    <row r="448" spans="1:38" ht="24.95" customHeight="1" x14ac:dyDescent="0.25">
      <c r="A448" s="142" t="str">
        <f t="shared" si="39"/>
        <v>16SAM113</v>
      </c>
      <c r="B448" s="192">
        <v>113</v>
      </c>
      <c r="C448" s="142" t="s">
        <v>57</v>
      </c>
      <c r="D448" s="143" t="s">
        <v>40</v>
      </c>
      <c r="E448" s="124" t="s">
        <v>915</v>
      </c>
      <c r="F448" s="124" t="s">
        <v>1486</v>
      </c>
      <c r="G448" s="251" t="s">
        <v>1490</v>
      </c>
      <c r="H448" s="34" t="s">
        <v>112</v>
      </c>
      <c r="I448" s="126" t="s">
        <v>1487</v>
      </c>
      <c r="J448" s="47" t="s">
        <v>105</v>
      </c>
      <c r="K448" s="126">
        <v>201.18</v>
      </c>
      <c r="L448" s="126">
        <v>805</v>
      </c>
      <c r="M448" s="104" t="s">
        <v>1488</v>
      </c>
      <c r="N448" s="265">
        <v>42524</v>
      </c>
      <c r="O448" s="260">
        <v>42524</v>
      </c>
      <c r="P448" s="106" t="s">
        <v>86</v>
      </c>
      <c r="Q448" s="107" t="s">
        <v>1491</v>
      </c>
      <c r="R448" s="244" t="s">
        <v>1492</v>
      </c>
      <c r="S448" s="37">
        <v>0</v>
      </c>
      <c r="T448" s="36" t="str">
        <f t="shared" ca="1" si="37"/>
        <v>Empty</v>
      </c>
      <c r="U448" s="37" t="s">
        <v>1503</v>
      </c>
      <c r="V448" s="37"/>
      <c r="W448" s="38"/>
      <c r="X448" s="39"/>
      <c r="Y448" s="39"/>
      <c r="Z448" s="40"/>
      <c r="AA448" s="136" t="str">
        <f t="shared" ca="1" si="40"/>
        <v/>
      </c>
      <c r="AB448" s="40"/>
      <c r="AC448" s="116"/>
      <c r="AD448" s="116"/>
      <c r="AE448" s="40"/>
      <c r="AF448" s="136" t="str">
        <f t="shared" ca="1" si="38"/>
        <v/>
      </c>
      <c r="AG448" s="127"/>
      <c r="AH448" s="127"/>
      <c r="AI448" s="127"/>
      <c r="AJ448" s="128"/>
      <c r="AK448" s="128"/>
      <c r="AL448" s="129"/>
    </row>
    <row r="449" spans="1:38" ht="24.95" customHeight="1" x14ac:dyDescent="0.25">
      <c r="A449" s="142" t="str">
        <f t="shared" si="39"/>
        <v>16SAM114</v>
      </c>
      <c r="B449" s="192">
        <v>114</v>
      </c>
      <c r="C449" s="142" t="s">
        <v>57</v>
      </c>
      <c r="D449" s="143" t="s">
        <v>40</v>
      </c>
      <c r="E449" s="124" t="s">
        <v>915</v>
      </c>
      <c r="F449" s="124" t="s">
        <v>1486</v>
      </c>
      <c r="G449" s="251" t="s">
        <v>1490</v>
      </c>
      <c r="H449" s="34" t="s">
        <v>112</v>
      </c>
      <c r="I449" s="126" t="s">
        <v>1489</v>
      </c>
      <c r="J449" s="47" t="s">
        <v>105</v>
      </c>
      <c r="K449" s="126">
        <v>201.18</v>
      </c>
      <c r="L449" s="126">
        <v>805</v>
      </c>
      <c r="M449" s="104" t="s">
        <v>1488</v>
      </c>
      <c r="N449" s="265">
        <v>42524</v>
      </c>
      <c r="O449" s="260">
        <v>42530</v>
      </c>
      <c r="P449" s="106" t="s">
        <v>86</v>
      </c>
      <c r="Q449" s="107" t="s">
        <v>1491</v>
      </c>
      <c r="R449" s="244" t="s">
        <v>1494</v>
      </c>
      <c r="S449" s="37">
        <v>0</v>
      </c>
      <c r="T449" s="36" t="str">
        <f t="shared" ca="1" si="37"/>
        <v>Empty</v>
      </c>
      <c r="U449" s="37" t="s">
        <v>1503</v>
      </c>
      <c r="V449" s="37"/>
      <c r="W449" s="38"/>
      <c r="X449" s="39"/>
      <c r="Y449" s="39"/>
      <c r="Z449" s="40"/>
      <c r="AA449" s="136" t="str">
        <f t="shared" ca="1" si="40"/>
        <v/>
      </c>
      <c r="AB449" s="40"/>
      <c r="AC449" s="116"/>
      <c r="AD449" s="116"/>
      <c r="AE449" s="40"/>
      <c r="AF449" s="136" t="str">
        <f t="shared" ca="1" si="38"/>
        <v/>
      </c>
      <c r="AG449" s="127"/>
      <c r="AH449" s="127"/>
      <c r="AI449" s="127"/>
      <c r="AJ449" s="128"/>
      <c r="AK449" s="128"/>
      <c r="AL449" s="129"/>
    </row>
    <row r="450" spans="1:38" ht="24.95" customHeight="1" x14ac:dyDescent="0.25">
      <c r="A450" s="142" t="str">
        <f t="shared" si="39"/>
        <v>16SAM115</v>
      </c>
      <c r="B450" s="192">
        <v>115</v>
      </c>
      <c r="C450" s="142" t="s">
        <v>57</v>
      </c>
      <c r="D450" s="143" t="s">
        <v>40</v>
      </c>
      <c r="E450" s="124" t="s">
        <v>915</v>
      </c>
      <c r="F450" s="124" t="s">
        <v>1486</v>
      </c>
      <c r="G450" s="251" t="s">
        <v>1490</v>
      </c>
      <c r="H450" s="34" t="s">
        <v>112</v>
      </c>
      <c r="I450" s="126" t="s">
        <v>1489</v>
      </c>
      <c r="J450" s="47" t="s">
        <v>105</v>
      </c>
      <c r="K450" s="126">
        <v>201.18</v>
      </c>
      <c r="L450" s="126">
        <v>805</v>
      </c>
      <c r="M450" s="104" t="s">
        <v>1488</v>
      </c>
      <c r="N450" s="265">
        <v>42524</v>
      </c>
      <c r="O450" s="260">
        <v>42530</v>
      </c>
      <c r="P450" s="106" t="s">
        <v>86</v>
      </c>
      <c r="Q450" s="107" t="s">
        <v>1491</v>
      </c>
      <c r="R450" s="244" t="s">
        <v>1494</v>
      </c>
      <c r="S450" s="37">
        <v>0</v>
      </c>
      <c r="T450" s="36" t="str">
        <f t="shared" ca="1" si="37"/>
        <v>Empty</v>
      </c>
      <c r="U450" s="37" t="s">
        <v>1503</v>
      </c>
      <c r="V450" s="37"/>
      <c r="W450" s="38"/>
      <c r="X450" s="39"/>
      <c r="Y450" s="39"/>
      <c r="Z450" s="40"/>
      <c r="AA450" s="136" t="str">
        <f t="shared" ca="1" si="40"/>
        <v/>
      </c>
      <c r="AB450" s="40"/>
      <c r="AC450" s="116"/>
      <c r="AD450" s="116"/>
      <c r="AE450" s="40"/>
      <c r="AF450" s="136" t="str">
        <f t="shared" ca="1" si="38"/>
        <v/>
      </c>
      <c r="AG450" s="127"/>
      <c r="AH450" s="127"/>
      <c r="AI450" s="127"/>
      <c r="AJ450" s="128"/>
      <c r="AK450" s="128"/>
      <c r="AL450" s="129"/>
    </row>
    <row r="451" spans="1:38" ht="24.95" customHeight="1" x14ac:dyDescent="0.25">
      <c r="A451" s="142" t="str">
        <f t="shared" si="39"/>
        <v>16SAM116</v>
      </c>
      <c r="B451" s="192">
        <v>116</v>
      </c>
      <c r="C451" s="142" t="s">
        <v>57</v>
      </c>
      <c r="D451" s="143" t="s">
        <v>40</v>
      </c>
      <c r="E451" s="124" t="s">
        <v>915</v>
      </c>
      <c r="F451" s="124" t="s">
        <v>1486</v>
      </c>
      <c r="G451" s="251" t="s">
        <v>1490</v>
      </c>
      <c r="H451" s="34" t="s">
        <v>112</v>
      </c>
      <c r="I451" s="126" t="s">
        <v>1489</v>
      </c>
      <c r="J451" s="47" t="s">
        <v>105</v>
      </c>
      <c r="K451" s="126">
        <v>201.18</v>
      </c>
      <c r="L451" s="126">
        <v>805</v>
      </c>
      <c r="M451" s="104" t="s">
        <v>1488</v>
      </c>
      <c r="N451" s="265">
        <v>42524</v>
      </c>
      <c r="O451" s="260">
        <v>42530</v>
      </c>
      <c r="P451" s="106" t="s">
        <v>86</v>
      </c>
      <c r="Q451" s="107" t="s">
        <v>1491</v>
      </c>
      <c r="R451" s="244" t="s">
        <v>1494</v>
      </c>
      <c r="S451" s="37">
        <v>0</v>
      </c>
      <c r="T451" s="36" t="str">
        <f t="shared" ca="1" si="37"/>
        <v>Empty</v>
      </c>
      <c r="U451" s="37" t="s">
        <v>1503</v>
      </c>
      <c r="V451" s="37"/>
      <c r="W451" s="38"/>
      <c r="X451" s="39"/>
      <c r="Y451" s="39"/>
      <c r="Z451" s="40"/>
      <c r="AA451" s="136" t="str">
        <f t="shared" ca="1" si="40"/>
        <v/>
      </c>
      <c r="AB451" s="40"/>
      <c r="AC451" s="116"/>
      <c r="AD451" s="116"/>
      <c r="AE451" s="40"/>
      <c r="AF451" s="136" t="str">
        <f t="shared" ca="1" si="38"/>
        <v/>
      </c>
      <c r="AG451" s="127"/>
      <c r="AH451" s="127"/>
      <c r="AI451" s="127"/>
      <c r="AJ451" s="128"/>
      <c r="AK451" s="128"/>
      <c r="AL451" s="129"/>
    </row>
    <row r="452" spans="1:38" ht="24.95" customHeight="1" x14ac:dyDescent="0.25">
      <c r="A452" s="142" t="str">
        <f t="shared" si="39"/>
        <v>16SAM117</v>
      </c>
      <c r="B452" s="192">
        <v>117</v>
      </c>
      <c r="C452" s="142" t="s">
        <v>57</v>
      </c>
      <c r="D452" s="143" t="s">
        <v>40</v>
      </c>
      <c r="E452" s="124" t="s">
        <v>915</v>
      </c>
      <c r="F452" s="124" t="s">
        <v>1495</v>
      </c>
      <c r="G452" s="272" t="s">
        <v>61</v>
      </c>
      <c r="H452" s="34" t="s">
        <v>60</v>
      </c>
      <c r="I452" s="132" t="s">
        <v>61</v>
      </c>
      <c r="J452" s="47" t="s">
        <v>105</v>
      </c>
      <c r="K452" s="132" t="s">
        <v>61</v>
      </c>
      <c r="L452" s="132" t="s">
        <v>61</v>
      </c>
      <c r="M452" s="105" t="s">
        <v>61</v>
      </c>
      <c r="N452" s="265">
        <v>42524</v>
      </c>
      <c r="O452" s="260"/>
      <c r="P452" s="106" t="s">
        <v>1496</v>
      </c>
      <c r="Q452" s="107"/>
      <c r="R452" s="244"/>
      <c r="S452" s="37"/>
      <c r="T452" s="36" t="str">
        <f t="shared" ca="1" si="37"/>
        <v/>
      </c>
      <c r="U452" s="37" t="s">
        <v>1503</v>
      </c>
      <c r="V452" s="37"/>
      <c r="W452" s="38"/>
      <c r="X452" s="39"/>
      <c r="Y452" s="39"/>
      <c r="Z452" s="40"/>
      <c r="AA452" s="136" t="str">
        <f t="shared" ca="1" si="40"/>
        <v/>
      </c>
      <c r="AB452" s="40"/>
      <c r="AC452" s="116"/>
      <c r="AD452" s="116"/>
      <c r="AE452" s="40"/>
      <c r="AF452" s="136" t="str">
        <f t="shared" ca="1" si="38"/>
        <v/>
      </c>
      <c r="AG452" s="127"/>
      <c r="AH452" s="127"/>
      <c r="AI452" s="127"/>
      <c r="AJ452" s="128"/>
      <c r="AK452" s="128"/>
      <c r="AL452" s="129"/>
    </row>
    <row r="453" spans="1:38" ht="24.95" customHeight="1" x14ac:dyDescent="0.25">
      <c r="A453" s="142" t="str">
        <f t="shared" si="39"/>
        <v>16SAM118</v>
      </c>
      <c r="B453" s="192">
        <v>118</v>
      </c>
      <c r="C453" s="142" t="s">
        <v>57</v>
      </c>
      <c r="D453" s="143" t="s">
        <v>40</v>
      </c>
      <c r="E453" s="124" t="s">
        <v>915</v>
      </c>
      <c r="F453" s="124" t="s">
        <v>919</v>
      </c>
      <c r="G453" s="272" t="s">
        <v>61</v>
      </c>
      <c r="H453" s="34" t="s">
        <v>60</v>
      </c>
      <c r="I453" s="126" t="s">
        <v>1497</v>
      </c>
      <c r="J453" s="47" t="s">
        <v>105</v>
      </c>
      <c r="K453" s="132" t="s">
        <v>61</v>
      </c>
      <c r="L453" s="132" t="s">
        <v>61</v>
      </c>
      <c r="M453" s="105" t="s">
        <v>61</v>
      </c>
      <c r="N453" s="265">
        <v>42524</v>
      </c>
      <c r="O453" s="260"/>
      <c r="P453" s="106" t="s">
        <v>1498</v>
      </c>
      <c r="Q453" s="107" t="s">
        <v>1511</v>
      </c>
      <c r="R453" s="269" t="s">
        <v>61</v>
      </c>
      <c r="S453" s="37"/>
      <c r="T453" s="36" t="str">
        <f t="shared" ca="1" si="37"/>
        <v/>
      </c>
      <c r="U453" s="37" t="s">
        <v>1503</v>
      </c>
      <c r="V453" s="37" t="s">
        <v>1499</v>
      </c>
      <c r="W453" s="38">
        <v>42524</v>
      </c>
      <c r="X453" s="39" t="s">
        <v>1510</v>
      </c>
      <c r="Y453" s="39" t="s">
        <v>1502</v>
      </c>
      <c r="Z453" s="40" t="s">
        <v>212</v>
      </c>
      <c r="AA453" s="136">
        <f t="shared" ca="1" si="40"/>
        <v>841</v>
      </c>
      <c r="AB453" s="40"/>
      <c r="AC453" s="116"/>
      <c r="AD453" s="116"/>
      <c r="AE453" s="40"/>
      <c r="AF453" s="136" t="str">
        <f t="shared" ca="1" si="38"/>
        <v/>
      </c>
      <c r="AG453" s="127"/>
      <c r="AH453" s="127"/>
      <c r="AI453" s="127"/>
      <c r="AJ453" s="128"/>
      <c r="AK453" s="128"/>
      <c r="AL453" s="129"/>
    </row>
    <row r="454" spans="1:38" ht="24.95" customHeight="1" x14ac:dyDescent="0.25">
      <c r="A454" s="142" t="str">
        <f t="shared" si="39"/>
        <v>16SAM119</v>
      </c>
      <c r="B454" s="192">
        <v>119</v>
      </c>
      <c r="C454" s="142" t="s">
        <v>57</v>
      </c>
      <c r="D454" s="143" t="s">
        <v>40</v>
      </c>
      <c r="E454" s="124" t="s">
        <v>915</v>
      </c>
      <c r="F454" s="124" t="s">
        <v>923</v>
      </c>
      <c r="G454" s="272" t="s">
        <v>61</v>
      </c>
      <c r="H454" s="34" t="s">
        <v>60</v>
      </c>
      <c r="I454" s="126" t="s">
        <v>1500</v>
      </c>
      <c r="J454" s="47" t="s">
        <v>105</v>
      </c>
      <c r="K454" s="132" t="s">
        <v>61</v>
      </c>
      <c r="L454" s="132" t="s">
        <v>61</v>
      </c>
      <c r="M454" s="105" t="s">
        <v>61</v>
      </c>
      <c r="N454" s="265">
        <v>42524</v>
      </c>
      <c r="O454" s="260"/>
      <c r="P454" s="106" t="s">
        <v>1496</v>
      </c>
      <c r="Q454" s="107" t="s">
        <v>1512</v>
      </c>
      <c r="R454" s="269" t="s">
        <v>61</v>
      </c>
      <c r="S454" s="37"/>
      <c r="T454" s="36" t="str">
        <f t="shared" ca="1" si="37"/>
        <v/>
      </c>
      <c r="U454" s="37" t="s">
        <v>1503</v>
      </c>
      <c r="V454" s="37" t="s">
        <v>1499</v>
      </c>
      <c r="W454" s="38">
        <v>42524</v>
      </c>
      <c r="X454" s="39" t="s">
        <v>50</v>
      </c>
      <c r="Y454" s="39" t="s">
        <v>1502</v>
      </c>
      <c r="Z454" s="40" t="s">
        <v>212</v>
      </c>
      <c r="AA454" s="136">
        <f t="shared" ca="1" si="40"/>
        <v>841</v>
      </c>
      <c r="AB454" s="40"/>
      <c r="AC454" s="116"/>
      <c r="AD454" s="116"/>
      <c r="AE454" s="40"/>
      <c r="AF454" s="136" t="str">
        <f t="shared" ca="1" si="38"/>
        <v/>
      </c>
      <c r="AG454" s="127"/>
      <c r="AH454" s="127"/>
      <c r="AI454" s="127"/>
      <c r="AJ454" s="128"/>
      <c r="AK454" s="128"/>
      <c r="AL454" s="129"/>
    </row>
    <row r="455" spans="1:38" ht="24.95" customHeight="1" x14ac:dyDescent="0.25">
      <c r="A455" s="142" t="str">
        <f t="shared" si="39"/>
        <v>16SAM120</v>
      </c>
      <c r="B455" s="192">
        <v>120</v>
      </c>
      <c r="C455" s="142" t="s">
        <v>57</v>
      </c>
      <c r="D455" s="143" t="s">
        <v>40</v>
      </c>
      <c r="E455" s="124" t="s">
        <v>915</v>
      </c>
      <c r="F455" s="124" t="s">
        <v>925</v>
      </c>
      <c r="G455" s="272" t="s">
        <v>61</v>
      </c>
      <c r="H455" s="34" t="s">
        <v>60</v>
      </c>
      <c r="I455" s="126" t="s">
        <v>1501</v>
      </c>
      <c r="J455" s="47" t="s">
        <v>105</v>
      </c>
      <c r="K455" s="132" t="s">
        <v>61</v>
      </c>
      <c r="L455" s="132" t="s">
        <v>61</v>
      </c>
      <c r="M455" s="105" t="s">
        <v>61</v>
      </c>
      <c r="N455" s="265">
        <v>42524</v>
      </c>
      <c r="O455" s="260"/>
      <c r="P455" s="106" t="s">
        <v>1496</v>
      </c>
      <c r="Q455" s="107" t="s">
        <v>1511</v>
      </c>
      <c r="R455" s="269" t="s">
        <v>61</v>
      </c>
      <c r="S455" s="37"/>
      <c r="T455" s="36" t="str">
        <f t="shared" ca="1" si="37"/>
        <v/>
      </c>
      <c r="U455" s="37" t="s">
        <v>1503</v>
      </c>
      <c r="V455" s="37" t="s">
        <v>1499</v>
      </c>
      <c r="W455" s="38">
        <v>42524</v>
      </c>
      <c r="X455" s="39" t="s">
        <v>1510</v>
      </c>
      <c r="Y455" s="39" t="s">
        <v>1502</v>
      </c>
      <c r="Z455" s="40" t="s">
        <v>212</v>
      </c>
      <c r="AA455" s="136">
        <f t="shared" ca="1" si="40"/>
        <v>841</v>
      </c>
      <c r="AB455" s="40"/>
      <c r="AC455" s="116"/>
      <c r="AD455" s="116"/>
      <c r="AE455" s="40"/>
      <c r="AF455" s="136" t="str">
        <f t="shared" ca="1" si="38"/>
        <v/>
      </c>
      <c r="AG455" s="127"/>
      <c r="AH455" s="127"/>
      <c r="AI455" s="127"/>
      <c r="AJ455" s="128"/>
      <c r="AK455" s="128"/>
      <c r="AL455" s="129"/>
    </row>
    <row r="456" spans="1:38" ht="24.95" customHeight="1" x14ac:dyDescent="0.25">
      <c r="A456" s="142" t="str">
        <f t="shared" si="39"/>
        <v>16SAM121</v>
      </c>
      <c r="B456" s="192">
        <v>121</v>
      </c>
      <c r="C456" s="142" t="s">
        <v>57</v>
      </c>
      <c r="D456" s="143" t="s">
        <v>40</v>
      </c>
      <c r="E456" s="124" t="s">
        <v>739</v>
      </c>
      <c r="F456" s="124" t="s">
        <v>1513</v>
      </c>
      <c r="G456" s="251" t="s">
        <v>1517</v>
      </c>
      <c r="H456" s="34" t="s">
        <v>43</v>
      </c>
      <c r="I456" s="126" t="s">
        <v>1514</v>
      </c>
      <c r="J456" s="47" t="s">
        <v>105</v>
      </c>
      <c r="K456" s="126">
        <v>169.18</v>
      </c>
      <c r="L456" s="126" t="s">
        <v>1515</v>
      </c>
      <c r="M456" s="104" t="s">
        <v>1516</v>
      </c>
      <c r="N456" s="265">
        <v>42536</v>
      </c>
      <c r="O456" s="260">
        <v>42541</v>
      </c>
      <c r="P456" s="106" t="s">
        <v>133</v>
      </c>
      <c r="Q456" s="107" t="s">
        <v>1536</v>
      </c>
      <c r="R456" s="266">
        <v>1</v>
      </c>
      <c r="S456" s="37">
        <f xml:space="preserve"> 500-32.52-31.3-35.7-54</f>
        <v>346.48</v>
      </c>
      <c r="T456" s="36">
        <f t="shared" ca="1" si="37"/>
        <v>824</v>
      </c>
      <c r="U456" s="37" t="s">
        <v>1533</v>
      </c>
      <c r="V456" s="37"/>
      <c r="W456" s="38">
        <v>42599</v>
      </c>
      <c r="X456" s="39" t="s">
        <v>898</v>
      </c>
      <c r="Y456" s="39" t="s">
        <v>1684</v>
      </c>
      <c r="Z456" s="40" t="s">
        <v>1571</v>
      </c>
      <c r="AA456" s="136">
        <f t="shared" ca="1" si="40"/>
        <v>767</v>
      </c>
      <c r="AB456" s="40"/>
      <c r="AC456" s="116"/>
      <c r="AD456" s="116"/>
      <c r="AE456" s="40"/>
      <c r="AF456" s="136" t="str">
        <f t="shared" ca="1" si="38"/>
        <v/>
      </c>
      <c r="AG456" s="127"/>
      <c r="AH456" s="127"/>
      <c r="AI456" s="127"/>
      <c r="AJ456" s="128"/>
      <c r="AK456" s="128"/>
      <c r="AL456" s="129"/>
    </row>
    <row r="457" spans="1:38" ht="24.95" customHeight="1" x14ac:dyDescent="0.25">
      <c r="A457" s="140" t="str">
        <f t="shared" si="39"/>
        <v>16REF122</v>
      </c>
      <c r="B457" s="193">
        <v>122</v>
      </c>
      <c r="C457" s="140" t="s">
        <v>39</v>
      </c>
      <c r="D457" s="141" t="s">
        <v>170</v>
      </c>
      <c r="E457" s="124" t="s">
        <v>41</v>
      </c>
      <c r="F457" s="124" t="s">
        <v>878</v>
      </c>
      <c r="G457" s="251" t="s">
        <v>3225</v>
      </c>
      <c r="H457" s="34" t="s">
        <v>43</v>
      </c>
      <c r="I457" s="126" t="s">
        <v>1518</v>
      </c>
      <c r="J457" s="47" t="s">
        <v>45</v>
      </c>
      <c r="K457" s="126">
        <v>189.17</v>
      </c>
      <c r="L457" s="126" t="s">
        <v>880</v>
      </c>
      <c r="M457" s="104" t="s">
        <v>1519</v>
      </c>
      <c r="N457" s="265">
        <v>42536</v>
      </c>
      <c r="O457" s="260" t="s">
        <v>168</v>
      </c>
      <c r="P457" s="106" t="s">
        <v>56</v>
      </c>
      <c r="Q457" s="107"/>
      <c r="R457" s="266">
        <v>1</v>
      </c>
      <c r="S457" s="37">
        <v>0</v>
      </c>
      <c r="T457" s="36" t="str">
        <f t="shared" ca="1" si="37"/>
        <v>Empty</v>
      </c>
      <c r="U457" s="37"/>
      <c r="V457" s="37" t="s">
        <v>1915</v>
      </c>
      <c r="W457" s="38"/>
      <c r="X457" s="39"/>
      <c r="Y457" s="39"/>
      <c r="Z457" s="40"/>
      <c r="AA457" s="136" t="str">
        <f t="shared" ca="1" si="40"/>
        <v/>
      </c>
      <c r="AB457" s="40"/>
      <c r="AC457" s="116"/>
      <c r="AD457" s="116"/>
      <c r="AE457" s="40"/>
      <c r="AF457" s="136" t="str">
        <f t="shared" ca="1" si="38"/>
        <v/>
      </c>
      <c r="AG457" s="127"/>
      <c r="AH457" s="127"/>
      <c r="AI457" s="127"/>
      <c r="AJ457" s="128"/>
      <c r="AK457" s="128"/>
      <c r="AL457" s="129"/>
    </row>
    <row r="458" spans="1:38" ht="24.95" customHeight="1" x14ac:dyDescent="0.25">
      <c r="A458" s="142" t="str">
        <f t="shared" si="39"/>
        <v>16SAM123</v>
      </c>
      <c r="B458" s="192">
        <v>123</v>
      </c>
      <c r="C458" s="142" t="s">
        <v>57</v>
      </c>
      <c r="D458" s="143" t="s">
        <v>40</v>
      </c>
      <c r="E458" s="124" t="s">
        <v>739</v>
      </c>
      <c r="F458" s="124" t="s">
        <v>1520</v>
      </c>
      <c r="G458" s="251"/>
      <c r="H458" s="34" t="s">
        <v>60</v>
      </c>
      <c r="I458" s="126" t="s">
        <v>1521</v>
      </c>
      <c r="J458" s="47" t="s">
        <v>45</v>
      </c>
      <c r="K458" s="126">
        <v>379.46</v>
      </c>
      <c r="L458" s="132" t="s">
        <v>61</v>
      </c>
      <c r="M458" s="105" t="s">
        <v>61</v>
      </c>
      <c r="N458" s="265">
        <v>42537</v>
      </c>
      <c r="O458" s="260">
        <v>42525</v>
      </c>
      <c r="P458" s="106" t="s">
        <v>1331</v>
      </c>
      <c r="Q458" s="107" t="s">
        <v>212</v>
      </c>
      <c r="R458" s="244"/>
      <c r="S458" s="37">
        <v>0</v>
      </c>
      <c r="T458" s="36" t="str">
        <f t="shared" ca="1" si="37"/>
        <v>Empty</v>
      </c>
      <c r="U458" s="37" t="s">
        <v>1561</v>
      </c>
      <c r="V458" s="37"/>
      <c r="W458" s="38"/>
      <c r="X458" s="39"/>
      <c r="Y458" s="39"/>
      <c r="Z458" s="40"/>
      <c r="AA458" s="136" t="str">
        <f t="shared" ca="1" si="40"/>
        <v/>
      </c>
      <c r="AB458" s="40"/>
      <c r="AC458" s="116"/>
      <c r="AD458" s="116"/>
      <c r="AE458" s="40"/>
      <c r="AF458" s="136" t="str">
        <f t="shared" ca="1" si="38"/>
        <v/>
      </c>
      <c r="AG458" s="127"/>
      <c r="AH458" s="127"/>
      <c r="AI458" s="127"/>
      <c r="AJ458" s="128"/>
      <c r="AK458" s="128"/>
      <c r="AL458" s="129"/>
    </row>
    <row r="459" spans="1:38" ht="24.95" customHeight="1" x14ac:dyDescent="0.25">
      <c r="A459" s="140" t="str">
        <f t="shared" si="39"/>
        <v>16REF124</v>
      </c>
      <c r="B459" s="193">
        <v>124</v>
      </c>
      <c r="C459" s="140" t="s">
        <v>39</v>
      </c>
      <c r="D459" s="141" t="s">
        <v>824</v>
      </c>
      <c r="E459" s="124" t="s">
        <v>41</v>
      </c>
      <c r="F459" s="124" t="s">
        <v>1523</v>
      </c>
      <c r="G459" s="251"/>
      <c r="H459" s="34" t="s">
        <v>43</v>
      </c>
      <c r="I459" s="126" t="s">
        <v>1524</v>
      </c>
      <c r="J459" s="47" t="s">
        <v>45</v>
      </c>
      <c r="K459" s="126">
        <v>246.19</v>
      </c>
      <c r="L459" s="126" t="s">
        <v>1525</v>
      </c>
      <c r="M459" s="104" t="s">
        <v>1526</v>
      </c>
      <c r="N459" s="265">
        <v>42538</v>
      </c>
      <c r="O459" s="260">
        <v>42545</v>
      </c>
      <c r="P459" s="106" t="s">
        <v>776</v>
      </c>
      <c r="Q459" s="107" t="s">
        <v>1527</v>
      </c>
      <c r="R459" s="266">
        <v>1</v>
      </c>
      <c r="S459" s="37">
        <f>250-1.57-6.15-1.05-1.27-1.03</f>
        <v>238.92999999999998</v>
      </c>
      <c r="T459" s="36">
        <f t="shared" ca="1" si="37"/>
        <v>820</v>
      </c>
      <c r="U459" s="37"/>
      <c r="V459" s="37"/>
      <c r="W459" s="38"/>
      <c r="X459" s="39"/>
      <c r="Y459" s="39"/>
      <c r="Z459" s="40"/>
      <c r="AA459" s="136" t="str">
        <f t="shared" ca="1" si="40"/>
        <v/>
      </c>
      <c r="AB459" s="40"/>
      <c r="AC459" s="116"/>
      <c r="AD459" s="116"/>
      <c r="AE459" s="40"/>
      <c r="AF459" s="136" t="str">
        <f t="shared" ca="1" si="38"/>
        <v/>
      </c>
      <c r="AG459" s="127"/>
      <c r="AH459" s="127"/>
      <c r="AI459" s="127"/>
      <c r="AJ459" s="128"/>
      <c r="AK459" s="128"/>
      <c r="AL459" s="129"/>
    </row>
    <row r="460" spans="1:38" ht="24.95" customHeight="1" x14ac:dyDescent="0.25">
      <c r="A460" s="142" t="str">
        <f t="shared" si="39"/>
        <v>16SAM125</v>
      </c>
      <c r="B460" s="192">
        <v>125</v>
      </c>
      <c r="C460" s="142" t="s">
        <v>57</v>
      </c>
      <c r="D460" s="143" t="s">
        <v>170</v>
      </c>
      <c r="E460" s="124" t="s">
        <v>230</v>
      </c>
      <c r="F460" s="124" t="s">
        <v>1070</v>
      </c>
      <c r="H460" s="34" t="s">
        <v>60</v>
      </c>
      <c r="I460" s="251">
        <v>210007232</v>
      </c>
      <c r="J460" s="47" t="s">
        <v>45</v>
      </c>
      <c r="K460" s="126">
        <v>385.54300000000001</v>
      </c>
      <c r="L460" s="132" t="s">
        <v>61</v>
      </c>
      <c r="M460" s="105" t="s">
        <v>61</v>
      </c>
      <c r="N460" s="265">
        <v>42538</v>
      </c>
      <c r="O460" s="260">
        <v>42569</v>
      </c>
      <c r="P460" s="106" t="s">
        <v>1528</v>
      </c>
      <c r="Q460" s="268" t="s">
        <v>212</v>
      </c>
      <c r="R460" s="244"/>
      <c r="S460" s="37">
        <f>100.1-10.93</f>
        <v>89.169999999999987</v>
      </c>
      <c r="T460" s="36">
        <f t="shared" ca="1" si="37"/>
        <v>796</v>
      </c>
      <c r="U460" s="37" t="s">
        <v>1530</v>
      </c>
      <c r="V460" s="37"/>
      <c r="W460" s="38">
        <v>42569</v>
      </c>
      <c r="X460" s="39" t="s">
        <v>248</v>
      </c>
      <c r="Y460" s="39" t="s">
        <v>1595</v>
      </c>
      <c r="Z460" s="40" t="s">
        <v>212</v>
      </c>
      <c r="AA460" s="136">
        <f t="shared" ca="1" si="40"/>
        <v>796</v>
      </c>
      <c r="AB460" s="38">
        <v>42569</v>
      </c>
      <c r="AC460" s="39" t="s">
        <v>248</v>
      </c>
      <c r="AD460" s="39" t="s">
        <v>700</v>
      </c>
      <c r="AE460" s="40" t="s">
        <v>212</v>
      </c>
      <c r="AF460" s="136">
        <f t="shared" ca="1" si="38"/>
        <v>796</v>
      </c>
      <c r="AG460" s="38">
        <v>42569</v>
      </c>
      <c r="AH460" s="39" t="s">
        <v>248</v>
      </c>
      <c r="AI460" s="39" t="s">
        <v>853</v>
      </c>
      <c r="AJ460" s="40" t="s">
        <v>212</v>
      </c>
      <c r="AK460" s="128"/>
      <c r="AL460" s="129"/>
    </row>
    <row r="461" spans="1:38" ht="24.95" customHeight="1" x14ac:dyDescent="0.25">
      <c r="A461" s="142" t="str">
        <f t="shared" si="39"/>
        <v>16SAM126</v>
      </c>
      <c r="B461" s="192">
        <v>126</v>
      </c>
      <c r="C461" s="142" t="s">
        <v>57</v>
      </c>
      <c r="D461" s="143" t="s">
        <v>40</v>
      </c>
      <c r="E461" s="124" t="s">
        <v>230</v>
      </c>
      <c r="F461" s="124" t="s">
        <v>1529</v>
      </c>
      <c r="G461" s="251"/>
      <c r="H461" s="34" t="s">
        <v>60</v>
      </c>
      <c r="I461" s="126">
        <v>210005295</v>
      </c>
      <c r="J461" s="47" t="s">
        <v>45</v>
      </c>
      <c r="K461" s="126">
        <v>402.7</v>
      </c>
      <c r="L461" s="132" t="s">
        <v>61</v>
      </c>
      <c r="M461" s="105" t="s">
        <v>61</v>
      </c>
      <c r="N461" s="265">
        <v>42538</v>
      </c>
      <c r="O461" s="260">
        <v>42542</v>
      </c>
      <c r="P461" s="106" t="s">
        <v>684</v>
      </c>
      <c r="Q461" s="107" t="s">
        <v>212</v>
      </c>
      <c r="R461" s="244"/>
      <c r="S461" s="37">
        <f>75-17.8-17.9</f>
        <v>39.300000000000004</v>
      </c>
      <c r="T461" s="36">
        <f t="shared" ca="1" si="37"/>
        <v>823</v>
      </c>
      <c r="U461" s="37" t="s">
        <v>1530</v>
      </c>
      <c r="V461" s="37"/>
      <c r="W461" s="38">
        <v>42542</v>
      </c>
      <c r="X461" s="39" t="s">
        <v>248</v>
      </c>
      <c r="Y461" s="39" t="s">
        <v>1537</v>
      </c>
      <c r="Z461" s="40" t="s">
        <v>212</v>
      </c>
      <c r="AA461" s="136">
        <f t="shared" ca="1" si="40"/>
        <v>823</v>
      </c>
      <c r="AB461" s="40"/>
      <c r="AC461" s="116"/>
      <c r="AD461" s="116"/>
      <c r="AE461" s="40"/>
      <c r="AF461" s="136" t="str">
        <f t="shared" ca="1" si="38"/>
        <v/>
      </c>
      <c r="AG461" s="127"/>
      <c r="AH461" s="127"/>
      <c r="AI461" s="127"/>
      <c r="AJ461" s="128"/>
      <c r="AK461" s="128"/>
      <c r="AL461" s="129"/>
    </row>
    <row r="462" spans="1:38" ht="24.95" customHeight="1" x14ac:dyDescent="0.25">
      <c r="A462" s="142" t="str">
        <f t="shared" si="39"/>
        <v>16SAM127</v>
      </c>
      <c r="B462" s="192">
        <v>127</v>
      </c>
      <c r="C462" s="142" t="s">
        <v>57</v>
      </c>
      <c r="D462" s="143" t="s">
        <v>824</v>
      </c>
      <c r="E462" s="124" t="s">
        <v>294</v>
      </c>
      <c r="F462" s="124" t="s">
        <v>865</v>
      </c>
      <c r="G462" s="251"/>
      <c r="H462" s="34" t="s">
        <v>330</v>
      </c>
      <c r="I462" s="126" t="s">
        <v>867</v>
      </c>
      <c r="J462" s="34" t="s">
        <v>45</v>
      </c>
      <c r="K462" s="126">
        <v>402.4</v>
      </c>
      <c r="L462" s="126" t="s">
        <v>868</v>
      </c>
      <c r="M462" s="104" t="s">
        <v>869</v>
      </c>
      <c r="N462" s="265">
        <v>42543</v>
      </c>
      <c r="O462" s="260">
        <v>42864</v>
      </c>
      <c r="P462" s="106" t="s">
        <v>124</v>
      </c>
      <c r="Q462" s="107" t="s">
        <v>1491</v>
      </c>
      <c r="R462" s="244" t="s">
        <v>1361</v>
      </c>
      <c r="S462" s="37">
        <f>100-20</f>
        <v>80</v>
      </c>
      <c r="T462" s="36">
        <f t="shared" ca="1" si="37"/>
        <v>505</v>
      </c>
      <c r="U462" s="37" t="s">
        <v>1538</v>
      </c>
      <c r="V462" s="37"/>
      <c r="W462" s="38">
        <v>42864</v>
      </c>
      <c r="X462" s="39" t="s">
        <v>248</v>
      </c>
      <c r="Y462" s="39" t="s">
        <v>2247</v>
      </c>
      <c r="Z462" s="40" t="s">
        <v>49</v>
      </c>
      <c r="AA462" s="136">
        <f t="shared" ca="1" si="40"/>
        <v>505</v>
      </c>
      <c r="AB462" s="40"/>
      <c r="AC462" s="116"/>
      <c r="AD462" s="116"/>
      <c r="AE462" s="40"/>
      <c r="AF462" s="136" t="str">
        <f t="shared" ca="1" si="38"/>
        <v/>
      </c>
      <c r="AG462" s="127"/>
      <c r="AH462" s="127"/>
      <c r="AI462" s="127"/>
      <c r="AJ462" s="128"/>
      <c r="AK462" s="128"/>
      <c r="AL462" s="129"/>
    </row>
    <row r="463" spans="1:38" ht="24.95" customHeight="1" x14ac:dyDescent="0.25">
      <c r="A463" s="142" t="str">
        <f t="shared" si="39"/>
        <v>16SAM128</v>
      </c>
      <c r="B463" s="192">
        <v>128</v>
      </c>
      <c r="C463" s="142" t="s">
        <v>57</v>
      </c>
      <c r="D463" s="143" t="s">
        <v>824</v>
      </c>
      <c r="E463" s="124" t="s">
        <v>294</v>
      </c>
      <c r="F463" s="124" t="s">
        <v>177</v>
      </c>
      <c r="G463" s="251"/>
      <c r="H463" s="34" t="s">
        <v>330</v>
      </c>
      <c r="I463" s="126" t="s">
        <v>1539</v>
      </c>
      <c r="J463" s="34" t="s">
        <v>180</v>
      </c>
      <c r="K463" s="126">
        <v>147.13</v>
      </c>
      <c r="L463" s="126" t="s">
        <v>1540</v>
      </c>
      <c r="M463" s="104" t="s">
        <v>182</v>
      </c>
      <c r="N463" s="265">
        <v>42543</v>
      </c>
      <c r="O463" s="260" t="s">
        <v>1572</v>
      </c>
      <c r="P463" s="106" t="s">
        <v>133</v>
      </c>
      <c r="Q463" s="107" t="s">
        <v>510</v>
      </c>
      <c r="R463" s="244" t="s">
        <v>1361</v>
      </c>
      <c r="S463" s="37">
        <v>0</v>
      </c>
      <c r="T463" s="36" t="str">
        <f t="shared" ca="1" si="37"/>
        <v>Empty</v>
      </c>
      <c r="U463" s="37" t="s">
        <v>1538</v>
      </c>
      <c r="V463" s="37" t="s">
        <v>1573</v>
      </c>
      <c r="W463" s="38"/>
      <c r="X463" s="39"/>
      <c r="Y463" s="39"/>
      <c r="Z463" s="40"/>
      <c r="AA463" s="136" t="str">
        <f t="shared" ca="1" si="40"/>
        <v/>
      </c>
      <c r="AB463" s="40"/>
      <c r="AC463" s="116"/>
      <c r="AD463" s="116"/>
      <c r="AE463" s="40"/>
      <c r="AF463" s="136" t="str">
        <f t="shared" ca="1" si="38"/>
        <v/>
      </c>
      <c r="AG463" s="127"/>
      <c r="AH463" s="127"/>
      <c r="AI463" s="127"/>
      <c r="AJ463" s="128"/>
      <c r="AK463" s="128"/>
      <c r="AL463" s="129"/>
    </row>
    <row r="464" spans="1:38" ht="24.95" customHeight="1" x14ac:dyDescent="0.25">
      <c r="A464" s="142" t="str">
        <f t="shared" si="39"/>
        <v>16SAM129</v>
      </c>
      <c r="B464" s="192">
        <v>129</v>
      </c>
      <c r="C464" s="142" t="s">
        <v>57</v>
      </c>
      <c r="D464" s="143" t="s">
        <v>824</v>
      </c>
      <c r="E464" s="124" t="s">
        <v>294</v>
      </c>
      <c r="F464" s="124" t="s">
        <v>177</v>
      </c>
      <c r="G464" s="251"/>
      <c r="H464" s="34" t="s">
        <v>330</v>
      </c>
      <c r="I464" s="126" t="s">
        <v>1539</v>
      </c>
      <c r="J464" s="34" t="s">
        <v>180</v>
      </c>
      <c r="K464" s="126">
        <v>147.13</v>
      </c>
      <c r="L464" s="126" t="s">
        <v>1540</v>
      </c>
      <c r="M464" s="104" t="s">
        <v>182</v>
      </c>
      <c r="N464" s="265">
        <v>42543</v>
      </c>
      <c r="O464" s="260" t="s">
        <v>1572</v>
      </c>
      <c r="P464" s="106" t="s">
        <v>133</v>
      </c>
      <c r="Q464" s="107" t="s">
        <v>510</v>
      </c>
      <c r="R464" s="244" t="s">
        <v>1361</v>
      </c>
      <c r="S464" s="37">
        <v>0</v>
      </c>
      <c r="T464" s="36" t="str">
        <f ca="1">IF(S464="","",IF(S464=0,"Empty",IF(O464="","",IF(O464,DAYS360(O464,TODAY())))))</f>
        <v>Empty</v>
      </c>
      <c r="U464" s="37" t="s">
        <v>1538</v>
      </c>
      <c r="V464" s="37" t="s">
        <v>1574</v>
      </c>
      <c r="W464" s="38"/>
      <c r="X464" s="39"/>
      <c r="Y464" s="39"/>
      <c r="Z464" s="40"/>
      <c r="AA464" s="136" t="str">
        <f t="shared" ca="1" si="40"/>
        <v/>
      </c>
      <c r="AB464" s="40"/>
      <c r="AC464" s="116"/>
      <c r="AD464" s="116"/>
      <c r="AE464" s="40"/>
      <c r="AF464" s="136" t="str">
        <f t="shared" ca="1" si="38"/>
        <v/>
      </c>
      <c r="AG464" s="127"/>
      <c r="AH464" s="127"/>
      <c r="AI464" s="127"/>
      <c r="AJ464" s="128"/>
      <c r="AK464" s="128"/>
      <c r="AL464" s="129"/>
    </row>
    <row r="465" spans="1:38" ht="24.95" customHeight="1" x14ac:dyDescent="0.25">
      <c r="A465" s="142" t="str">
        <f t="shared" si="39"/>
        <v>16SAM130</v>
      </c>
      <c r="B465" s="192">
        <v>130</v>
      </c>
      <c r="C465" s="142" t="s">
        <v>57</v>
      </c>
      <c r="D465" s="143" t="s">
        <v>824</v>
      </c>
      <c r="E465" s="124" t="s">
        <v>294</v>
      </c>
      <c r="F465" s="124" t="s">
        <v>779</v>
      </c>
      <c r="G465" s="251" t="s">
        <v>1126</v>
      </c>
      <c r="H465" s="34" t="s">
        <v>330</v>
      </c>
      <c r="I465" s="126" t="s">
        <v>1127</v>
      </c>
      <c r="J465" s="34" t="s">
        <v>180</v>
      </c>
      <c r="K465" s="126">
        <v>197.13</v>
      </c>
      <c r="L465" s="126" t="s">
        <v>781</v>
      </c>
      <c r="M465" s="104" t="s">
        <v>782</v>
      </c>
      <c r="N465" s="265">
        <v>42543</v>
      </c>
      <c r="O465" s="260">
        <v>42551</v>
      </c>
      <c r="P465" s="106" t="s">
        <v>86</v>
      </c>
      <c r="Q465" s="107" t="s">
        <v>510</v>
      </c>
      <c r="R465" s="244" t="s">
        <v>1361</v>
      </c>
      <c r="S465" s="37">
        <v>0</v>
      </c>
      <c r="T465" s="36" t="str">
        <f t="shared" ca="1" si="37"/>
        <v>Empty</v>
      </c>
      <c r="U465" s="37" t="s">
        <v>1538</v>
      </c>
      <c r="V465" s="37" t="s">
        <v>1576</v>
      </c>
      <c r="W465" s="38">
        <v>42551</v>
      </c>
      <c r="X465" s="39" t="s">
        <v>722</v>
      </c>
      <c r="Y465" s="39" t="s">
        <v>853</v>
      </c>
      <c r="Z465" s="40" t="s">
        <v>49</v>
      </c>
      <c r="AA465" s="136">
        <f t="shared" ca="1" si="40"/>
        <v>814</v>
      </c>
      <c r="AB465" s="40"/>
      <c r="AC465" s="116"/>
      <c r="AD465" s="116"/>
      <c r="AE465" s="40"/>
      <c r="AF465" s="136" t="str">
        <f t="shared" ca="1" si="38"/>
        <v/>
      </c>
      <c r="AG465" s="127"/>
      <c r="AH465" s="127"/>
      <c r="AI465" s="127"/>
      <c r="AJ465" s="128"/>
      <c r="AK465" s="128"/>
      <c r="AL465" s="129"/>
    </row>
    <row r="466" spans="1:38" ht="24.95" customHeight="1" x14ac:dyDescent="0.25">
      <c r="A466" s="140" t="str">
        <f t="shared" si="39"/>
        <v>16REF131</v>
      </c>
      <c r="B466" s="193">
        <v>131</v>
      </c>
      <c r="C466" s="140" t="s">
        <v>39</v>
      </c>
      <c r="D466" s="141" t="s">
        <v>170</v>
      </c>
      <c r="E466" s="124" t="s">
        <v>41</v>
      </c>
      <c r="F466" s="124" t="s">
        <v>1541</v>
      </c>
      <c r="G466" s="251"/>
      <c r="H466" s="34" t="s">
        <v>330</v>
      </c>
      <c r="I466" s="126" t="s">
        <v>1269</v>
      </c>
      <c r="J466" s="34" t="s">
        <v>180</v>
      </c>
      <c r="K466" s="126">
        <v>307.64999999999998</v>
      </c>
      <c r="L466" s="126" t="s">
        <v>804</v>
      </c>
      <c r="M466" s="104" t="s">
        <v>805</v>
      </c>
      <c r="N466" s="265">
        <v>42543</v>
      </c>
      <c r="O466" s="260">
        <v>42650</v>
      </c>
      <c r="P466" s="106" t="s">
        <v>183</v>
      </c>
      <c r="Q466" s="107" t="s">
        <v>628</v>
      </c>
      <c r="R466" s="244" t="s">
        <v>1361</v>
      </c>
      <c r="S466" s="37">
        <v>0</v>
      </c>
      <c r="T466" s="36" t="str">
        <f t="shared" ca="1" si="37"/>
        <v>Empty</v>
      </c>
      <c r="U466" s="37" t="s">
        <v>1493</v>
      </c>
      <c r="V466" s="37"/>
      <c r="W466" s="38">
        <v>42650</v>
      </c>
      <c r="X466" s="39" t="s">
        <v>699</v>
      </c>
      <c r="Y466" s="39" t="s">
        <v>1532</v>
      </c>
      <c r="Z466" s="40" t="s">
        <v>49</v>
      </c>
      <c r="AA466" s="136">
        <f t="shared" ca="1" si="40"/>
        <v>717</v>
      </c>
      <c r="AB466" s="40"/>
      <c r="AC466" s="116"/>
      <c r="AD466" s="116"/>
      <c r="AE466" s="40"/>
      <c r="AF466" s="136" t="str">
        <f t="shared" ca="1" si="38"/>
        <v/>
      </c>
      <c r="AG466" s="127"/>
      <c r="AH466" s="127"/>
      <c r="AI466" s="127"/>
      <c r="AJ466" s="128"/>
      <c r="AK466" s="128"/>
      <c r="AL466" s="129"/>
    </row>
    <row r="467" spans="1:38" ht="24.95" customHeight="1" x14ac:dyDescent="0.25">
      <c r="A467" s="142" t="str">
        <f t="shared" si="39"/>
        <v>16SAM132</v>
      </c>
      <c r="B467" s="192">
        <v>132</v>
      </c>
      <c r="C467" s="142" t="s">
        <v>57</v>
      </c>
      <c r="D467" s="143" t="s">
        <v>40</v>
      </c>
      <c r="E467" s="124" t="s">
        <v>739</v>
      </c>
      <c r="F467" s="124" t="s">
        <v>1120</v>
      </c>
      <c r="G467" s="251" t="s">
        <v>1549</v>
      </c>
      <c r="H467" s="34" t="s">
        <v>112</v>
      </c>
      <c r="I467" s="126" t="s">
        <v>1542</v>
      </c>
      <c r="J467" s="47" t="s">
        <v>45</v>
      </c>
      <c r="K467" s="126">
        <v>248.11</v>
      </c>
      <c r="L467" s="132" t="s">
        <v>1123</v>
      </c>
      <c r="M467" s="105" t="s">
        <v>1124</v>
      </c>
      <c r="N467" s="265">
        <v>42544</v>
      </c>
      <c r="O467" s="260">
        <v>42545</v>
      </c>
      <c r="P467" s="106" t="s">
        <v>124</v>
      </c>
      <c r="Q467" s="107" t="s">
        <v>510</v>
      </c>
      <c r="R467" s="244" t="s">
        <v>1543</v>
      </c>
      <c r="S467" s="37">
        <v>0</v>
      </c>
      <c r="T467" s="36" t="str">
        <f t="shared" ca="1" si="37"/>
        <v>Empty</v>
      </c>
      <c r="U467" s="37" t="s">
        <v>1561</v>
      </c>
      <c r="V467" s="37"/>
      <c r="W467" s="38"/>
      <c r="X467" s="39"/>
      <c r="Y467" s="39"/>
      <c r="Z467" s="40"/>
      <c r="AA467" s="136" t="str">
        <f t="shared" ca="1" si="40"/>
        <v/>
      </c>
      <c r="AB467" s="40"/>
      <c r="AC467" s="116"/>
      <c r="AD467" s="116"/>
      <c r="AE467" s="40"/>
      <c r="AF467" s="136" t="str">
        <f t="shared" ca="1" si="38"/>
        <v/>
      </c>
      <c r="AG467" s="127"/>
      <c r="AH467" s="127"/>
      <c r="AI467" s="127"/>
      <c r="AJ467" s="128"/>
      <c r="AK467" s="128"/>
      <c r="AL467" s="129"/>
    </row>
    <row r="468" spans="1:38" ht="24.95" customHeight="1" x14ac:dyDescent="0.25">
      <c r="A468" s="142" t="str">
        <f t="shared" si="39"/>
        <v>16SAM133</v>
      </c>
      <c r="B468" s="192">
        <v>133</v>
      </c>
      <c r="C468" s="142" t="s">
        <v>57</v>
      </c>
      <c r="D468" s="143" t="s">
        <v>40</v>
      </c>
      <c r="E468" s="124" t="s">
        <v>739</v>
      </c>
      <c r="F468" s="124" t="s">
        <v>1120</v>
      </c>
      <c r="G468" s="251" t="s">
        <v>1549</v>
      </c>
      <c r="H468" s="34" t="s">
        <v>112</v>
      </c>
      <c r="I468" s="126" t="s">
        <v>1542</v>
      </c>
      <c r="J468" s="47" t="s">
        <v>45</v>
      </c>
      <c r="K468" s="126">
        <v>248.11</v>
      </c>
      <c r="L468" s="132" t="s">
        <v>1123</v>
      </c>
      <c r="M468" s="105" t="s">
        <v>1124</v>
      </c>
      <c r="N468" s="265">
        <v>42544</v>
      </c>
      <c r="O468" s="260"/>
      <c r="P468" s="106" t="s">
        <v>124</v>
      </c>
      <c r="Q468" s="107" t="s">
        <v>510</v>
      </c>
      <c r="R468" s="244" t="s">
        <v>1544</v>
      </c>
      <c r="S468" s="37"/>
      <c r="T468" s="36" t="str">
        <f t="shared" ca="1" si="37"/>
        <v/>
      </c>
      <c r="U468" s="37"/>
      <c r="V468" s="37"/>
      <c r="W468" s="38"/>
      <c r="X468" s="39"/>
      <c r="Y468" s="39"/>
      <c r="Z468" s="40"/>
      <c r="AA468" s="136" t="str">
        <f t="shared" ca="1" si="40"/>
        <v/>
      </c>
      <c r="AB468" s="40"/>
      <c r="AC468" s="116"/>
      <c r="AD468" s="116"/>
      <c r="AE468" s="40"/>
      <c r="AF468" s="136" t="str">
        <f t="shared" ca="1" si="38"/>
        <v/>
      </c>
      <c r="AG468" s="127"/>
      <c r="AH468" s="127"/>
      <c r="AI468" s="127"/>
      <c r="AJ468" s="128"/>
      <c r="AK468" s="128"/>
      <c r="AL468" s="129"/>
    </row>
    <row r="469" spans="1:38" ht="24.95" customHeight="1" x14ac:dyDescent="0.25">
      <c r="A469" s="142" t="str">
        <f t="shared" si="39"/>
        <v>16SAM134</v>
      </c>
      <c r="B469" s="192">
        <v>134</v>
      </c>
      <c r="C469" s="142" t="s">
        <v>57</v>
      </c>
      <c r="D469" s="143" t="s">
        <v>40</v>
      </c>
      <c r="E469" s="124" t="s">
        <v>739</v>
      </c>
      <c r="F469" s="124" t="s">
        <v>1120</v>
      </c>
      <c r="G469" s="251" t="s">
        <v>1549</v>
      </c>
      <c r="H469" s="34" t="s">
        <v>112</v>
      </c>
      <c r="I469" s="126" t="s">
        <v>1542</v>
      </c>
      <c r="J469" s="47" t="s">
        <v>45</v>
      </c>
      <c r="K469" s="126">
        <v>248.11</v>
      </c>
      <c r="L469" s="132" t="s">
        <v>1123</v>
      </c>
      <c r="M469" s="105" t="s">
        <v>1124</v>
      </c>
      <c r="N469" s="265">
        <v>42544</v>
      </c>
      <c r="O469" s="260"/>
      <c r="P469" s="106" t="s">
        <v>124</v>
      </c>
      <c r="Q469" s="107" t="s">
        <v>510</v>
      </c>
      <c r="R469" s="244" t="s">
        <v>1544</v>
      </c>
      <c r="S469" s="37"/>
      <c r="T469" s="36" t="str">
        <f t="shared" ca="1" si="37"/>
        <v/>
      </c>
      <c r="U469" s="37"/>
      <c r="V469" s="37"/>
      <c r="W469" s="38"/>
      <c r="X469" s="39"/>
      <c r="Y469" s="39"/>
      <c r="Z469" s="40"/>
      <c r="AA469" s="136" t="str">
        <f t="shared" ca="1" si="40"/>
        <v/>
      </c>
      <c r="AB469" s="40"/>
      <c r="AC469" s="116"/>
      <c r="AD469" s="116"/>
      <c r="AE469" s="40"/>
      <c r="AF469" s="136" t="str">
        <f t="shared" ca="1" si="38"/>
        <v/>
      </c>
      <c r="AG469" s="127"/>
      <c r="AH469" s="127"/>
      <c r="AI469" s="127"/>
      <c r="AJ469" s="128"/>
      <c r="AK469" s="128"/>
      <c r="AL469" s="129"/>
    </row>
    <row r="470" spans="1:38" ht="24.95" customHeight="1" x14ac:dyDescent="0.25">
      <c r="A470" s="142" t="str">
        <f t="shared" si="39"/>
        <v>16SAM135</v>
      </c>
      <c r="B470" s="192">
        <v>135</v>
      </c>
      <c r="C470" s="142" t="s">
        <v>57</v>
      </c>
      <c r="D470" s="143" t="s">
        <v>824</v>
      </c>
      <c r="E470" s="124" t="s">
        <v>294</v>
      </c>
      <c r="F470" s="124" t="s">
        <v>1545</v>
      </c>
      <c r="G470" s="251"/>
      <c r="H470" s="34" t="s">
        <v>43</v>
      </c>
      <c r="I470" s="126" t="s">
        <v>1546</v>
      </c>
      <c r="J470" s="47" t="s">
        <v>45</v>
      </c>
      <c r="K470" s="126">
        <v>75.069999999999993</v>
      </c>
      <c r="L470" s="126" t="s">
        <v>1547</v>
      </c>
      <c r="M470" s="104" t="s">
        <v>1548</v>
      </c>
      <c r="N470" s="265">
        <v>42544</v>
      </c>
      <c r="O470" s="260">
        <v>42556</v>
      </c>
      <c r="P470" s="106" t="s">
        <v>1295</v>
      </c>
      <c r="Q470" s="107" t="s">
        <v>1550</v>
      </c>
      <c r="R470" s="267">
        <v>0.999</v>
      </c>
      <c r="S470" s="37">
        <f>100000-13.28-1.68-203-129.9-890-75.54-123.88-113.3-121.41-94.37-102.09-104.42-73.85-95.9-74.24-108.33-110.8-88.53-117-116.33-90.25</f>
        <v>97151.900000000009</v>
      </c>
      <c r="T470" s="36">
        <f t="shared" ca="1" si="37"/>
        <v>809</v>
      </c>
      <c r="U470" s="37" t="s">
        <v>1538</v>
      </c>
      <c r="V470" s="37"/>
      <c r="W470" s="38">
        <v>42556</v>
      </c>
      <c r="X470" s="39" t="s">
        <v>248</v>
      </c>
      <c r="Y470" s="39" t="s">
        <v>142</v>
      </c>
      <c r="Z470" s="40" t="s">
        <v>49</v>
      </c>
      <c r="AA470" s="136">
        <f t="shared" ca="1" si="40"/>
        <v>809</v>
      </c>
      <c r="AB470" s="40"/>
      <c r="AC470" s="116"/>
      <c r="AD470" s="116"/>
      <c r="AE470" s="40"/>
      <c r="AF470" s="136" t="str">
        <f t="shared" ca="1" si="38"/>
        <v/>
      </c>
      <c r="AG470" s="127"/>
      <c r="AH470" s="127"/>
      <c r="AI470" s="127"/>
      <c r="AJ470" s="128"/>
      <c r="AK470" s="128"/>
      <c r="AL470" s="129"/>
    </row>
    <row r="471" spans="1:38" ht="24.95" customHeight="1" x14ac:dyDescent="0.25">
      <c r="A471" s="140" t="str">
        <f t="shared" si="39"/>
        <v>16REF136</v>
      </c>
      <c r="B471" s="193">
        <v>136</v>
      </c>
      <c r="C471" s="140" t="s">
        <v>39</v>
      </c>
      <c r="D471" s="141" t="s">
        <v>824</v>
      </c>
      <c r="E471" s="124" t="s">
        <v>41</v>
      </c>
      <c r="F471" s="124" t="s">
        <v>1551</v>
      </c>
      <c r="G471" s="251"/>
      <c r="H471" s="34" t="s">
        <v>43</v>
      </c>
      <c r="I471" s="126" t="s">
        <v>1553</v>
      </c>
      <c r="J471" s="47" t="s">
        <v>180</v>
      </c>
      <c r="K471" s="132" t="s">
        <v>61</v>
      </c>
      <c r="L471" s="126" t="s">
        <v>1554</v>
      </c>
      <c r="M471" s="104" t="s">
        <v>1555</v>
      </c>
      <c r="N471" s="265">
        <v>42544</v>
      </c>
      <c r="O471" s="260">
        <v>42676</v>
      </c>
      <c r="P471" s="106" t="s">
        <v>56</v>
      </c>
      <c r="Q471" s="107" t="s">
        <v>1552</v>
      </c>
      <c r="R471" s="266">
        <v>1</v>
      </c>
      <c r="S471" s="37">
        <f>5000-45.55-63-1000</f>
        <v>3891.45</v>
      </c>
      <c r="T471" s="36">
        <f t="shared" ca="1" si="37"/>
        <v>692</v>
      </c>
      <c r="U471" s="37"/>
      <c r="V471" s="37"/>
      <c r="W471" s="38"/>
      <c r="X471" s="39"/>
      <c r="Y471" s="39"/>
      <c r="Z471" s="40"/>
      <c r="AA471" s="136" t="str">
        <f t="shared" ca="1" si="40"/>
        <v/>
      </c>
      <c r="AB471" s="40"/>
      <c r="AC471" s="116"/>
      <c r="AD471" s="116"/>
      <c r="AE471" s="40"/>
      <c r="AF471" s="136" t="str">
        <f t="shared" ca="1" si="38"/>
        <v/>
      </c>
      <c r="AG471" s="127"/>
      <c r="AH471" s="127"/>
      <c r="AI471" s="127"/>
      <c r="AJ471" s="128"/>
      <c r="AK471" s="128"/>
      <c r="AL471" s="129"/>
    </row>
    <row r="472" spans="1:38" ht="24.95" customHeight="1" x14ac:dyDescent="0.25">
      <c r="A472" s="140" t="str">
        <f t="shared" si="39"/>
        <v>16REF137</v>
      </c>
      <c r="B472" s="193">
        <v>137</v>
      </c>
      <c r="C472" s="140" t="s">
        <v>39</v>
      </c>
      <c r="D472" s="141" t="s">
        <v>824</v>
      </c>
      <c r="E472" s="124" t="s">
        <v>41</v>
      </c>
      <c r="F472" s="124" t="s">
        <v>1556</v>
      </c>
      <c r="G472" s="251"/>
      <c r="H472" s="34" t="s">
        <v>43</v>
      </c>
      <c r="I472" s="126" t="s">
        <v>1557</v>
      </c>
      <c r="J472" s="47" t="s">
        <v>105</v>
      </c>
      <c r="K472" s="132" t="s">
        <v>61</v>
      </c>
      <c r="L472" s="126" t="s">
        <v>1559</v>
      </c>
      <c r="M472" s="104" t="s">
        <v>1560</v>
      </c>
      <c r="N472" s="265">
        <v>42544</v>
      </c>
      <c r="O472" s="260">
        <v>42611</v>
      </c>
      <c r="P472" s="106" t="s">
        <v>86</v>
      </c>
      <c r="Q472" s="107" t="s">
        <v>1558</v>
      </c>
      <c r="R472" s="266">
        <v>0.96</v>
      </c>
      <c r="S472" s="37">
        <v>0</v>
      </c>
      <c r="T472" s="36" t="str">
        <f t="shared" ca="1" si="37"/>
        <v>Empty</v>
      </c>
      <c r="U472" s="37" t="s">
        <v>1538</v>
      </c>
      <c r="V472" s="37"/>
      <c r="W472" s="38"/>
      <c r="X472" s="39"/>
      <c r="Y472" s="39"/>
      <c r="Z472" s="40"/>
      <c r="AA472" s="136" t="str">
        <f t="shared" ca="1" si="40"/>
        <v/>
      </c>
      <c r="AB472" s="40"/>
      <c r="AC472" s="116"/>
      <c r="AD472" s="116"/>
      <c r="AE472" s="40"/>
      <c r="AF472" s="136" t="str">
        <f t="shared" ca="1" si="38"/>
        <v/>
      </c>
      <c r="AG472" s="127"/>
      <c r="AH472" s="127"/>
      <c r="AI472" s="127"/>
      <c r="AJ472" s="128"/>
      <c r="AK472" s="128"/>
      <c r="AL472" s="129"/>
    </row>
    <row r="473" spans="1:38" ht="24.95" customHeight="1" x14ac:dyDescent="0.25">
      <c r="A473" s="142" t="str">
        <f t="shared" si="39"/>
        <v>16SAM138</v>
      </c>
      <c r="B473" s="192">
        <v>138</v>
      </c>
      <c r="C473" s="142" t="s">
        <v>57</v>
      </c>
      <c r="D473" s="143" t="s">
        <v>40</v>
      </c>
      <c r="E473" s="124" t="s">
        <v>1373</v>
      </c>
      <c r="F473" s="124" t="s">
        <v>1562</v>
      </c>
      <c r="G473" s="251"/>
      <c r="H473" s="34" t="s">
        <v>43</v>
      </c>
      <c r="I473" s="126" t="s">
        <v>1563</v>
      </c>
      <c r="J473" s="47" t="s">
        <v>180</v>
      </c>
      <c r="K473" s="126">
        <v>301.32</v>
      </c>
      <c r="L473" s="126" t="s">
        <v>1564</v>
      </c>
      <c r="M473" s="104" t="s">
        <v>1565</v>
      </c>
      <c r="N473" s="265">
        <v>42545</v>
      </c>
      <c r="O473" s="260">
        <v>42549</v>
      </c>
      <c r="P473" s="106" t="s">
        <v>183</v>
      </c>
      <c r="Q473" s="107" t="s">
        <v>1566</v>
      </c>
      <c r="R473" s="266">
        <v>0.99</v>
      </c>
      <c r="S473" s="37">
        <v>0</v>
      </c>
      <c r="T473" s="36" t="str">
        <f t="shared" ca="1" si="37"/>
        <v>Empty</v>
      </c>
      <c r="U473" s="37" t="s">
        <v>1575</v>
      </c>
      <c r="V473" s="281" t="s">
        <v>1762</v>
      </c>
      <c r="W473" s="38"/>
      <c r="X473" s="39"/>
      <c r="Y473" s="39"/>
      <c r="Z473" s="40"/>
      <c r="AA473" s="136" t="str">
        <f t="shared" ca="1" si="40"/>
        <v/>
      </c>
      <c r="AB473" s="40"/>
      <c r="AC473" s="116"/>
      <c r="AD473" s="116"/>
      <c r="AE473" s="40"/>
      <c r="AF473" s="136" t="str">
        <f t="shared" ca="1" si="38"/>
        <v/>
      </c>
      <c r="AG473" s="127"/>
      <c r="AH473" s="127"/>
      <c r="AI473" s="127"/>
      <c r="AJ473" s="128"/>
      <c r="AK473" s="128"/>
      <c r="AL473" s="129"/>
    </row>
    <row r="474" spans="1:38" ht="24.95" customHeight="1" x14ac:dyDescent="0.25">
      <c r="A474" s="142" t="str">
        <f t="shared" si="39"/>
        <v>16SAM139</v>
      </c>
      <c r="B474" s="192">
        <v>139</v>
      </c>
      <c r="C474" s="142" t="s">
        <v>57</v>
      </c>
      <c r="D474" s="143" t="s">
        <v>40</v>
      </c>
      <c r="E474" s="124" t="s">
        <v>1373</v>
      </c>
      <c r="F474" s="124" t="s">
        <v>1562</v>
      </c>
      <c r="G474" s="251"/>
      <c r="H474" s="34" t="s">
        <v>43</v>
      </c>
      <c r="I474" s="126" t="s">
        <v>1563</v>
      </c>
      <c r="J474" s="47" t="s">
        <v>180</v>
      </c>
      <c r="K474" s="126">
        <v>301.32</v>
      </c>
      <c r="L474" s="126" t="s">
        <v>1564</v>
      </c>
      <c r="M474" s="104" t="s">
        <v>1565</v>
      </c>
      <c r="N474" s="265">
        <v>42545</v>
      </c>
      <c r="O474" s="260">
        <v>42551</v>
      </c>
      <c r="P474" s="106" t="s">
        <v>183</v>
      </c>
      <c r="Q474" s="107" t="s">
        <v>1566</v>
      </c>
      <c r="R474" s="266">
        <v>0.99</v>
      </c>
      <c r="S474" s="37">
        <v>0</v>
      </c>
      <c r="T474" s="36" t="str">
        <f t="shared" ca="1" si="37"/>
        <v>Empty</v>
      </c>
      <c r="U474" s="37" t="s">
        <v>1575</v>
      </c>
      <c r="V474" s="281" t="s">
        <v>1762</v>
      </c>
      <c r="W474" s="38"/>
      <c r="X474" s="39"/>
      <c r="Y474" s="39"/>
      <c r="Z474" s="40"/>
      <c r="AA474" s="136" t="str">
        <f t="shared" ca="1" si="40"/>
        <v/>
      </c>
      <c r="AB474" s="40"/>
      <c r="AC474" s="116"/>
      <c r="AD474" s="116"/>
      <c r="AE474" s="40"/>
      <c r="AF474" s="136" t="str">
        <f t="shared" ca="1" si="38"/>
        <v/>
      </c>
      <c r="AG474" s="127"/>
      <c r="AH474" s="127"/>
      <c r="AI474" s="127"/>
      <c r="AJ474" s="128"/>
      <c r="AK474" s="128"/>
      <c r="AL474" s="129"/>
    </row>
    <row r="475" spans="1:38" ht="24.95" customHeight="1" x14ac:dyDescent="0.25">
      <c r="A475" s="142" t="str">
        <f t="shared" si="39"/>
        <v>16SAM140</v>
      </c>
      <c r="B475" s="192">
        <v>140</v>
      </c>
      <c r="C475" s="142" t="s">
        <v>57</v>
      </c>
      <c r="D475" s="143" t="s">
        <v>40</v>
      </c>
      <c r="E475" s="124" t="s">
        <v>1373</v>
      </c>
      <c r="F475" s="124" t="s">
        <v>1562</v>
      </c>
      <c r="G475" s="251"/>
      <c r="H475" s="34" t="s">
        <v>43</v>
      </c>
      <c r="I475" s="126" t="s">
        <v>1563</v>
      </c>
      <c r="J475" s="47" t="s">
        <v>180</v>
      </c>
      <c r="K475" s="126">
        <v>301.32</v>
      </c>
      <c r="L475" s="126" t="s">
        <v>1564</v>
      </c>
      <c r="M475" s="104" t="s">
        <v>1565</v>
      </c>
      <c r="N475" s="265">
        <v>42545</v>
      </c>
      <c r="O475" s="260">
        <v>42580</v>
      </c>
      <c r="P475" s="106" t="s">
        <v>183</v>
      </c>
      <c r="Q475" s="107" t="s">
        <v>1566</v>
      </c>
      <c r="R475" s="266">
        <v>0.99</v>
      </c>
      <c r="S475" s="37">
        <v>0</v>
      </c>
      <c r="T475" s="36" t="str">
        <f t="shared" ca="1" si="37"/>
        <v>Empty</v>
      </c>
      <c r="U475" s="37" t="s">
        <v>1575</v>
      </c>
      <c r="V475" s="281" t="s">
        <v>1762</v>
      </c>
      <c r="W475" s="38">
        <v>42580</v>
      </c>
      <c r="X475" s="39" t="s">
        <v>248</v>
      </c>
      <c r="Y475" s="39" t="s">
        <v>995</v>
      </c>
      <c r="Z475" s="40" t="s">
        <v>212</v>
      </c>
      <c r="AA475" s="136">
        <f t="shared" ca="1" si="40"/>
        <v>785</v>
      </c>
      <c r="AB475" s="40"/>
      <c r="AC475" s="116"/>
      <c r="AD475" s="116"/>
      <c r="AE475" s="40"/>
      <c r="AF475" s="136" t="str">
        <f t="shared" ca="1" si="38"/>
        <v/>
      </c>
      <c r="AG475" s="127"/>
      <c r="AH475" s="127"/>
      <c r="AI475" s="127"/>
      <c r="AJ475" s="128"/>
      <c r="AK475" s="128"/>
      <c r="AL475" s="129"/>
    </row>
    <row r="476" spans="1:38" ht="24.95" customHeight="1" x14ac:dyDescent="0.25">
      <c r="A476" s="142" t="str">
        <f t="shared" si="39"/>
        <v>16SAM141</v>
      </c>
      <c r="B476" s="192">
        <v>141</v>
      </c>
      <c r="C476" s="142" t="s">
        <v>57</v>
      </c>
      <c r="D476" s="143" t="s">
        <v>40</v>
      </c>
      <c r="E476" s="124" t="s">
        <v>1373</v>
      </c>
      <c r="F476" s="124" t="s">
        <v>1562</v>
      </c>
      <c r="G476" s="251"/>
      <c r="H476" s="34" t="s">
        <v>43</v>
      </c>
      <c r="I476" s="126" t="s">
        <v>1563</v>
      </c>
      <c r="J476" s="47" t="s">
        <v>180</v>
      </c>
      <c r="K476" s="126">
        <v>301.32</v>
      </c>
      <c r="L476" s="126" t="s">
        <v>1564</v>
      </c>
      <c r="M476" s="104" t="s">
        <v>1565</v>
      </c>
      <c r="N476" s="265">
        <v>42545</v>
      </c>
      <c r="O476" s="260">
        <v>42601</v>
      </c>
      <c r="P476" s="106" t="s">
        <v>183</v>
      </c>
      <c r="Q476" s="107" t="s">
        <v>1566</v>
      </c>
      <c r="R476" s="266">
        <v>0.99</v>
      </c>
      <c r="S476" s="37">
        <v>0</v>
      </c>
      <c r="T476" s="36" t="str">
        <f t="shared" ca="1" si="37"/>
        <v>Empty</v>
      </c>
      <c r="U476" s="37"/>
      <c r="V476" s="281" t="s">
        <v>1762</v>
      </c>
      <c r="W476" s="38"/>
      <c r="X476" s="39"/>
      <c r="Y476" s="39"/>
      <c r="Z476" s="40"/>
      <c r="AA476" s="136" t="str">
        <f t="shared" ca="1" si="40"/>
        <v/>
      </c>
      <c r="AB476" s="40"/>
      <c r="AC476" s="116"/>
      <c r="AD476" s="116"/>
      <c r="AE476" s="40"/>
      <c r="AF476" s="136" t="str">
        <f t="shared" ca="1" si="38"/>
        <v/>
      </c>
      <c r="AG476" s="127"/>
      <c r="AH476" s="127"/>
      <c r="AI476" s="127"/>
      <c r="AJ476" s="128"/>
      <c r="AK476" s="128"/>
      <c r="AL476" s="129"/>
    </row>
    <row r="477" spans="1:38" ht="24.95" customHeight="1" x14ac:dyDescent="0.25">
      <c r="A477" s="142" t="str">
        <f t="shared" si="39"/>
        <v>16SAM142</v>
      </c>
      <c r="B477" s="192">
        <v>142</v>
      </c>
      <c r="C477" s="142" t="s">
        <v>57</v>
      </c>
      <c r="D477" s="143" t="s">
        <v>824</v>
      </c>
      <c r="E477" s="124" t="s">
        <v>294</v>
      </c>
      <c r="F477" s="124" t="s">
        <v>177</v>
      </c>
      <c r="G477" s="251"/>
      <c r="H477" s="34" t="s">
        <v>330</v>
      </c>
      <c r="I477" s="126" t="s">
        <v>1539</v>
      </c>
      <c r="J477" s="47" t="s">
        <v>180</v>
      </c>
      <c r="K477" s="126">
        <v>147.13</v>
      </c>
      <c r="L477" s="126" t="s">
        <v>1540</v>
      </c>
      <c r="M477" s="104" t="s">
        <v>182</v>
      </c>
      <c r="N477" s="265">
        <v>42549</v>
      </c>
      <c r="O477" s="260">
        <v>42558</v>
      </c>
      <c r="P477" s="106" t="s">
        <v>183</v>
      </c>
      <c r="Q477" s="107" t="s">
        <v>1491</v>
      </c>
      <c r="R477" s="244" t="s">
        <v>1418</v>
      </c>
      <c r="S477" s="37">
        <f>50-1.15-1.46-2.23-4.11-8.02</f>
        <v>33.03</v>
      </c>
      <c r="T477" s="36">
        <f t="shared" ref="T477:T540" ca="1" si="41">IF(S477="","",IF(S477=0,"Empty",IF(O477="","",IF(O477,DAYS360(O477,TODAY())))))</f>
        <v>807</v>
      </c>
      <c r="U477" s="37" t="s">
        <v>1538</v>
      </c>
      <c r="V477" s="37"/>
      <c r="W477" s="38">
        <v>42620</v>
      </c>
      <c r="X477" s="39" t="s">
        <v>50</v>
      </c>
      <c r="Y477" s="39" t="s">
        <v>1532</v>
      </c>
      <c r="Z477" s="40" t="s">
        <v>49</v>
      </c>
      <c r="AA477" s="136">
        <f t="shared" ca="1" si="40"/>
        <v>747</v>
      </c>
      <c r="AB477" s="40"/>
      <c r="AC477" s="116"/>
      <c r="AD477" s="116"/>
      <c r="AE477" s="40"/>
      <c r="AF477" s="136" t="str">
        <f t="shared" ca="1" si="38"/>
        <v/>
      </c>
      <c r="AG477" s="127"/>
      <c r="AH477" s="127"/>
      <c r="AI477" s="127"/>
      <c r="AJ477" s="128"/>
      <c r="AK477" s="128"/>
      <c r="AL477" s="129"/>
    </row>
    <row r="478" spans="1:38" ht="24.95" customHeight="1" x14ac:dyDescent="0.25">
      <c r="A478" s="142" t="str">
        <f t="shared" si="39"/>
        <v>16SAM143</v>
      </c>
      <c r="B478" s="192">
        <v>143</v>
      </c>
      <c r="C478" s="142" t="s">
        <v>57</v>
      </c>
      <c r="D478" s="143" t="s">
        <v>824</v>
      </c>
      <c r="E478" s="124" t="s">
        <v>294</v>
      </c>
      <c r="F478" s="124" t="s">
        <v>779</v>
      </c>
      <c r="G478" s="251"/>
      <c r="H478" s="34" t="s">
        <v>330</v>
      </c>
      <c r="I478" s="126" t="s">
        <v>1127</v>
      </c>
      <c r="J478" s="34" t="s">
        <v>180</v>
      </c>
      <c r="K478" s="126">
        <v>197.13</v>
      </c>
      <c r="L478" s="126" t="s">
        <v>781</v>
      </c>
      <c r="M478" s="104" t="s">
        <v>782</v>
      </c>
      <c r="N478" s="265">
        <v>42552</v>
      </c>
      <c r="O478" s="260">
        <v>42556</v>
      </c>
      <c r="P478" s="106" t="s">
        <v>86</v>
      </c>
      <c r="Q478" s="107" t="s">
        <v>510</v>
      </c>
      <c r="R478" s="244" t="s">
        <v>1418</v>
      </c>
      <c r="S478" s="37">
        <v>0</v>
      </c>
      <c r="T478" s="36" t="str">
        <f t="shared" ca="1" si="41"/>
        <v>Empty</v>
      </c>
      <c r="U478" s="37" t="s">
        <v>1538</v>
      </c>
      <c r="V478" s="37"/>
      <c r="W478" s="38">
        <v>42556</v>
      </c>
      <c r="X478" s="39" t="s">
        <v>1608</v>
      </c>
      <c r="Y478" s="39" t="s">
        <v>142</v>
      </c>
      <c r="Z478" s="40" t="s">
        <v>49</v>
      </c>
      <c r="AA478" s="136">
        <f t="shared" ca="1" si="40"/>
        <v>809</v>
      </c>
      <c r="AB478" s="40"/>
      <c r="AC478" s="116"/>
      <c r="AD478" s="116"/>
      <c r="AE478" s="40"/>
      <c r="AF478" s="136" t="str">
        <f t="shared" ca="1" si="38"/>
        <v/>
      </c>
      <c r="AG478" s="127"/>
      <c r="AH478" s="127"/>
      <c r="AI478" s="127"/>
      <c r="AJ478" s="128"/>
      <c r="AK478" s="128"/>
      <c r="AL478" s="129"/>
    </row>
    <row r="479" spans="1:38" ht="30" customHeight="1" x14ac:dyDescent="0.25">
      <c r="A479" s="140" t="str">
        <f t="shared" si="39"/>
        <v>16REF144</v>
      </c>
      <c r="B479" s="193">
        <v>144</v>
      </c>
      <c r="C479" s="140" t="s">
        <v>39</v>
      </c>
      <c r="D479" s="141" t="s">
        <v>744</v>
      </c>
      <c r="E479" s="124" t="s">
        <v>41</v>
      </c>
      <c r="F479" s="124" t="s">
        <v>779</v>
      </c>
      <c r="G479" s="251"/>
      <c r="H479" s="34" t="s">
        <v>330</v>
      </c>
      <c r="I479" s="126" t="s">
        <v>1578</v>
      </c>
      <c r="J479" s="34" t="s">
        <v>180</v>
      </c>
      <c r="K479" s="126">
        <v>197.13</v>
      </c>
      <c r="L479" s="126" t="s">
        <v>966</v>
      </c>
      <c r="M479" s="104" t="s">
        <v>782</v>
      </c>
      <c r="N479" s="265">
        <v>42552</v>
      </c>
      <c r="O479" s="260">
        <v>42697</v>
      </c>
      <c r="P479" s="106" t="s">
        <v>183</v>
      </c>
      <c r="Q479" s="107" t="s">
        <v>510</v>
      </c>
      <c r="R479" s="244" t="s">
        <v>1418</v>
      </c>
      <c r="S479" s="37">
        <v>0</v>
      </c>
      <c r="T479" s="36" t="str">
        <f t="shared" ca="1" si="41"/>
        <v>Empty</v>
      </c>
      <c r="U479" s="37" t="s">
        <v>1493</v>
      </c>
      <c r="V479" s="37"/>
      <c r="W479" s="38">
        <v>42697</v>
      </c>
      <c r="X479" s="39" t="s">
        <v>728</v>
      </c>
      <c r="Y479" s="39" t="s">
        <v>1930</v>
      </c>
      <c r="Z479" s="40" t="s">
        <v>49</v>
      </c>
      <c r="AA479" s="136">
        <f t="shared" ca="1" si="40"/>
        <v>671</v>
      </c>
      <c r="AB479" s="40"/>
      <c r="AC479" s="116"/>
      <c r="AD479" s="116"/>
      <c r="AE479" s="40"/>
      <c r="AF479" s="136" t="str">
        <f t="shared" ca="1" si="38"/>
        <v/>
      </c>
      <c r="AG479" s="127"/>
      <c r="AH479" s="127"/>
      <c r="AI479" s="127"/>
      <c r="AJ479" s="128"/>
      <c r="AK479" s="128"/>
      <c r="AL479" s="129"/>
    </row>
    <row r="480" spans="1:38" ht="24.95" customHeight="1" x14ac:dyDescent="0.25">
      <c r="A480" s="140" t="str">
        <f t="shared" si="39"/>
        <v>16REF145</v>
      </c>
      <c r="B480" s="193">
        <v>145</v>
      </c>
      <c r="C480" s="140" t="s">
        <v>39</v>
      </c>
      <c r="D480" s="141" t="s">
        <v>744</v>
      </c>
      <c r="E480" s="124" t="s">
        <v>41</v>
      </c>
      <c r="F480" s="124" t="s">
        <v>779</v>
      </c>
      <c r="G480" s="251"/>
      <c r="H480" s="34" t="s">
        <v>330</v>
      </c>
      <c r="I480" s="126" t="s">
        <v>1578</v>
      </c>
      <c r="J480" s="34" t="s">
        <v>180</v>
      </c>
      <c r="K480" s="126">
        <v>197.13</v>
      </c>
      <c r="L480" s="126" t="s">
        <v>966</v>
      </c>
      <c r="M480" s="104" t="s">
        <v>782</v>
      </c>
      <c r="N480" s="265">
        <v>42552</v>
      </c>
      <c r="O480" s="260">
        <v>42572</v>
      </c>
      <c r="P480" s="106" t="s">
        <v>183</v>
      </c>
      <c r="Q480" s="107" t="s">
        <v>510</v>
      </c>
      <c r="R480" s="244" t="s">
        <v>1418</v>
      </c>
      <c r="S480" s="37">
        <v>0</v>
      </c>
      <c r="T480" s="36" t="str">
        <f t="shared" ca="1" si="41"/>
        <v>Empty</v>
      </c>
      <c r="U480" s="37" t="s">
        <v>1493</v>
      </c>
      <c r="V480" s="37"/>
      <c r="W480" s="38">
        <v>42572</v>
      </c>
      <c r="X480" s="39" t="s">
        <v>722</v>
      </c>
      <c r="Y480" s="39" t="s">
        <v>1625</v>
      </c>
      <c r="Z480" s="40" t="s">
        <v>49</v>
      </c>
      <c r="AA480" s="136">
        <f t="shared" ca="1" si="40"/>
        <v>793</v>
      </c>
      <c r="AB480" s="271">
        <v>42650</v>
      </c>
      <c r="AC480" s="116" t="s">
        <v>728</v>
      </c>
      <c r="AD480" s="116" t="s">
        <v>1532</v>
      </c>
      <c r="AE480" s="40" t="s">
        <v>49</v>
      </c>
      <c r="AF480" s="136">
        <f t="shared" ca="1" si="38"/>
        <v>717</v>
      </c>
      <c r="AG480" s="127"/>
      <c r="AH480" s="127"/>
      <c r="AI480" s="127"/>
      <c r="AJ480" s="128"/>
      <c r="AK480" s="128"/>
      <c r="AL480" s="129"/>
    </row>
    <row r="481" spans="1:38" ht="24.95" customHeight="1" x14ac:dyDescent="0.25">
      <c r="A481" s="142" t="str">
        <f t="shared" si="39"/>
        <v>16SAM146</v>
      </c>
      <c r="B481" s="192">
        <v>146</v>
      </c>
      <c r="C481" s="142" t="s">
        <v>57</v>
      </c>
      <c r="D481" s="143" t="s">
        <v>40</v>
      </c>
      <c r="E481" s="124" t="s">
        <v>739</v>
      </c>
      <c r="F481" s="124" t="s">
        <v>1329</v>
      </c>
      <c r="G481" s="251"/>
      <c r="H481" s="34" t="s">
        <v>60</v>
      </c>
      <c r="I481" s="126" t="s">
        <v>1579</v>
      </c>
      <c r="J481" s="34" t="s">
        <v>45</v>
      </c>
      <c r="K481" s="126">
        <v>513.6</v>
      </c>
      <c r="L481" s="132" t="s">
        <v>61</v>
      </c>
      <c r="M481" s="105" t="s">
        <v>61</v>
      </c>
      <c r="N481" s="265">
        <v>42555</v>
      </c>
      <c r="O481" s="260">
        <v>42556</v>
      </c>
      <c r="P481" s="106" t="s">
        <v>1580</v>
      </c>
      <c r="Q481" s="107" t="s">
        <v>212</v>
      </c>
      <c r="R481" s="244"/>
      <c r="S481" s="37">
        <v>0</v>
      </c>
      <c r="T481" s="36" t="str">
        <f t="shared" ca="1" si="41"/>
        <v>Empty</v>
      </c>
      <c r="U481" s="37" t="s">
        <v>1581</v>
      </c>
      <c r="V481" s="37"/>
      <c r="W481" s="38">
        <v>42556</v>
      </c>
      <c r="X481" s="39" t="s">
        <v>50</v>
      </c>
      <c r="Y481" s="39" t="s">
        <v>1607</v>
      </c>
      <c r="Z481" s="40" t="s">
        <v>212</v>
      </c>
      <c r="AA481" s="136">
        <f t="shared" ca="1" si="40"/>
        <v>809</v>
      </c>
      <c r="AB481" s="40"/>
      <c r="AC481" s="116"/>
      <c r="AD481" s="116"/>
      <c r="AE481" s="40"/>
      <c r="AF481" s="136" t="str">
        <f t="shared" ca="1" si="38"/>
        <v/>
      </c>
      <c r="AG481" s="127"/>
      <c r="AH481" s="127"/>
      <c r="AI481" s="127"/>
      <c r="AJ481" s="128"/>
      <c r="AK481" s="128"/>
      <c r="AL481" s="129"/>
    </row>
    <row r="482" spans="1:38" ht="24.95" customHeight="1" x14ac:dyDescent="0.25">
      <c r="A482" s="142" t="str">
        <f t="shared" si="39"/>
        <v>16SAM147</v>
      </c>
      <c r="B482" s="192">
        <v>147</v>
      </c>
      <c r="C482" s="142" t="s">
        <v>57</v>
      </c>
      <c r="D482" s="143" t="s">
        <v>1586</v>
      </c>
      <c r="E482" s="124" t="s">
        <v>294</v>
      </c>
      <c r="F482" s="124" t="s">
        <v>1584</v>
      </c>
      <c r="G482" s="251" t="s">
        <v>1583</v>
      </c>
      <c r="H482" s="34" t="s">
        <v>60</v>
      </c>
      <c r="I482" s="132" t="s">
        <v>1585</v>
      </c>
      <c r="J482" s="34" t="s">
        <v>180</v>
      </c>
      <c r="K482" s="126">
        <v>282.81</v>
      </c>
      <c r="L482" s="132" t="s">
        <v>61</v>
      </c>
      <c r="M482" s="105" t="s">
        <v>61</v>
      </c>
      <c r="N482" s="265">
        <v>42556</v>
      </c>
      <c r="O482" s="260">
        <v>42559</v>
      </c>
      <c r="P482" s="106" t="s">
        <v>1587</v>
      </c>
      <c r="Q482" s="107" t="s">
        <v>49</v>
      </c>
      <c r="R482" s="244"/>
      <c r="S482" s="37">
        <f>190-17.6-1.76-19.8</f>
        <v>150.84</v>
      </c>
      <c r="T482" s="36">
        <f t="shared" ca="1" si="41"/>
        <v>806</v>
      </c>
      <c r="U482" s="37" t="s">
        <v>1575</v>
      </c>
      <c r="V482" s="37"/>
      <c r="W482" s="38">
        <v>42560</v>
      </c>
      <c r="X482" s="39" t="s">
        <v>248</v>
      </c>
      <c r="Y482" s="39" t="s">
        <v>1609</v>
      </c>
      <c r="Z482" s="40" t="s">
        <v>49</v>
      </c>
      <c r="AA482" s="136">
        <f t="shared" ca="1" si="40"/>
        <v>805</v>
      </c>
      <c r="AB482" s="271">
        <v>42560</v>
      </c>
      <c r="AC482" s="116" t="s">
        <v>850</v>
      </c>
      <c r="AD482" s="116" t="s">
        <v>1532</v>
      </c>
      <c r="AE482" s="40" t="s">
        <v>49</v>
      </c>
      <c r="AF482" s="136">
        <f t="shared" ca="1" si="38"/>
        <v>805</v>
      </c>
      <c r="AG482" s="127"/>
      <c r="AH482" s="127"/>
      <c r="AI482" s="127"/>
      <c r="AJ482" s="128"/>
      <c r="AK482" s="128"/>
      <c r="AL482" s="129"/>
    </row>
    <row r="483" spans="1:38" ht="24.95" customHeight="1" x14ac:dyDescent="0.25">
      <c r="A483" s="142" t="str">
        <f t="shared" si="39"/>
        <v>16SAM148</v>
      </c>
      <c r="B483" s="192">
        <v>148</v>
      </c>
      <c r="C483" s="142" t="s">
        <v>57</v>
      </c>
      <c r="D483" s="143" t="s">
        <v>170</v>
      </c>
      <c r="E483" s="124" t="s">
        <v>846</v>
      </c>
      <c r="F483" s="124" t="s">
        <v>1592</v>
      </c>
      <c r="G483" s="251"/>
      <c r="H483" s="34" t="s">
        <v>60</v>
      </c>
      <c r="I483" s="126" t="s">
        <v>1761</v>
      </c>
      <c r="J483" s="34" t="s">
        <v>45</v>
      </c>
      <c r="K483" s="126">
        <v>352.39</v>
      </c>
      <c r="L483" s="132" t="s">
        <v>61</v>
      </c>
      <c r="M483" s="105" t="s">
        <v>61</v>
      </c>
      <c r="N483" s="265">
        <v>42558</v>
      </c>
      <c r="O483" s="260">
        <v>42606</v>
      </c>
      <c r="P483" s="106" t="s">
        <v>86</v>
      </c>
      <c r="Q483" s="107" t="s">
        <v>212</v>
      </c>
      <c r="R483" s="244"/>
      <c r="S483" s="37">
        <v>0</v>
      </c>
      <c r="T483" s="36" t="str">
        <f t="shared" ca="1" si="41"/>
        <v>Empty</v>
      </c>
      <c r="U483" s="37" t="s">
        <v>1688</v>
      </c>
      <c r="V483" s="37"/>
      <c r="W483" s="38">
        <v>42606</v>
      </c>
      <c r="X483" s="39" t="s">
        <v>50</v>
      </c>
      <c r="Y483" s="39" t="s">
        <v>1699</v>
      </c>
      <c r="Z483" s="40" t="s">
        <v>212</v>
      </c>
      <c r="AA483" s="136">
        <f t="shared" ca="1" si="40"/>
        <v>760</v>
      </c>
      <c r="AB483" s="40"/>
      <c r="AC483" s="116"/>
      <c r="AD483" s="116"/>
      <c r="AE483" s="40"/>
      <c r="AF483" s="136" t="str">
        <f t="shared" ca="1" si="38"/>
        <v/>
      </c>
      <c r="AG483" s="127"/>
      <c r="AH483" s="127"/>
      <c r="AI483" s="127"/>
      <c r="AJ483" s="128"/>
      <c r="AK483" s="128"/>
      <c r="AL483" s="129"/>
    </row>
    <row r="484" spans="1:38" ht="24.95" customHeight="1" x14ac:dyDescent="0.25">
      <c r="A484" s="142" t="str">
        <f t="shared" si="39"/>
        <v>16SAM149</v>
      </c>
      <c r="B484" s="192">
        <v>149</v>
      </c>
      <c r="C484" s="142" t="s">
        <v>57</v>
      </c>
      <c r="D484" s="143" t="s">
        <v>40</v>
      </c>
      <c r="E484" s="124" t="s">
        <v>1640</v>
      </c>
      <c r="F484" s="124" t="s">
        <v>1689</v>
      </c>
      <c r="G484" s="251" t="s">
        <v>2187</v>
      </c>
      <c r="H484" s="34" t="s">
        <v>60</v>
      </c>
      <c r="I484" s="126" t="s">
        <v>61</v>
      </c>
      <c r="J484" s="47" t="s">
        <v>45</v>
      </c>
      <c r="K484" s="126">
        <v>378.2</v>
      </c>
      <c r="L484" s="126" t="s">
        <v>61</v>
      </c>
      <c r="M484" s="104" t="s">
        <v>61</v>
      </c>
      <c r="N484" s="265">
        <v>42586</v>
      </c>
      <c r="O484" s="260">
        <v>42591</v>
      </c>
      <c r="P484" s="106" t="s">
        <v>139</v>
      </c>
      <c r="Q484" s="107" t="s">
        <v>1056</v>
      </c>
      <c r="R484" s="244"/>
      <c r="S484" s="37">
        <v>0</v>
      </c>
      <c r="T484" s="36" t="str">
        <f t="shared" ca="1" si="41"/>
        <v>Empty</v>
      </c>
      <c r="U484" s="37" t="s">
        <v>1644</v>
      </c>
      <c r="V484" s="242" t="s">
        <v>1682</v>
      </c>
      <c r="W484" s="38">
        <v>42591</v>
      </c>
      <c r="X484" s="39" t="s">
        <v>248</v>
      </c>
      <c r="Y484" s="39" t="s">
        <v>1647</v>
      </c>
      <c r="Z484" s="40" t="s">
        <v>212</v>
      </c>
      <c r="AA484" s="136">
        <f t="shared" ca="1" si="40"/>
        <v>775</v>
      </c>
      <c r="AB484" s="40"/>
      <c r="AC484" s="116"/>
      <c r="AD484" s="116"/>
      <c r="AE484" s="40"/>
      <c r="AF484" s="136" t="str">
        <f t="shared" ca="1" si="38"/>
        <v/>
      </c>
      <c r="AG484" s="127"/>
      <c r="AH484" s="127"/>
      <c r="AI484" s="127"/>
      <c r="AJ484" s="128"/>
      <c r="AK484" s="128"/>
      <c r="AL484" s="129"/>
    </row>
    <row r="485" spans="1:38" ht="24.95" customHeight="1" x14ac:dyDescent="0.25">
      <c r="A485" s="142" t="str">
        <f t="shared" si="39"/>
        <v>16SAM150</v>
      </c>
      <c r="B485" s="192">
        <v>150</v>
      </c>
      <c r="C485" s="142" t="s">
        <v>57</v>
      </c>
      <c r="D485" s="143" t="s">
        <v>40</v>
      </c>
      <c r="E485" s="124" t="s">
        <v>1640</v>
      </c>
      <c r="F485" s="124" t="s">
        <v>1629</v>
      </c>
      <c r="G485" s="251"/>
      <c r="H485" s="34" t="s">
        <v>60</v>
      </c>
      <c r="I485" s="126" t="s">
        <v>61</v>
      </c>
      <c r="J485" s="47" t="s">
        <v>45</v>
      </c>
      <c r="K485" s="126">
        <v>324.39</v>
      </c>
      <c r="L485" s="126" t="s">
        <v>61</v>
      </c>
      <c r="M485" s="104" t="s">
        <v>61</v>
      </c>
      <c r="N485" s="265">
        <v>42586</v>
      </c>
      <c r="O485" s="260">
        <v>42591</v>
      </c>
      <c r="P485" s="106" t="s">
        <v>139</v>
      </c>
      <c r="Q485" s="107" t="s">
        <v>1056</v>
      </c>
      <c r="R485" s="244"/>
      <c r="S485" s="37">
        <v>0</v>
      </c>
      <c r="T485" s="36" t="str">
        <f t="shared" ca="1" si="41"/>
        <v>Empty</v>
      </c>
      <c r="U485" s="37" t="s">
        <v>1644</v>
      </c>
      <c r="V485" s="242" t="s">
        <v>1682</v>
      </c>
      <c r="W485" s="38">
        <v>42591</v>
      </c>
      <c r="X485" s="39" t="s">
        <v>248</v>
      </c>
      <c r="Y485" s="39" t="s">
        <v>1647</v>
      </c>
      <c r="Z485" s="40" t="s">
        <v>212</v>
      </c>
      <c r="AA485" s="136">
        <f t="shared" ca="1" si="40"/>
        <v>775</v>
      </c>
      <c r="AB485" s="40"/>
      <c r="AC485" s="116"/>
      <c r="AD485" s="116"/>
      <c r="AE485" s="40"/>
      <c r="AF485" s="136" t="str">
        <f t="shared" ref="AF485:AF548" ca="1" si="42">IF(AB485="","",IF(AB485,DAYS360(AB485,TODAY())))</f>
        <v/>
      </c>
      <c r="AG485" s="127"/>
      <c r="AH485" s="127"/>
      <c r="AI485" s="127"/>
      <c r="AJ485" s="128"/>
      <c r="AK485" s="128"/>
      <c r="AL485" s="129"/>
    </row>
    <row r="486" spans="1:38" ht="24.95" customHeight="1" x14ac:dyDescent="0.25">
      <c r="A486" s="142" t="str">
        <f t="shared" si="39"/>
        <v>16SAM151</v>
      </c>
      <c r="B486" s="192">
        <v>151</v>
      </c>
      <c r="C486" s="142" t="s">
        <v>57</v>
      </c>
      <c r="D486" s="143" t="s">
        <v>40</v>
      </c>
      <c r="E486" s="124" t="s">
        <v>230</v>
      </c>
      <c r="F486" s="124" t="s">
        <v>1630</v>
      </c>
      <c r="G486" s="251"/>
      <c r="H486" s="34" t="s">
        <v>60</v>
      </c>
      <c r="I486" s="126" t="s">
        <v>1631</v>
      </c>
      <c r="J486" s="47" t="s">
        <v>45</v>
      </c>
      <c r="K486" s="126">
        <v>456.62</v>
      </c>
      <c r="L486" s="126" t="s">
        <v>61</v>
      </c>
      <c r="M486" s="104" t="s">
        <v>61</v>
      </c>
      <c r="N486" s="265">
        <v>42587</v>
      </c>
      <c r="O486" s="260">
        <v>42604</v>
      </c>
      <c r="P486" s="106" t="s">
        <v>1632</v>
      </c>
      <c r="Q486" s="107" t="s">
        <v>1056</v>
      </c>
      <c r="R486" s="244"/>
      <c r="S486" s="37">
        <v>0</v>
      </c>
      <c r="T486" s="36" t="str">
        <f t="shared" ca="1" si="41"/>
        <v>Empty</v>
      </c>
      <c r="U486" s="37"/>
      <c r="V486" s="37"/>
      <c r="W486" s="38">
        <v>42639</v>
      </c>
      <c r="X486" s="39" t="s">
        <v>248</v>
      </c>
      <c r="Y486" s="39" t="s">
        <v>1757</v>
      </c>
      <c r="Z486" s="40" t="s">
        <v>212</v>
      </c>
      <c r="AA486" s="136">
        <f t="shared" ca="1" si="40"/>
        <v>728</v>
      </c>
      <c r="AB486" s="40"/>
      <c r="AC486" s="116"/>
      <c r="AD486" s="116"/>
      <c r="AE486" s="40"/>
      <c r="AF486" s="136" t="str">
        <f t="shared" ca="1" si="42"/>
        <v/>
      </c>
      <c r="AG486" s="127"/>
      <c r="AH486" s="127"/>
      <c r="AI486" s="127"/>
      <c r="AJ486" s="128"/>
      <c r="AK486" s="128"/>
      <c r="AL486" s="129"/>
    </row>
    <row r="487" spans="1:38" ht="24.95" customHeight="1" x14ac:dyDescent="0.25">
      <c r="A487" s="142" t="str">
        <f t="shared" si="39"/>
        <v>16SAM152</v>
      </c>
      <c r="B487" s="192">
        <v>152</v>
      </c>
      <c r="C487" s="142" t="s">
        <v>57</v>
      </c>
      <c r="D487" s="143" t="s">
        <v>170</v>
      </c>
      <c r="E487" s="124" t="s">
        <v>79</v>
      </c>
      <c r="F487" s="124" t="s">
        <v>1635</v>
      </c>
      <c r="G487" s="251"/>
      <c r="H487" s="34" t="s">
        <v>43</v>
      </c>
      <c r="I487" s="126" t="s">
        <v>1636</v>
      </c>
      <c r="J487" s="47" t="s">
        <v>45</v>
      </c>
      <c r="K487" s="126">
        <v>266.08999999999997</v>
      </c>
      <c r="L487" s="126" t="s">
        <v>1637</v>
      </c>
      <c r="M487" s="104" t="s">
        <v>1638</v>
      </c>
      <c r="N487" s="265">
        <v>42590</v>
      </c>
      <c r="O487" s="260"/>
      <c r="P487" s="106" t="s">
        <v>160</v>
      </c>
      <c r="Q487" s="107" t="s">
        <v>1527</v>
      </c>
      <c r="R487" s="266">
        <v>1</v>
      </c>
      <c r="S487" s="37"/>
      <c r="T487" s="36" t="str">
        <f t="shared" ca="1" si="41"/>
        <v/>
      </c>
      <c r="U487" s="37" t="s">
        <v>1639</v>
      </c>
      <c r="V487" s="37"/>
      <c r="W487" s="38"/>
      <c r="X487" s="39"/>
      <c r="Y487" s="39"/>
      <c r="Z487" s="40"/>
      <c r="AA487" s="136" t="str">
        <f t="shared" ca="1" si="40"/>
        <v/>
      </c>
      <c r="AB487" s="40"/>
      <c r="AC487" s="116"/>
      <c r="AD487" s="116"/>
      <c r="AE487" s="40"/>
      <c r="AF487" s="136" t="str">
        <f t="shared" ca="1" si="42"/>
        <v/>
      </c>
      <c r="AG487" s="127"/>
      <c r="AH487" s="127"/>
      <c r="AI487" s="127"/>
      <c r="AJ487" s="128"/>
      <c r="AK487" s="128"/>
      <c r="AL487" s="129"/>
    </row>
    <row r="488" spans="1:38" ht="24.95" customHeight="1" x14ac:dyDescent="0.25">
      <c r="A488" s="142" t="str">
        <f t="shared" si="39"/>
        <v>16SAM153</v>
      </c>
      <c r="B488" s="192">
        <v>153</v>
      </c>
      <c r="C488" s="142" t="s">
        <v>57</v>
      </c>
      <c r="D488" s="143" t="s">
        <v>40</v>
      </c>
      <c r="E488" s="124" t="s">
        <v>1640</v>
      </c>
      <c r="F488" s="278" t="s">
        <v>1643</v>
      </c>
      <c r="G488" s="124" t="s">
        <v>1641</v>
      </c>
      <c r="H488" s="34" t="s">
        <v>60</v>
      </c>
      <c r="I488" s="126" t="s">
        <v>1642</v>
      </c>
      <c r="J488" s="47" t="s">
        <v>45</v>
      </c>
      <c r="K488" s="126">
        <v>336.39</v>
      </c>
      <c r="L488" s="132" t="s">
        <v>61</v>
      </c>
      <c r="M488" s="105" t="s">
        <v>61</v>
      </c>
      <c r="N488" s="265">
        <v>42590</v>
      </c>
      <c r="O488" s="260">
        <v>42591</v>
      </c>
      <c r="P488" s="106" t="s">
        <v>1427</v>
      </c>
      <c r="Q488" s="107" t="s">
        <v>1056</v>
      </c>
      <c r="R488" s="244"/>
      <c r="S488" s="37">
        <v>0</v>
      </c>
      <c r="T488" s="36" t="str">
        <f t="shared" ca="1" si="41"/>
        <v>Empty</v>
      </c>
      <c r="U488" s="37" t="s">
        <v>1644</v>
      </c>
      <c r="V488" s="242" t="s">
        <v>1682</v>
      </c>
      <c r="W488" s="38">
        <v>42591</v>
      </c>
      <c r="X488" s="39" t="s">
        <v>248</v>
      </c>
      <c r="Y488" s="39" t="s">
        <v>1647</v>
      </c>
      <c r="Z488" s="40" t="s">
        <v>212</v>
      </c>
      <c r="AA488" s="136">
        <f t="shared" ca="1" si="40"/>
        <v>775</v>
      </c>
      <c r="AB488" s="40"/>
      <c r="AC488" s="116"/>
      <c r="AD488" s="116"/>
      <c r="AE488" s="40"/>
      <c r="AF488" s="136" t="str">
        <f t="shared" ca="1" si="42"/>
        <v/>
      </c>
      <c r="AG488" s="127"/>
      <c r="AH488" s="127"/>
      <c r="AI488" s="127"/>
      <c r="AJ488" s="128"/>
      <c r="AK488" s="128"/>
      <c r="AL488" s="129"/>
    </row>
    <row r="489" spans="1:38" ht="24.95" customHeight="1" x14ac:dyDescent="0.25">
      <c r="A489" s="142" t="str">
        <f t="shared" si="39"/>
        <v>16SAM154</v>
      </c>
      <c r="B489" s="192">
        <v>154</v>
      </c>
      <c r="C489" s="142" t="s">
        <v>57</v>
      </c>
      <c r="D489" s="143" t="s">
        <v>170</v>
      </c>
      <c r="E489" s="124" t="s">
        <v>825</v>
      </c>
      <c r="F489" s="124" t="s">
        <v>1598</v>
      </c>
      <c r="G489" s="251"/>
      <c r="H489" s="34" t="s">
        <v>112</v>
      </c>
      <c r="I489" s="126" t="s">
        <v>1652</v>
      </c>
      <c r="J489" s="34" t="s">
        <v>45</v>
      </c>
      <c r="K489" s="126">
        <v>159.22999999999999</v>
      </c>
      <c r="L489" s="126">
        <v>3775</v>
      </c>
      <c r="M489" s="104" t="s">
        <v>1653</v>
      </c>
      <c r="N489" s="265">
        <v>42592</v>
      </c>
      <c r="O489" s="260">
        <v>42592</v>
      </c>
      <c r="P489" s="106" t="s">
        <v>183</v>
      </c>
      <c r="Q489" s="107" t="s">
        <v>1654</v>
      </c>
      <c r="R489" s="244"/>
      <c r="S489" s="37">
        <v>0</v>
      </c>
      <c r="T489" s="36" t="str">
        <f t="shared" ca="1" si="41"/>
        <v>Empty</v>
      </c>
      <c r="U489" s="37"/>
      <c r="V489" s="37"/>
      <c r="W489" s="38"/>
      <c r="X489" s="39"/>
      <c r="Y489" s="39"/>
      <c r="Z489" s="40"/>
      <c r="AA489" s="136" t="str">
        <f t="shared" ca="1" si="40"/>
        <v/>
      </c>
      <c r="AB489" s="40"/>
      <c r="AC489" s="116"/>
      <c r="AD489" s="116"/>
      <c r="AE489" s="40"/>
      <c r="AF489" s="136" t="str">
        <f t="shared" ca="1" si="42"/>
        <v/>
      </c>
      <c r="AG489" s="127"/>
      <c r="AH489" s="127"/>
      <c r="AI489" s="127"/>
      <c r="AJ489" s="128"/>
      <c r="AK489" s="128"/>
      <c r="AL489" s="129"/>
    </row>
    <row r="490" spans="1:38" ht="24.95" customHeight="1" x14ac:dyDescent="0.25">
      <c r="A490" s="142" t="str">
        <f t="shared" si="39"/>
        <v>16SAM155</v>
      </c>
      <c r="B490" s="192">
        <v>155</v>
      </c>
      <c r="C490" s="142" t="s">
        <v>57</v>
      </c>
      <c r="D490" s="143" t="s">
        <v>40</v>
      </c>
      <c r="E490" s="124" t="s">
        <v>1640</v>
      </c>
      <c r="F490" s="124" t="s">
        <v>1668</v>
      </c>
      <c r="G490" s="251"/>
      <c r="H490" s="34" t="s">
        <v>60</v>
      </c>
      <c r="I490" s="132" t="s">
        <v>61</v>
      </c>
      <c r="J490" s="34" t="s">
        <v>45</v>
      </c>
      <c r="K490" s="126">
        <v>354.42</v>
      </c>
      <c r="L490" s="132" t="s">
        <v>61</v>
      </c>
      <c r="M490" s="105" t="s">
        <v>61</v>
      </c>
      <c r="N490" s="265">
        <v>816</v>
      </c>
      <c r="O490" s="260">
        <v>42600</v>
      </c>
      <c r="P490" s="106" t="s">
        <v>139</v>
      </c>
      <c r="Q490" s="107" t="s">
        <v>212</v>
      </c>
      <c r="R490" s="244"/>
      <c r="S490" s="37">
        <v>0</v>
      </c>
      <c r="T490" s="36" t="str">
        <f t="shared" ca="1" si="41"/>
        <v>Empty</v>
      </c>
      <c r="U490" s="37" t="s">
        <v>1644</v>
      </c>
      <c r="V490" s="37"/>
      <c r="W490" s="38">
        <v>42600</v>
      </c>
      <c r="X490" s="39" t="s">
        <v>248</v>
      </c>
      <c r="Y490" s="39" t="s">
        <v>1428</v>
      </c>
      <c r="Z490" s="40" t="s">
        <v>212</v>
      </c>
      <c r="AA490" s="136">
        <f t="shared" ca="1" si="40"/>
        <v>766</v>
      </c>
      <c r="AB490" s="40"/>
      <c r="AC490" s="116"/>
      <c r="AD490" s="116"/>
      <c r="AE490" s="40"/>
      <c r="AF490" s="136" t="str">
        <f t="shared" ca="1" si="42"/>
        <v/>
      </c>
      <c r="AG490" s="127"/>
      <c r="AH490" s="127"/>
      <c r="AI490" s="127"/>
      <c r="AJ490" s="128"/>
      <c r="AK490" s="128"/>
      <c r="AL490" s="129"/>
    </row>
    <row r="491" spans="1:38" ht="24.95" customHeight="1" x14ac:dyDescent="0.25">
      <c r="A491" s="142" t="str">
        <f t="shared" si="39"/>
        <v>16SAM156</v>
      </c>
      <c r="B491" s="192">
        <v>156</v>
      </c>
      <c r="C491" s="142" t="s">
        <v>57</v>
      </c>
      <c r="D491" s="143" t="s">
        <v>170</v>
      </c>
      <c r="E491" s="124" t="s">
        <v>79</v>
      </c>
      <c r="F491" s="124" t="s">
        <v>1673</v>
      </c>
      <c r="G491" s="251"/>
      <c r="H491" s="34" t="s">
        <v>60</v>
      </c>
      <c r="I491" s="132" t="s">
        <v>61</v>
      </c>
      <c r="J491" s="47" t="s">
        <v>45</v>
      </c>
      <c r="K491" s="126">
        <v>342.8</v>
      </c>
      <c r="L491" s="132" t="s">
        <v>61</v>
      </c>
      <c r="M491" s="105" t="s">
        <v>61</v>
      </c>
      <c r="N491" s="265">
        <v>42601</v>
      </c>
      <c r="O491" s="260">
        <v>42632</v>
      </c>
      <c r="P491" s="106" t="s">
        <v>1674</v>
      </c>
      <c r="Q491" s="107" t="s">
        <v>1457</v>
      </c>
      <c r="R491" s="266">
        <v>1</v>
      </c>
      <c r="S491" s="37">
        <v>0</v>
      </c>
      <c r="T491" s="36" t="str">
        <f t="shared" ca="1" si="41"/>
        <v>Empty</v>
      </c>
      <c r="U491" s="37" t="s">
        <v>1639</v>
      </c>
      <c r="V491" s="37"/>
      <c r="W491" s="38">
        <v>42632</v>
      </c>
      <c r="X491" s="39" t="s">
        <v>248</v>
      </c>
      <c r="Y491" s="39" t="s">
        <v>1532</v>
      </c>
      <c r="Z491" s="40" t="s">
        <v>212</v>
      </c>
      <c r="AA491" s="136">
        <f t="shared" ca="1" si="40"/>
        <v>735</v>
      </c>
      <c r="AB491" s="40"/>
      <c r="AC491" s="116"/>
      <c r="AD491" s="116"/>
      <c r="AE491" s="40"/>
      <c r="AF491" s="136" t="str">
        <f t="shared" ca="1" si="42"/>
        <v/>
      </c>
      <c r="AG491" s="127"/>
      <c r="AH491" s="127"/>
      <c r="AI491" s="127"/>
      <c r="AJ491" s="128"/>
      <c r="AK491" s="128"/>
      <c r="AL491" s="129"/>
    </row>
    <row r="492" spans="1:38" ht="24.95" customHeight="1" x14ac:dyDescent="0.25">
      <c r="A492" s="142" t="str">
        <f t="shared" si="39"/>
        <v>16SAM157</v>
      </c>
      <c r="B492" s="192">
        <v>157</v>
      </c>
      <c r="C492" s="142" t="s">
        <v>57</v>
      </c>
      <c r="D492" s="143" t="s">
        <v>40</v>
      </c>
      <c r="E492" s="124" t="s">
        <v>1640</v>
      </c>
      <c r="F492" s="124" t="s">
        <v>1689</v>
      </c>
      <c r="G492" s="251" t="s">
        <v>1691</v>
      </c>
      <c r="H492" s="34" t="s">
        <v>60</v>
      </c>
      <c r="I492" s="132" t="s">
        <v>61</v>
      </c>
      <c r="J492" s="34" t="s">
        <v>45</v>
      </c>
      <c r="K492" s="126">
        <v>378.42</v>
      </c>
      <c r="L492" s="132" t="s">
        <v>61</v>
      </c>
      <c r="M492" s="105" t="s">
        <v>61</v>
      </c>
      <c r="N492" s="265">
        <v>42608</v>
      </c>
      <c r="O492" s="260">
        <v>42660</v>
      </c>
      <c r="P492" s="106" t="s">
        <v>406</v>
      </c>
      <c r="Q492" s="107" t="s">
        <v>1056</v>
      </c>
      <c r="R492" s="244"/>
      <c r="S492" s="37">
        <f>20.1-10.1-4.17</f>
        <v>5.8300000000000018</v>
      </c>
      <c r="T492" s="36">
        <f t="shared" ca="1" si="41"/>
        <v>707</v>
      </c>
      <c r="U492" s="37" t="s">
        <v>1692</v>
      </c>
      <c r="V492" s="242" t="s">
        <v>1682</v>
      </c>
      <c r="W492" s="38">
        <v>42660</v>
      </c>
      <c r="X492" s="39" t="s">
        <v>248</v>
      </c>
      <c r="Y492" s="39" t="s">
        <v>1428</v>
      </c>
      <c r="Z492" s="40" t="s">
        <v>212</v>
      </c>
      <c r="AA492" s="136">
        <f t="shared" ca="1" si="40"/>
        <v>707</v>
      </c>
      <c r="AB492" s="40"/>
      <c r="AC492" s="116"/>
      <c r="AD492" s="116"/>
      <c r="AE492" s="40"/>
      <c r="AF492" s="136" t="str">
        <f t="shared" ca="1" si="42"/>
        <v/>
      </c>
      <c r="AG492" s="127"/>
      <c r="AH492" s="127"/>
      <c r="AI492" s="127"/>
      <c r="AJ492" s="128"/>
      <c r="AK492" s="128"/>
      <c r="AL492" s="129"/>
    </row>
    <row r="493" spans="1:38" ht="24.95" customHeight="1" x14ac:dyDescent="0.25">
      <c r="A493" s="142" t="str">
        <f t="shared" si="39"/>
        <v>16SAM158</v>
      </c>
      <c r="B493" s="192">
        <v>158</v>
      </c>
      <c r="C493" s="142" t="s">
        <v>57</v>
      </c>
      <c r="D493" s="143" t="s">
        <v>40</v>
      </c>
      <c r="E493" s="124" t="s">
        <v>1640</v>
      </c>
      <c r="F493" s="124" t="s">
        <v>1690</v>
      </c>
      <c r="G493" s="251" t="s">
        <v>1693</v>
      </c>
      <c r="H493" s="34" t="s">
        <v>60</v>
      </c>
      <c r="I493" s="132" t="s">
        <v>61</v>
      </c>
      <c r="J493" s="34" t="s">
        <v>45</v>
      </c>
      <c r="K493" s="126">
        <v>324.39</v>
      </c>
      <c r="L493" s="132" t="s">
        <v>61</v>
      </c>
      <c r="M493" s="105" t="s">
        <v>61</v>
      </c>
      <c r="N493" s="265">
        <v>42608</v>
      </c>
      <c r="O493" s="260"/>
      <c r="P493" s="106" t="s">
        <v>409</v>
      </c>
      <c r="Q493" s="107" t="s">
        <v>1056</v>
      </c>
      <c r="R493" s="244"/>
      <c r="S493" s="37"/>
      <c r="T493" s="36" t="str">
        <f t="shared" ca="1" si="41"/>
        <v/>
      </c>
      <c r="U493" s="37" t="s">
        <v>1692</v>
      </c>
      <c r="V493" s="242" t="s">
        <v>1682</v>
      </c>
      <c r="W493" s="38"/>
      <c r="X493" s="39"/>
      <c r="Y493" s="39"/>
      <c r="Z493" s="40"/>
      <c r="AA493" s="136" t="str">
        <f t="shared" ca="1" si="40"/>
        <v/>
      </c>
      <c r="AB493" s="40"/>
      <c r="AC493" s="116"/>
      <c r="AD493" s="116"/>
      <c r="AE493" s="40"/>
      <c r="AF493" s="136" t="str">
        <f t="shared" ca="1" si="42"/>
        <v/>
      </c>
      <c r="AG493" s="127"/>
      <c r="AH493" s="127"/>
      <c r="AI493" s="127"/>
      <c r="AJ493" s="128"/>
      <c r="AK493" s="128"/>
      <c r="AL493" s="129"/>
    </row>
    <row r="494" spans="1:38" ht="24.95" customHeight="1" x14ac:dyDescent="0.25">
      <c r="A494" s="140" t="str">
        <f t="shared" si="39"/>
        <v>16REF159</v>
      </c>
      <c r="B494" s="193">
        <v>159</v>
      </c>
      <c r="C494" s="140" t="s">
        <v>39</v>
      </c>
      <c r="D494" s="141" t="s">
        <v>744</v>
      </c>
      <c r="E494" s="124" t="s">
        <v>41</v>
      </c>
      <c r="F494" s="124" t="s">
        <v>2954</v>
      </c>
      <c r="G494" s="251"/>
      <c r="H494" s="34" t="s">
        <v>1703</v>
      </c>
      <c r="I494" s="126">
        <v>612.15099999999995</v>
      </c>
      <c r="J494" s="34" t="s">
        <v>180</v>
      </c>
      <c r="K494" s="126">
        <v>319.27999999999997</v>
      </c>
      <c r="L494" s="126" t="s">
        <v>1704</v>
      </c>
      <c r="M494" s="105" t="s">
        <v>61</v>
      </c>
      <c r="N494" s="265">
        <v>42614</v>
      </c>
      <c r="O494" s="260">
        <v>42625</v>
      </c>
      <c r="P494" s="106" t="s">
        <v>1705</v>
      </c>
      <c r="Q494" s="107" t="s">
        <v>1706</v>
      </c>
      <c r="R494" s="266">
        <v>0.99</v>
      </c>
      <c r="S494" s="37">
        <v>0</v>
      </c>
      <c r="T494" s="36" t="str">
        <f t="shared" ca="1" si="41"/>
        <v>Empty</v>
      </c>
      <c r="U494" s="37" t="s">
        <v>1493</v>
      </c>
      <c r="V494" s="37"/>
      <c r="W494" s="38">
        <v>42663</v>
      </c>
      <c r="X494" s="39" t="s">
        <v>50</v>
      </c>
      <c r="Y494" s="39" t="s">
        <v>1532</v>
      </c>
      <c r="Z494" s="40" t="s">
        <v>1724</v>
      </c>
      <c r="AA494" s="136">
        <f t="shared" ca="1" si="40"/>
        <v>704</v>
      </c>
      <c r="AB494" s="40"/>
      <c r="AC494" s="116"/>
      <c r="AD494" s="116"/>
      <c r="AE494" s="40"/>
      <c r="AF494" s="136" t="str">
        <f t="shared" ca="1" si="42"/>
        <v/>
      </c>
      <c r="AG494" s="127"/>
      <c r="AH494" s="127"/>
      <c r="AI494" s="127"/>
      <c r="AJ494" s="128"/>
      <c r="AK494" s="128"/>
      <c r="AL494" s="129"/>
    </row>
    <row r="495" spans="1:38" ht="23.25" x14ac:dyDescent="0.25">
      <c r="A495" s="142" t="str">
        <f t="shared" si="39"/>
        <v>16SAM160</v>
      </c>
      <c r="B495" s="192">
        <v>160</v>
      </c>
      <c r="C495" s="142" t="s">
        <v>57</v>
      </c>
      <c r="D495" s="143" t="s">
        <v>170</v>
      </c>
      <c r="E495" s="124" t="s">
        <v>739</v>
      </c>
      <c r="F495" s="124" t="s">
        <v>1367</v>
      </c>
      <c r="G495" s="251"/>
      <c r="H495" s="34" t="s">
        <v>43</v>
      </c>
      <c r="I495" s="126" t="s">
        <v>1707</v>
      </c>
      <c r="J495" s="47" t="s">
        <v>105</v>
      </c>
      <c r="K495" s="126">
        <v>397.63</v>
      </c>
      <c r="L495" s="126" t="s">
        <v>1708</v>
      </c>
      <c r="M495" s="104" t="s">
        <v>1370</v>
      </c>
      <c r="N495" s="265">
        <v>42621</v>
      </c>
      <c r="O495" s="260">
        <v>42622</v>
      </c>
      <c r="P495" s="106" t="s">
        <v>497</v>
      </c>
      <c r="Q495" s="107" t="s">
        <v>1709</v>
      </c>
      <c r="R495" s="266">
        <v>0.99</v>
      </c>
      <c r="S495" s="37">
        <v>0</v>
      </c>
      <c r="T495" s="36" t="str">
        <f t="shared" ca="1" si="41"/>
        <v>Empty</v>
      </c>
      <c r="U495" s="37" t="s">
        <v>1372</v>
      </c>
      <c r="V495" s="281" t="s">
        <v>1760</v>
      </c>
      <c r="W495" s="38">
        <v>42622</v>
      </c>
      <c r="X495" s="39" t="s">
        <v>722</v>
      </c>
      <c r="Y495" s="39" t="s">
        <v>1532</v>
      </c>
      <c r="Z495" s="40" t="s">
        <v>212</v>
      </c>
      <c r="AA495" s="136">
        <f t="shared" ca="1" si="40"/>
        <v>745</v>
      </c>
      <c r="AB495" s="40"/>
      <c r="AC495" s="116"/>
      <c r="AD495" s="116"/>
      <c r="AE495" s="40"/>
      <c r="AF495" s="136" t="str">
        <f t="shared" ca="1" si="42"/>
        <v/>
      </c>
      <c r="AG495" s="127"/>
      <c r="AH495" s="127"/>
      <c r="AI495" s="127"/>
      <c r="AJ495" s="128"/>
      <c r="AK495" s="128"/>
      <c r="AL495" s="129"/>
    </row>
    <row r="496" spans="1:38" ht="24.95" customHeight="1" x14ac:dyDescent="0.25">
      <c r="A496" s="142" t="str">
        <f t="shared" si="39"/>
        <v>16SAM161</v>
      </c>
      <c r="B496" s="192">
        <v>161</v>
      </c>
      <c r="C496" s="142" t="s">
        <v>57</v>
      </c>
      <c r="D496" s="143" t="s">
        <v>170</v>
      </c>
      <c r="E496" s="124" t="s">
        <v>739</v>
      </c>
      <c r="F496" s="124" t="s">
        <v>1710</v>
      </c>
      <c r="G496" s="251" t="s">
        <v>1711</v>
      </c>
      <c r="H496" s="34" t="s">
        <v>60</v>
      </c>
      <c r="I496" s="132" t="s">
        <v>61</v>
      </c>
      <c r="J496" s="34" t="s">
        <v>45</v>
      </c>
      <c r="K496" s="126">
        <v>421.06</v>
      </c>
      <c r="L496" s="132" t="s">
        <v>61</v>
      </c>
      <c r="M496" s="105" t="s">
        <v>61</v>
      </c>
      <c r="N496" s="265">
        <v>42621</v>
      </c>
      <c r="O496" s="260">
        <v>42669</v>
      </c>
      <c r="P496" s="106" t="s">
        <v>1712</v>
      </c>
      <c r="Q496" s="107" t="s">
        <v>212</v>
      </c>
      <c r="R496" s="244"/>
      <c r="S496" s="37">
        <v>0</v>
      </c>
      <c r="T496" s="36" t="str">
        <f t="shared" ca="1" si="41"/>
        <v>Empty</v>
      </c>
      <c r="U496" s="37" t="s">
        <v>1372</v>
      </c>
      <c r="V496" s="37"/>
      <c r="W496" s="38">
        <v>42669</v>
      </c>
      <c r="X496" s="39" t="s">
        <v>1758</v>
      </c>
      <c r="Y496" s="39" t="s">
        <v>1913</v>
      </c>
      <c r="Z496" s="40" t="s">
        <v>212</v>
      </c>
      <c r="AA496" s="136">
        <f t="shared" ca="1" si="40"/>
        <v>698</v>
      </c>
      <c r="AB496" s="40"/>
      <c r="AC496" s="116"/>
      <c r="AD496" s="116"/>
      <c r="AE496" s="40"/>
      <c r="AF496" s="136" t="str">
        <f t="shared" ca="1" si="42"/>
        <v/>
      </c>
      <c r="AG496" s="127"/>
      <c r="AH496" s="127"/>
      <c r="AI496" s="127"/>
      <c r="AJ496" s="128"/>
      <c r="AK496" s="128"/>
      <c r="AL496" s="129"/>
    </row>
    <row r="497" spans="1:38" ht="24.95" customHeight="1" x14ac:dyDescent="0.25">
      <c r="A497" s="142" t="str">
        <f t="shared" si="39"/>
        <v>16SAM162</v>
      </c>
      <c r="B497" s="192">
        <v>162</v>
      </c>
      <c r="C497" s="142" t="s">
        <v>57</v>
      </c>
      <c r="D497" s="143" t="s">
        <v>40</v>
      </c>
      <c r="E497" s="124" t="s">
        <v>1373</v>
      </c>
      <c r="F497" s="124" t="s">
        <v>1713</v>
      </c>
      <c r="G497" s="251"/>
      <c r="H497" s="34" t="s">
        <v>43</v>
      </c>
      <c r="I497" s="126" t="s">
        <v>1714</v>
      </c>
      <c r="J497" s="34" t="s">
        <v>180</v>
      </c>
      <c r="K497" s="126">
        <v>853.91</v>
      </c>
      <c r="L497" s="126" t="s">
        <v>1715</v>
      </c>
      <c r="M497" s="104" t="s">
        <v>1716</v>
      </c>
      <c r="N497" s="265">
        <v>42622</v>
      </c>
      <c r="O497" s="260">
        <v>42646</v>
      </c>
      <c r="P497" s="106" t="s">
        <v>139</v>
      </c>
      <c r="Q497" s="107" t="s">
        <v>1717</v>
      </c>
      <c r="R497" s="266">
        <v>1</v>
      </c>
      <c r="S497" s="37">
        <v>0</v>
      </c>
      <c r="T497" s="36" t="str">
        <f t="shared" ca="1" si="41"/>
        <v>Empty</v>
      </c>
      <c r="U497" s="37" t="s">
        <v>1782</v>
      </c>
      <c r="V497" s="281" t="s">
        <v>1762</v>
      </c>
      <c r="W497" s="38">
        <v>42647</v>
      </c>
      <c r="X497" s="39" t="s">
        <v>248</v>
      </c>
      <c r="Y497" s="39" t="s">
        <v>651</v>
      </c>
      <c r="Z497" s="40" t="s">
        <v>212</v>
      </c>
      <c r="AA497" s="136">
        <f t="shared" ca="1" si="40"/>
        <v>720</v>
      </c>
      <c r="AB497" s="40"/>
      <c r="AC497" s="116"/>
      <c r="AD497" s="116"/>
      <c r="AE497" s="40"/>
      <c r="AF497" s="136" t="str">
        <f t="shared" ca="1" si="42"/>
        <v/>
      </c>
      <c r="AG497" s="127"/>
      <c r="AH497" s="127"/>
      <c r="AI497" s="127"/>
      <c r="AJ497" s="128"/>
      <c r="AK497" s="128"/>
      <c r="AL497" s="129"/>
    </row>
    <row r="498" spans="1:38" ht="24.95" customHeight="1" x14ac:dyDescent="0.25">
      <c r="A498" s="142" t="str">
        <f t="shared" si="39"/>
        <v>16SAM163</v>
      </c>
      <c r="B498" s="192">
        <v>163</v>
      </c>
      <c r="C498" s="142" t="s">
        <v>57</v>
      </c>
      <c r="D498" s="143" t="s">
        <v>40</v>
      </c>
      <c r="E498" s="124" t="s">
        <v>1373</v>
      </c>
      <c r="F498" s="124" t="s">
        <v>1713</v>
      </c>
      <c r="G498" s="251"/>
      <c r="H498" s="34" t="s">
        <v>43</v>
      </c>
      <c r="I498" s="126" t="s">
        <v>1714</v>
      </c>
      <c r="J498" s="34" t="s">
        <v>180</v>
      </c>
      <c r="K498" s="126">
        <v>853.91</v>
      </c>
      <c r="L498" s="126" t="s">
        <v>1715</v>
      </c>
      <c r="M498" s="104" t="s">
        <v>1716</v>
      </c>
      <c r="N498" s="265">
        <v>42622</v>
      </c>
      <c r="O498" s="260">
        <v>42646</v>
      </c>
      <c r="P498" s="106" t="s">
        <v>139</v>
      </c>
      <c r="Q498" s="107" t="s">
        <v>1717</v>
      </c>
      <c r="R498" s="266">
        <v>1</v>
      </c>
      <c r="S498" s="37">
        <v>0</v>
      </c>
      <c r="T498" s="36" t="str">
        <f t="shared" ca="1" si="41"/>
        <v>Empty</v>
      </c>
      <c r="U498" s="37" t="s">
        <v>1782</v>
      </c>
      <c r="V498" s="281" t="s">
        <v>1762</v>
      </c>
      <c r="W498" s="38">
        <v>42647</v>
      </c>
      <c r="X498" s="39" t="s">
        <v>248</v>
      </c>
      <c r="Y498" s="39" t="s">
        <v>651</v>
      </c>
      <c r="Z498" s="40" t="s">
        <v>212</v>
      </c>
      <c r="AA498" s="136">
        <f t="shared" ca="1" si="40"/>
        <v>720</v>
      </c>
      <c r="AB498" s="40"/>
      <c r="AC498" s="116"/>
      <c r="AD498" s="116"/>
      <c r="AE498" s="40"/>
      <c r="AF498" s="136" t="str">
        <f t="shared" ca="1" si="42"/>
        <v/>
      </c>
      <c r="AG498" s="127"/>
      <c r="AH498" s="127"/>
      <c r="AI498" s="127"/>
      <c r="AJ498" s="128"/>
      <c r="AK498" s="128"/>
      <c r="AL498" s="129"/>
    </row>
    <row r="499" spans="1:38" ht="24.95" customHeight="1" x14ac:dyDescent="0.25">
      <c r="A499" s="142" t="str">
        <f t="shared" ref="A499:A562" si="43">IF(C499="","",CONCATENATE(16,MID(C499,1,3),B499))</f>
        <v>16SAM164</v>
      </c>
      <c r="B499" s="192">
        <v>164</v>
      </c>
      <c r="C499" s="142" t="s">
        <v>57</v>
      </c>
      <c r="D499" s="143" t="s">
        <v>40</v>
      </c>
      <c r="E499" s="124" t="s">
        <v>1373</v>
      </c>
      <c r="F499" s="124" t="s">
        <v>1713</v>
      </c>
      <c r="G499" s="251"/>
      <c r="H499" s="34" t="s">
        <v>43</v>
      </c>
      <c r="I499" s="126" t="s">
        <v>1714</v>
      </c>
      <c r="J499" s="34" t="s">
        <v>180</v>
      </c>
      <c r="K499" s="126">
        <v>853.91</v>
      </c>
      <c r="L499" s="126" t="s">
        <v>1715</v>
      </c>
      <c r="M499" s="104" t="s">
        <v>1716</v>
      </c>
      <c r="N499" s="265">
        <v>42622</v>
      </c>
      <c r="O499" s="260">
        <v>42647</v>
      </c>
      <c r="P499" s="106" t="s">
        <v>139</v>
      </c>
      <c r="Q499" s="107" t="s">
        <v>1717</v>
      </c>
      <c r="R499" s="266">
        <v>1</v>
      </c>
      <c r="S499" s="37">
        <v>0</v>
      </c>
      <c r="T499" s="36" t="str">
        <f t="shared" ca="1" si="41"/>
        <v>Empty</v>
      </c>
      <c r="U499" s="37" t="s">
        <v>1782</v>
      </c>
      <c r="V499" s="281" t="s">
        <v>1762</v>
      </c>
      <c r="W499" s="38">
        <v>42647</v>
      </c>
      <c r="X499" s="39" t="s">
        <v>248</v>
      </c>
      <c r="Y499" s="39" t="s">
        <v>651</v>
      </c>
      <c r="Z499" s="40" t="s">
        <v>212</v>
      </c>
      <c r="AA499" s="136">
        <f t="shared" ca="1" si="40"/>
        <v>720</v>
      </c>
      <c r="AB499" s="40"/>
      <c r="AC499" s="116"/>
      <c r="AD499" s="116"/>
      <c r="AE499" s="40"/>
      <c r="AF499" s="136" t="str">
        <f t="shared" ca="1" si="42"/>
        <v/>
      </c>
      <c r="AG499" s="127"/>
      <c r="AH499" s="127"/>
      <c r="AI499" s="127"/>
      <c r="AJ499" s="128"/>
      <c r="AK499" s="128"/>
      <c r="AL499" s="129"/>
    </row>
    <row r="500" spans="1:38" ht="24.95" customHeight="1" x14ac:dyDescent="0.25">
      <c r="A500" s="142" t="str">
        <f t="shared" si="43"/>
        <v>16SAM165</v>
      </c>
      <c r="B500" s="192">
        <v>165</v>
      </c>
      <c r="C500" s="142" t="s">
        <v>57</v>
      </c>
      <c r="D500" s="143" t="s">
        <v>40</v>
      </c>
      <c r="E500" s="124" t="s">
        <v>1373</v>
      </c>
      <c r="F500" s="124" t="s">
        <v>1713</v>
      </c>
      <c r="G500" s="251"/>
      <c r="H500" s="34" t="s">
        <v>43</v>
      </c>
      <c r="I500" s="126" t="s">
        <v>1714</v>
      </c>
      <c r="J500" s="34" t="s">
        <v>180</v>
      </c>
      <c r="K500" s="126">
        <v>853.91</v>
      </c>
      <c r="L500" s="126" t="s">
        <v>1715</v>
      </c>
      <c r="M500" s="104" t="s">
        <v>1716</v>
      </c>
      <c r="N500" s="265">
        <v>42622</v>
      </c>
      <c r="O500" s="260">
        <v>42647</v>
      </c>
      <c r="P500" s="106" t="s">
        <v>139</v>
      </c>
      <c r="Q500" s="107" t="s">
        <v>1717</v>
      </c>
      <c r="R500" s="266">
        <v>1</v>
      </c>
      <c r="S500" s="37">
        <v>0</v>
      </c>
      <c r="T500" s="36" t="str">
        <f t="shared" ca="1" si="41"/>
        <v>Empty</v>
      </c>
      <c r="U500" s="37" t="s">
        <v>1782</v>
      </c>
      <c r="V500" s="281" t="s">
        <v>1762</v>
      </c>
      <c r="W500" s="38">
        <v>42647</v>
      </c>
      <c r="X500" s="39" t="s">
        <v>248</v>
      </c>
      <c r="Y500" s="39" t="s">
        <v>651</v>
      </c>
      <c r="Z500" s="40" t="s">
        <v>212</v>
      </c>
      <c r="AA500" s="136">
        <f t="shared" ca="1" si="40"/>
        <v>720</v>
      </c>
      <c r="AB500" s="40"/>
      <c r="AC500" s="116"/>
      <c r="AD500" s="116"/>
      <c r="AE500" s="40"/>
      <c r="AF500" s="136" t="str">
        <f t="shared" ca="1" si="42"/>
        <v/>
      </c>
      <c r="AG500" s="127"/>
      <c r="AH500" s="127"/>
      <c r="AI500" s="127"/>
      <c r="AJ500" s="128"/>
      <c r="AK500" s="128"/>
      <c r="AL500" s="129"/>
    </row>
    <row r="501" spans="1:38" ht="24.95" customHeight="1" x14ac:dyDescent="0.25">
      <c r="A501" s="142" t="str">
        <f>IF(C501="","",CONCATENATE(16,MID(C501,1,3),B501))</f>
        <v>16SAM166</v>
      </c>
      <c r="B501" s="192">
        <v>166</v>
      </c>
      <c r="C501" s="142" t="s">
        <v>57</v>
      </c>
      <c r="D501" s="143" t="s">
        <v>170</v>
      </c>
      <c r="E501" s="124" t="s">
        <v>739</v>
      </c>
      <c r="F501" s="124" t="s">
        <v>1719</v>
      </c>
      <c r="G501" s="251" t="s">
        <v>1720</v>
      </c>
      <c r="H501" s="34" t="s">
        <v>60</v>
      </c>
      <c r="I501" s="132" t="s">
        <v>61</v>
      </c>
      <c r="J501" s="34" t="s">
        <v>45</v>
      </c>
      <c r="K501" s="126">
        <v>322.14</v>
      </c>
      <c r="L501" s="132" t="s">
        <v>61</v>
      </c>
      <c r="M501" s="105" t="s">
        <v>61</v>
      </c>
      <c r="N501" s="265">
        <v>42626</v>
      </c>
      <c r="O501" s="260">
        <v>42629</v>
      </c>
      <c r="P501" s="106" t="s">
        <v>1721</v>
      </c>
      <c r="Q501" s="107" t="s">
        <v>212</v>
      </c>
      <c r="R501" s="244"/>
      <c r="S501" s="37">
        <v>0</v>
      </c>
      <c r="T501" s="36" t="str">
        <f t="shared" ca="1" si="41"/>
        <v>Empty</v>
      </c>
      <c r="U501" s="37" t="s">
        <v>1722</v>
      </c>
      <c r="V501" s="37"/>
      <c r="W501" s="38">
        <v>42629</v>
      </c>
      <c r="X501" s="39" t="s">
        <v>1758</v>
      </c>
      <c r="Y501" s="39" t="s">
        <v>1759</v>
      </c>
      <c r="Z501" s="40" t="s">
        <v>212</v>
      </c>
      <c r="AA501" s="136">
        <f t="shared" ca="1" si="40"/>
        <v>738</v>
      </c>
      <c r="AB501" s="40"/>
      <c r="AC501" s="116"/>
      <c r="AD501" s="116"/>
      <c r="AE501" s="40"/>
      <c r="AF501" s="136" t="str">
        <f t="shared" ca="1" si="42"/>
        <v/>
      </c>
      <c r="AG501" s="127"/>
      <c r="AH501" s="127"/>
      <c r="AI501" s="127"/>
      <c r="AJ501" s="128"/>
      <c r="AK501" s="128"/>
      <c r="AL501" s="129"/>
    </row>
    <row r="502" spans="1:38" ht="24.95" customHeight="1" x14ac:dyDescent="0.25">
      <c r="A502" s="142" t="str">
        <f t="shared" si="43"/>
        <v>16SAM167</v>
      </c>
      <c r="B502" s="192">
        <v>167</v>
      </c>
      <c r="C502" s="142" t="s">
        <v>57</v>
      </c>
      <c r="D502" s="143" t="s">
        <v>40</v>
      </c>
      <c r="E502" s="124" t="s">
        <v>1640</v>
      </c>
      <c r="F502" s="124" t="s">
        <v>1727</v>
      </c>
      <c r="G502" s="251" t="s">
        <v>1728</v>
      </c>
      <c r="H502" s="34" t="s">
        <v>60</v>
      </c>
      <c r="I502" s="132" t="s">
        <v>61</v>
      </c>
      <c r="J502" s="34" t="s">
        <v>45</v>
      </c>
      <c r="K502" s="126">
        <v>439.48</v>
      </c>
      <c r="L502" s="132" t="s">
        <v>61</v>
      </c>
      <c r="M502" s="105" t="s">
        <v>61</v>
      </c>
      <c r="N502" s="265">
        <v>42632</v>
      </c>
      <c r="O502" s="260">
        <v>42649</v>
      </c>
      <c r="P502" s="106" t="s">
        <v>183</v>
      </c>
      <c r="Q502" s="107" t="s">
        <v>1056</v>
      </c>
      <c r="R502" s="244"/>
      <c r="S502" s="37">
        <f>50-7.9</f>
        <v>42.1</v>
      </c>
      <c r="T502" s="36">
        <f t="shared" ca="1" si="41"/>
        <v>718</v>
      </c>
      <c r="U502" s="37" t="s">
        <v>1729</v>
      </c>
      <c r="V502" s="242" t="s">
        <v>1682</v>
      </c>
      <c r="W502" s="38">
        <v>42647</v>
      </c>
      <c r="X502" s="39" t="s">
        <v>248</v>
      </c>
      <c r="Y502" s="39" t="s">
        <v>1428</v>
      </c>
      <c r="Z502" s="40" t="s">
        <v>212</v>
      </c>
      <c r="AA502" s="136">
        <f t="shared" ca="1" si="40"/>
        <v>720</v>
      </c>
      <c r="AB502" s="40"/>
      <c r="AC502" s="116"/>
      <c r="AD502" s="116"/>
      <c r="AE502" s="40"/>
      <c r="AF502" s="136" t="str">
        <f t="shared" ca="1" si="42"/>
        <v/>
      </c>
      <c r="AG502" s="127"/>
      <c r="AH502" s="127"/>
      <c r="AI502" s="127"/>
      <c r="AJ502" s="128"/>
      <c r="AK502" s="128"/>
      <c r="AL502" s="129"/>
    </row>
    <row r="503" spans="1:38" ht="24.95" customHeight="1" x14ac:dyDescent="0.25">
      <c r="A503" s="142" t="str">
        <f t="shared" si="43"/>
        <v>16SAM168</v>
      </c>
      <c r="B503" s="192">
        <v>168</v>
      </c>
      <c r="C503" s="142" t="s">
        <v>57</v>
      </c>
      <c r="D503" s="143" t="s">
        <v>40</v>
      </c>
      <c r="E503" s="124" t="s">
        <v>1730</v>
      </c>
      <c r="F503" s="124" t="s">
        <v>1731</v>
      </c>
      <c r="G503" s="251"/>
      <c r="H503" s="34" t="s">
        <v>60</v>
      </c>
      <c r="I503" s="132" t="s">
        <v>61</v>
      </c>
      <c r="J503" s="34" t="s">
        <v>45</v>
      </c>
      <c r="K503" s="126">
        <v>416.58</v>
      </c>
      <c r="L503" s="132" t="s">
        <v>61</v>
      </c>
      <c r="M503" s="105" t="s">
        <v>61</v>
      </c>
      <c r="N503" s="265">
        <v>42634</v>
      </c>
      <c r="O503" s="260">
        <v>42636</v>
      </c>
      <c r="P503" s="106" t="s">
        <v>1734</v>
      </c>
      <c r="Q503" s="107" t="s">
        <v>212</v>
      </c>
      <c r="R503" s="244"/>
      <c r="S503" s="37">
        <f>60.88-10.5-20.6</f>
        <v>29.78</v>
      </c>
      <c r="T503" s="36">
        <f t="shared" ca="1" si="41"/>
        <v>731</v>
      </c>
      <c r="U503" s="37" t="s">
        <v>1736</v>
      </c>
      <c r="V503" s="37"/>
      <c r="W503" s="38">
        <v>42641</v>
      </c>
      <c r="X503" s="39" t="s">
        <v>1738</v>
      </c>
      <c r="Y503" s="39" t="s">
        <v>1077</v>
      </c>
      <c r="Z503" s="40" t="s">
        <v>212</v>
      </c>
      <c r="AA503" s="136">
        <f t="shared" ca="1" si="40"/>
        <v>726</v>
      </c>
      <c r="AB503" s="40"/>
      <c r="AC503" s="116"/>
      <c r="AD503" s="116"/>
      <c r="AE503" s="40"/>
      <c r="AF503" s="136" t="str">
        <f t="shared" ca="1" si="42"/>
        <v/>
      </c>
      <c r="AG503" s="127"/>
      <c r="AH503" s="127"/>
      <c r="AI503" s="127"/>
      <c r="AJ503" s="128"/>
      <c r="AK503" s="128"/>
      <c r="AL503" s="129"/>
    </row>
    <row r="504" spans="1:38" ht="24.95" customHeight="1" x14ac:dyDescent="0.25">
      <c r="A504" s="142" t="str">
        <f t="shared" si="43"/>
        <v>16SAM169</v>
      </c>
      <c r="B504" s="192">
        <v>169</v>
      </c>
      <c r="C504" s="142" t="s">
        <v>57</v>
      </c>
      <c r="D504" s="143" t="s">
        <v>40</v>
      </c>
      <c r="E504" s="124" t="s">
        <v>1730</v>
      </c>
      <c r="F504" s="124" t="s">
        <v>1732</v>
      </c>
      <c r="G504" s="251"/>
      <c r="H504" s="34" t="s">
        <v>60</v>
      </c>
      <c r="I504" s="132" t="s">
        <v>61</v>
      </c>
      <c r="J504" s="34" t="s">
        <v>45</v>
      </c>
      <c r="K504" s="126">
        <v>451.57</v>
      </c>
      <c r="L504" s="132" t="s">
        <v>61</v>
      </c>
      <c r="M504" s="105" t="s">
        <v>61</v>
      </c>
      <c r="N504" s="265">
        <v>42634</v>
      </c>
      <c r="O504" s="260">
        <v>42636</v>
      </c>
      <c r="P504" s="106" t="s">
        <v>1735</v>
      </c>
      <c r="Q504" s="107" t="s">
        <v>212</v>
      </c>
      <c r="R504" s="244"/>
      <c r="S504" s="37">
        <f>64.1-10.1-20.9-9.9</f>
        <v>23.199999999999996</v>
      </c>
      <c r="T504" s="36">
        <f t="shared" ca="1" si="41"/>
        <v>731</v>
      </c>
      <c r="U504" s="37" t="s">
        <v>1736</v>
      </c>
      <c r="V504" s="37"/>
      <c r="W504" s="38">
        <v>42650</v>
      </c>
      <c r="X504" s="39" t="s">
        <v>1738</v>
      </c>
      <c r="Y504" s="39" t="s">
        <v>1077</v>
      </c>
      <c r="Z504" s="40" t="s">
        <v>212</v>
      </c>
      <c r="AA504" s="136">
        <f t="shared" ca="1" si="40"/>
        <v>717</v>
      </c>
      <c r="AB504" s="40"/>
      <c r="AC504" s="116"/>
      <c r="AD504" s="116"/>
      <c r="AE504" s="40"/>
      <c r="AF504" s="136" t="str">
        <f t="shared" ca="1" si="42"/>
        <v/>
      </c>
      <c r="AG504" s="127"/>
      <c r="AH504" s="127"/>
      <c r="AI504" s="127"/>
      <c r="AJ504" s="128"/>
      <c r="AK504" s="128"/>
      <c r="AL504" s="129"/>
    </row>
    <row r="505" spans="1:38" ht="24.95" customHeight="1" x14ac:dyDescent="0.25">
      <c r="A505" s="142" t="str">
        <f t="shared" si="43"/>
        <v>16SAM170</v>
      </c>
      <c r="B505" s="192">
        <v>170</v>
      </c>
      <c r="C505" s="142" t="s">
        <v>57</v>
      </c>
      <c r="D505" s="143" t="s">
        <v>40</v>
      </c>
      <c r="E505" s="124" t="s">
        <v>1730</v>
      </c>
      <c r="F505" s="124" t="s">
        <v>1737</v>
      </c>
      <c r="G505" s="251"/>
      <c r="H505" s="34" t="s">
        <v>60</v>
      </c>
      <c r="I505" s="132" t="s">
        <v>61</v>
      </c>
      <c r="J505" s="34" t="s">
        <v>45</v>
      </c>
      <c r="K505" s="126">
        <v>293.41000000000003</v>
      </c>
      <c r="L505" s="132" t="s">
        <v>61</v>
      </c>
      <c r="M505" s="105" t="s">
        <v>61</v>
      </c>
      <c r="N505" s="265">
        <v>42634</v>
      </c>
      <c r="O505" s="260">
        <v>42669</v>
      </c>
      <c r="P505" s="106" t="s">
        <v>1733</v>
      </c>
      <c r="Q505" s="107" t="s">
        <v>212</v>
      </c>
      <c r="R505" s="244"/>
      <c r="S505" s="37">
        <v>0</v>
      </c>
      <c r="T505" s="36" t="str">
        <f t="shared" ca="1" si="41"/>
        <v>Empty</v>
      </c>
      <c r="U505" s="37" t="s">
        <v>1736</v>
      </c>
      <c r="V505" s="37" t="s">
        <v>2165</v>
      </c>
      <c r="W505" s="38"/>
      <c r="X505" s="39"/>
      <c r="Y505" s="39"/>
      <c r="Z505" s="40"/>
      <c r="AA505" s="136" t="str">
        <f t="shared" ca="1" si="40"/>
        <v/>
      </c>
      <c r="AB505" s="40"/>
      <c r="AC505" s="116"/>
      <c r="AD505" s="116"/>
      <c r="AE505" s="40"/>
      <c r="AF505" s="136" t="str">
        <f t="shared" ca="1" si="42"/>
        <v/>
      </c>
      <c r="AG505" s="127"/>
      <c r="AH505" s="127"/>
      <c r="AI505" s="127"/>
      <c r="AJ505" s="128"/>
      <c r="AK505" s="128"/>
      <c r="AL505" s="129"/>
    </row>
    <row r="506" spans="1:38" ht="24.95" customHeight="1" x14ac:dyDescent="0.25">
      <c r="A506" s="142" t="str">
        <f t="shared" si="43"/>
        <v>16SAM171</v>
      </c>
      <c r="B506" s="192">
        <v>171</v>
      </c>
      <c r="C506" s="142" t="s">
        <v>57</v>
      </c>
      <c r="D506" s="143" t="s">
        <v>40</v>
      </c>
      <c r="E506" s="124" t="s">
        <v>739</v>
      </c>
      <c r="F506" s="124" t="s">
        <v>1132</v>
      </c>
      <c r="G506" s="251" t="s">
        <v>1740</v>
      </c>
      <c r="H506" s="34" t="s">
        <v>60</v>
      </c>
      <c r="I506" s="132" t="s">
        <v>61</v>
      </c>
      <c r="J506" s="34" t="s">
        <v>45</v>
      </c>
      <c r="K506" s="126">
        <v>338.41</v>
      </c>
      <c r="L506" s="132" t="s">
        <v>61</v>
      </c>
      <c r="M506" s="105" t="s">
        <v>61</v>
      </c>
      <c r="N506" s="265">
        <v>42639</v>
      </c>
      <c r="O506" s="260">
        <v>42660</v>
      </c>
      <c r="P506" s="106" t="s">
        <v>1741</v>
      </c>
      <c r="Q506" s="107" t="s">
        <v>1743</v>
      </c>
      <c r="R506" s="244"/>
      <c r="S506" s="37">
        <v>0</v>
      </c>
      <c r="T506" s="36" t="str">
        <f t="shared" ca="1" si="41"/>
        <v>Empty</v>
      </c>
      <c r="U506" s="37" t="s">
        <v>1742</v>
      </c>
      <c r="V506" s="242" t="s">
        <v>1682</v>
      </c>
      <c r="W506" s="38">
        <v>42681</v>
      </c>
      <c r="X506" s="39" t="s">
        <v>1790</v>
      </c>
      <c r="Y506" s="39" t="s">
        <v>1791</v>
      </c>
      <c r="Z506" s="40" t="s">
        <v>212</v>
      </c>
      <c r="AA506" s="136">
        <f t="shared" ca="1" si="40"/>
        <v>687</v>
      </c>
      <c r="AB506" s="40"/>
      <c r="AC506" s="116"/>
      <c r="AD506" s="116"/>
      <c r="AE506" s="40"/>
      <c r="AF506" s="136" t="str">
        <f t="shared" ca="1" si="42"/>
        <v/>
      </c>
      <c r="AG506" s="127"/>
      <c r="AH506" s="127"/>
      <c r="AI506" s="127"/>
      <c r="AJ506" s="128"/>
      <c r="AK506" s="128"/>
      <c r="AL506" s="129"/>
    </row>
    <row r="507" spans="1:38" ht="24.95" customHeight="1" x14ac:dyDescent="0.25">
      <c r="A507" s="140" t="str">
        <f t="shared" si="43"/>
        <v>16REF172</v>
      </c>
      <c r="B507" s="193">
        <v>172</v>
      </c>
      <c r="C507" s="140" t="s">
        <v>39</v>
      </c>
      <c r="D507" s="141" t="s">
        <v>744</v>
      </c>
      <c r="E507" s="124" t="s">
        <v>41</v>
      </c>
      <c r="F507" s="124" t="s">
        <v>2954</v>
      </c>
      <c r="G507" s="251"/>
      <c r="H507" s="34" t="s">
        <v>1703</v>
      </c>
      <c r="I507" s="126">
        <v>612.15099999999995</v>
      </c>
      <c r="J507" s="34" t="s">
        <v>180</v>
      </c>
      <c r="K507" s="126">
        <v>319.27999999999997</v>
      </c>
      <c r="L507" s="126" t="s">
        <v>1704</v>
      </c>
      <c r="M507" s="371">
        <v>42943</v>
      </c>
      <c r="N507" s="265">
        <v>42633</v>
      </c>
      <c r="O507" s="260">
        <v>42786</v>
      </c>
      <c r="P507" s="106" t="s">
        <v>1750</v>
      </c>
      <c r="Q507" s="107" t="s">
        <v>1706</v>
      </c>
      <c r="R507" s="266">
        <v>0.99</v>
      </c>
      <c r="S507" s="37">
        <v>0</v>
      </c>
      <c r="T507" s="36" t="str">
        <f t="shared" ca="1" si="41"/>
        <v>Empty</v>
      </c>
      <c r="U507" s="37" t="s">
        <v>1493</v>
      </c>
      <c r="V507" s="37"/>
      <c r="W507" s="38">
        <v>43041</v>
      </c>
      <c r="X507" s="39" t="s">
        <v>50</v>
      </c>
      <c r="Y507" s="39" t="s">
        <v>775</v>
      </c>
      <c r="Z507" s="40" t="s">
        <v>2134</v>
      </c>
      <c r="AA507" s="136">
        <f t="shared" ca="1" si="40"/>
        <v>332</v>
      </c>
      <c r="AB507" s="40"/>
      <c r="AC507" s="116"/>
      <c r="AD507" s="116"/>
      <c r="AE507" s="40"/>
      <c r="AF507" s="136" t="str">
        <f t="shared" ca="1" si="42"/>
        <v/>
      </c>
      <c r="AG507" s="127"/>
      <c r="AH507" s="127"/>
      <c r="AI507" s="127"/>
      <c r="AJ507" s="128"/>
      <c r="AK507" s="128"/>
      <c r="AL507" s="129"/>
    </row>
    <row r="508" spans="1:38" ht="24.95" customHeight="1" x14ac:dyDescent="0.25">
      <c r="A508" s="140" t="str">
        <f t="shared" si="43"/>
        <v>16REF173</v>
      </c>
      <c r="B508" s="192">
        <v>173</v>
      </c>
      <c r="C508" s="140" t="s">
        <v>39</v>
      </c>
      <c r="D508" s="141" t="s">
        <v>744</v>
      </c>
      <c r="E508" s="124" t="s">
        <v>41</v>
      </c>
      <c r="F508" s="124" t="s">
        <v>2954</v>
      </c>
      <c r="G508" s="251"/>
      <c r="H508" s="34" t="s">
        <v>1703</v>
      </c>
      <c r="I508" s="126">
        <v>612.15099999999995</v>
      </c>
      <c r="J508" s="34" t="s">
        <v>180</v>
      </c>
      <c r="K508" s="126">
        <v>319.27999999999997</v>
      </c>
      <c r="L508" s="126" t="s">
        <v>1704</v>
      </c>
      <c r="M508" s="104"/>
      <c r="N508" s="265">
        <v>42633</v>
      </c>
      <c r="O508" s="260">
        <v>42702</v>
      </c>
      <c r="P508" s="106" t="s">
        <v>1750</v>
      </c>
      <c r="Q508" s="107" t="s">
        <v>1706</v>
      </c>
      <c r="R508" s="266">
        <v>0.99</v>
      </c>
      <c r="S508" s="37">
        <v>0</v>
      </c>
      <c r="T508" s="36" t="str">
        <f ca="1">IF(S508="","",IF(S508=0,"Empty",IF(O508="","",IF(O508,DAYS360(O508,TODAY())))))</f>
        <v>Empty</v>
      </c>
      <c r="U508" s="37" t="s">
        <v>1493</v>
      </c>
      <c r="V508" s="37"/>
      <c r="W508" s="38">
        <v>42776</v>
      </c>
      <c r="X508" s="39" t="s">
        <v>50</v>
      </c>
      <c r="Y508" s="39" t="s">
        <v>2123</v>
      </c>
      <c r="Z508" s="40" t="s">
        <v>1724</v>
      </c>
      <c r="AA508" s="136">
        <f ca="1">IF(W508="","",IF(W508,DAYS360(W508,TODAY())))</f>
        <v>594</v>
      </c>
      <c r="AB508" s="346">
        <v>42761</v>
      </c>
      <c r="AC508" s="116" t="s">
        <v>50</v>
      </c>
      <c r="AD508" s="116" t="s">
        <v>1532</v>
      </c>
      <c r="AE508" s="40" t="s">
        <v>1724</v>
      </c>
      <c r="AF508" s="136">
        <f t="shared" ca="1" si="42"/>
        <v>608</v>
      </c>
      <c r="AG508" s="127"/>
      <c r="AH508" s="127"/>
      <c r="AI508" s="127"/>
      <c r="AJ508" s="128"/>
      <c r="AK508" s="128"/>
      <c r="AL508" s="129"/>
    </row>
    <row r="509" spans="1:38" ht="24.95" customHeight="1" x14ac:dyDescent="0.25">
      <c r="A509" s="142" t="str">
        <f t="shared" si="43"/>
        <v>16SAM174</v>
      </c>
      <c r="B509" s="192">
        <v>174</v>
      </c>
      <c r="C509" s="142" t="s">
        <v>57</v>
      </c>
      <c r="D509" s="143" t="s">
        <v>40</v>
      </c>
      <c r="E509" s="124" t="s">
        <v>739</v>
      </c>
      <c r="F509" s="124" t="s">
        <v>1049</v>
      </c>
      <c r="G509" s="251" t="s">
        <v>1050</v>
      </c>
      <c r="H509" s="34" t="s">
        <v>112</v>
      </c>
      <c r="I509" s="126" t="s">
        <v>1751</v>
      </c>
      <c r="J509" s="34" t="s">
        <v>45</v>
      </c>
      <c r="K509" s="126">
        <v>468.89</v>
      </c>
      <c r="L509" s="126">
        <v>1999</v>
      </c>
      <c r="M509" s="104" t="s">
        <v>1052</v>
      </c>
      <c r="N509" s="265">
        <v>42646</v>
      </c>
      <c r="O509" s="260">
        <v>42660</v>
      </c>
      <c r="P509" s="106" t="s">
        <v>183</v>
      </c>
      <c r="Q509" s="107" t="s">
        <v>1752</v>
      </c>
      <c r="R509" s="266">
        <v>1</v>
      </c>
      <c r="S509" s="37">
        <f>50-28.4-13-5.09</f>
        <v>3.5100000000000016</v>
      </c>
      <c r="T509" s="36">
        <f t="shared" ca="1" si="41"/>
        <v>707</v>
      </c>
      <c r="U509" s="37" t="s">
        <v>1742</v>
      </c>
      <c r="V509" s="37"/>
      <c r="W509" s="38">
        <v>42660</v>
      </c>
      <c r="X509" s="39" t="s">
        <v>248</v>
      </c>
      <c r="Y509" s="39" t="s">
        <v>1217</v>
      </c>
      <c r="Z509" s="40" t="s">
        <v>49</v>
      </c>
      <c r="AA509" s="136">
        <f t="shared" ref="AA509:AA572" ca="1" si="44">IF(W509="","",IF(W509,DAYS360(W509,TODAY())))</f>
        <v>707</v>
      </c>
      <c r="AB509" s="40"/>
      <c r="AC509" s="116"/>
      <c r="AD509" s="116"/>
      <c r="AE509" s="40"/>
      <c r="AF509" s="136" t="str">
        <f t="shared" ca="1" si="42"/>
        <v/>
      </c>
      <c r="AG509" s="127"/>
      <c r="AH509" s="127"/>
      <c r="AI509" s="127"/>
      <c r="AJ509" s="128"/>
      <c r="AK509" s="128"/>
      <c r="AL509" s="129"/>
    </row>
    <row r="510" spans="1:38" ht="24.95" customHeight="1" x14ac:dyDescent="0.25">
      <c r="A510" s="142" t="str">
        <f t="shared" si="43"/>
        <v>16SAM175</v>
      </c>
      <c r="B510" s="192">
        <v>175</v>
      </c>
      <c r="C510" s="142" t="s">
        <v>57</v>
      </c>
      <c r="D510" s="143" t="s">
        <v>40</v>
      </c>
      <c r="E510" s="124" t="s">
        <v>739</v>
      </c>
      <c r="F510" s="124" t="s">
        <v>981</v>
      </c>
      <c r="G510" s="251" t="s">
        <v>1094</v>
      </c>
      <c r="H510" s="34" t="s">
        <v>112</v>
      </c>
      <c r="I510" s="126" t="s">
        <v>1753</v>
      </c>
      <c r="J510" s="47" t="s">
        <v>105</v>
      </c>
      <c r="K510" s="126">
        <v>599.55999999999995</v>
      </c>
      <c r="L510" s="126">
        <v>1979</v>
      </c>
      <c r="M510" s="104" t="s">
        <v>1754</v>
      </c>
      <c r="N510" s="265">
        <v>42646</v>
      </c>
      <c r="O510" s="260">
        <v>42660</v>
      </c>
      <c r="P510" s="106" t="s">
        <v>86</v>
      </c>
      <c r="Q510" s="107" t="s">
        <v>2905</v>
      </c>
      <c r="R510" s="267">
        <v>0.98299999999999998</v>
      </c>
      <c r="S510" s="37">
        <v>0</v>
      </c>
      <c r="T510" s="36" t="str">
        <f t="shared" ca="1" si="41"/>
        <v>Empty</v>
      </c>
      <c r="U510" s="37" t="s">
        <v>1742</v>
      </c>
      <c r="V510" s="37"/>
      <c r="W510" s="38">
        <v>42660</v>
      </c>
      <c r="X510" s="39" t="s">
        <v>1790</v>
      </c>
      <c r="Y510" s="39" t="s">
        <v>1791</v>
      </c>
      <c r="Z510" s="40" t="s">
        <v>212</v>
      </c>
      <c r="AA510" s="136">
        <f t="shared" ca="1" si="44"/>
        <v>707</v>
      </c>
      <c r="AB510" s="40"/>
      <c r="AC510" s="116"/>
      <c r="AD510" s="116"/>
      <c r="AE510" s="40"/>
      <c r="AF510" s="136" t="str">
        <f t="shared" ca="1" si="42"/>
        <v/>
      </c>
      <c r="AG510" s="127"/>
      <c r="AH510" s="127"/>
      <c r="AI510" s="127"/>
      <c r="AJ510" s="128"/>
      <c r="AK510" s="128"/>
      <c r="AL510" s="129"/>
    </row>
    <row r="511" spans="1:38" ht="24.95" customHeight="1" x14ac:dyDescent="0.25">
      <c r="A511" s="142" t="str">
        <f t="shared" si="43"/>
        <v>16SAM176</v>
      </c>
      <c r="B511" s="192">
        <v>176</v>
      </c>
      <c r="C511" s="142" t="s">
        <v>57</v>
      </c>
      <c r="D511" s="143" t="s">
        <v>40</v>
      </c>
      <c r="E511" s="124" t="s">
        <v>739</v>
      </c>
      <c r="F511" s="124" t="s">
        <v>981</v>
      </c>
      <c r="G511" s="251" t="s">
        <v>1094</v>
      </c>
      <c r="H511" s="34" t="s">
        <v>112</v>
      </c>
      <c r="I511" s="126" t="s">
        <v>1755</v>
      </c>
      <c r="J511" s="47" t="s">
        <v>105</v>
      </c>
      <c r="K511" s="126">
        <v>599.55999999999995</v>
      </c>
      <c r="L511" s="126">
        <v>1979</v>
      </c>
      <c r="M511" s="104" t="s">
        <v>1754</v>
      </c>
      <c r="N511" s="265">
        <v>42646</v>
      </c>
      <c r="O511" s="260">
        <v>42660</v>
      </c>
      <c r="P511" s="106" t="s">
        <v>86</v>
      </c>
      <c r="Q511" s="107" t="s">
        <v>2905</v>
      </c>
      <c r="R511" s="267">
        <v>0.98299999999999998</v>
      </c>
      <c r="S511" s="37">
        <v>0</v>
      </c>
      <c r="T511" s="36" t="str">
        <f t="shared" ca="1" si="41"/>
        <v>Empty</v>
      </c>
      <c r="U511" s="37" t="s">
        <v>1742</v>
      </c>
      <c r="V511" s="37"/>
      <c r="W511" s="38">
        <v>42660</v>
      </c>
      <c r="X511" s="39" t="s">
        <v>1790</v>
      </c>
      <c r="Y511" s="39" t="s">
        <v>1791</v>
      </c>
      <c r="Z511" s="40" t="s">
        <v>212</v>
      </c>
      <c r="AA511" s="136">
        <f ca="1">IF(W511="","",IF(W511,DAYS360(W511,TODAY())))</f>
        <v>707</v>
      </c>
      <c r="AB511" s="40"/>
      <c r="AC511" s="116"/>
      <c r="AD511" s="116"/>
      <c r="AE511" s="40"/>
      <c r="AF511" s="136" t="str">
        <f t="shared" ca="1" si="42"/>
        <v/>
      </c>
      <c r="AG511" s="127"/>
      <c r="AH511" s="127"/>
      <c r="AI511" s="127"/>
      <c r="AJ511" s="128"/>
      <c r="AK511" s="128"/>
      <c r="AL511" s="129"/>
    </row>
    <row r="512" spans="1:38" ht="24.95" customHeight="1" x14ac:dyDescent="0.25">
      <c r="A512" s="142" t="str">
        <f t="shared" si="43"/>
        <v>16SAM177</v>
      </c>
      <c r="B512" s="192">
        <v>177</v>
      </c>
      <c r="C512" s="142" t="s">
        <v>57</v>
      </c>
      <c r="D512" s="143" t="s">
        <v>40</v>
      </c>
      <c r="E512" s="124" t="s">
        <v>739</v>
      </c>
      <c r="F512" s="124" t="s">
        <v>981</v>
      </c>
      <c r="G512" s="251" t="s">
        <v>1094</v>
      </c>
      <c r="H512" s="34" t="s">
        <v>112</v>
      </c>
      <c r="I512" s="126" t="s">
        <v>1753</v>
      </c>
      <c r="J512" s="47" t="s">
        <v>105</v>
      </c>
      <c r="K512" s="126">
        <v>599.55999999999995</v>
      </c>
      <c r="L512" s="126">
        <v>1979</v>
      </c>
      <c r="M512" s="104" t="s">
        <v>1754</v>
      </c>
      <c r="N512" s="265">
        <v>42648</v>
      </c>
      <c r="O512" s="260">
        <v>42681</v>
      </c>
      <c r="P512" s="106" t="s">
        <v>86</v>
      </c>
      <c r="Q512" s="107" t="s">
        <v>2905</v>
      </c>
      <c r="R512" s="267">
        <v>0.98299999999999998</v>
      </c>
      <c r="S512" s="37">
        <v>0</v>
      </c>
      <c r="T512" s="36" t="str">
        <f t="shared" ca="1" si="41"/>
        <v>Empty</v>
      </c>
      <c r="U512" s="37" t="s">
        <v>1742</v>
      </c>
      <c r="V512" s="37"/>
      <c r="W512" s="38">
        <v>42681</v>
      </c>
      <c r="X512" s="39" t="s">
        <v>1790</v>
      </c>
      <c r="Y512" s="39" t="s">
        <v>1791</v>
      </c>
      <c r="Z512" s="40" t="s">
        <v>212</v>
      </c>
      <c r="AA512" s="136">
        <f t="shared" ca="1" si="44"/>
        <v>687</v>
      </c>
      <c r="AB512" s="40"/>
      <c r="AC512" s="116"/>
      <c r="AD512" s="116"/>
      <c r="AE512" s="40"/>
      <c r="AF512" s="136" t="str">
        <f t="shared" ca="1" si="42"/>
        <v/>
      </c>
      <c r="AG512" s="127"/>
      <c r="AH512" s="127"/>
      <c r="AI512" s="127"/>
      <c r="AJ512" s="128"/>
      <c r="AK512" s="128"/>
      <c r="AL512" s="129"/>
    </row>
    <row r="513" spans="1:38" ht="24.95" customHeight="1" x14ac:dyDescent="0.25">
      <c r="A513" s="140" t="str">
        <f t="shared" si="43"/>
        <v>16REF178</v>
      </c>
      <c r="B513" s="193">
        <v>178</v>
      </c>
      <c r="C513" s="140" t="s">
        <v>39</v>
      </c>
      <c r="D513" s="141" t="s">
        <v>824</v>
      </c>
      <c r="E513" s="124" t="s">
        <v>41</v>
      </c>
      <c r="F513" s="124" t="s">
        <v>1763</v>
      </c>
      <c r="G513" s="251"/>
      <c r="H513" s="34" t="s">
        <v>43</v>
      </c>
      <c r="I513" s="126" t="s">
        <v>1764</v>
      </c>
      <c r="J513" s="47" t="s">
        <v>105</v>
      </c>
      <c r="K513" s="126"/>
      <c r="L513" s="126" t="s">
        <v>1765</v>
      </c>
      <c r="M513" s="104" t="s">
        <v>1766</v>
      </c>
      <c r="N513" s="265">
        <v>42649</v>
      </c>
      <c r="O513" s="260">
        <v>42828</v>
      </c>
      <c r="P513" s="106" t="s">
        <v>497</v>
      </c>
      <c r="Q513" s="107"/>
      <c r="R513" s="244"/>
      <c r="S513" s="37">
        <v>0</v>
      </c>
      <c r="T513" s="36" t="str">
        <f t="shared" ca="1" si="41"/>
        <v>Empty</v>
      </c>
      <c r="U513" s="37"/>
      <c r="V513" s="37"/>
      <c r="W513" s="38">
        <v>42850</v>
      </c>
      <c r="X513" s="39" t="s">
        <v>2244</v>
      </c>
      <c r="Y513" s="39" t="s">
        <v>651</v>
      </c>
      <c r="Z513" s="40" t="s">
        <v>49</v>
      </c>
      <c r="AA513" s="136">
        <f t="shared" ca="1" si="44"/>
        <v>519</v>
      </c>
      <c r="AB513" s="40"/>
      <c r="AC513" s="116"/>
      <c r="AD513" s="116"/>
      <c r="AE513" s="40"/>
      <c r="AF513" s="136" t="str">
        <f t="shared" ca="1" si="42"/>
        <v/>
      </c>
      <c r="AG513" s="127"/>
      <c r="AH513" s="127"/>
      <c r="AI513" s="127"/>
      <c r="AJ513" s="128"/>
      <c r="AK513" s="128"/>
      <c r="AL513" s="129"/>
    </row>
    <row r="514" spans="1:38" ht="24.95" customHeight="1" x14ac:dyDescent="0.25">
      <c r="A514" s="140" t="str">
        <f t="shared" si="43"/>
        <v>16REF179</v>
      </c>
      <c r="B514" s="193">
        <v>179</v>
      </c>
      <c r="C514" s="140" t="s">
        <v>39</v>
      </c>
      <c r="D514" s="141" t="s">
        <v>170</v>
      </c>
      <c r="E514" s="124" t="s">
        <v>41</v>
      </c>
      <c r="F514" s="124" t="s">
        <v>1767</v>
      </c>
      <c r="G514" s="251"/>
      <c r="H514" s="34" t="s">
        <v>43</v>
      </c>
      <c r="I514" s="126" t="s">
        <v>1768</v>
      </c>
      <c r="J514" s="34" t="s">
        <v>45</v>
      </c>
      <c r="K514" s="126">
        <v>149.91</v>
      </c>
      <c r="L514" s="126">
        <v>232041</v>
      </c>
      <c r="M514" s="104" t="s">
        <v>1769</v>
      </c>
      <c r="N514" s="265">
        <v>42649</v>
      </c>
      <c r="O514" s="260"/>
      <c r="P514" s="106" t="s">
        <v>183</v>
      </c>
      <c r="Q514" s="107"/>
      <c r="R514" s="267">
        <v>0.999</v>
      </c>
      <c r="S514" s="37"/>
      <c r="T514" s="36" t="str">
        <f t="shared" ca="1" si="41"/>
        <v/>
      </c>
      <c r="U514" s="37"/>
      <c r="V514" s="37"/>
      <c r="W514" s="38"/>
      <c r="X514" s="39"/>
      <c r="Y514" s="39"/>
      <c r="Z514" s="40"/>
      <c r="AA514" s="136" t="str">
        <f t="shared" ca="1" si="44"/>
        <v/>
      </c>
      <c r="AB514" s="40"/>
      <c r="AC514" s="116"/>
      <c r="AD514" s="116"/>
      <c r="AE514" s="40"/>
      <c r="AF514" s="136" t="str">
        <f t="shared" ca="1" si="42"/>
        <v/>
      </c>
      <c r="AG514" s="127"/>
      <c r="AH514" s="127"/>
      <c r="AI514" s="127"/>
      <c r="AJ514" s="128"/>
      <c r="AK514" s="128"/>
      <c r="AL514" s="129"/>
    </row>
    <row r="515" spans="1:38" ht="24.95" customHeight="1" x14ac:dyDescent="0.25">
      <c r="A515" s="142" t="str">
        <f t="shared" si="43"/>
        <v>16SAM180</v>
      </c>
      <c r="B515" s="192">
        <v>180</v>
      </c>
      <c r="C515" s="142" t="s">
        <v>57</v>
      </c>
      <c r="D515" s="143" t="s">
        <v>170</v>
      </c>
      <c r="E515" s="124" t="s">
        <v>846</v>
      </c>
      <c r="F515" s="124" t="s">
        <v>1771</v>
      </c>
      <c r="G515" s="251" t="s">
        <v>1772</v>
      </c>
      <c r="H515" s="34" t="s">
        <v>60</v>
      </c>
      <c r="I515" s="126" t="s">
        <v>1770</v>
      </c>
      <c r="J515" s="34" t="s">
        <v>180</v>
      </c>
      <c r="K515" s="126">
        <v>446.55099999999999</v>
      </c>
      <c r="L515" s="132" t="s">
        <v>61</v>
      </c>
      <c r="M515" s="105" t="s">
        <v>61</v>
      </c>
      <c r="N515" s="265">
        <v>42649</v>
      </c>
      <c r="O515" s="260">
        <v>42751</v>
      </c>
      <c r="P515" s="106" t="s">
        <v>86</v>
      </c>
      <c r="Q515" s="107" t="s">
        <v>212</v>
      </c>
      <c r="R515" s="244"/>
      <c r="S515" s="37">
        <v>0</v>
      </c>
      <c r="T515" s="36" t="str">
        <f t="shared" ca="1" si="41"/>
        <v>Empty</v>
      </c>
      <c r="U515" s="37" t="s">
        <v>2048</v>
      </c>
      <c r="V515" s="37"/>
      <c r="W515" s="38">
        <v>42751</v>
      </c>
      <c r="X515" s="39" t="s">
        <v>50</v>
      </c>
      <c r="Y515" s="39" t="s">
        <v>2052</v>
      </c>
      <c r="Z515" s="40" t="s">
        <v>212</v>
      </c>
      <c r="AA515" s="136">
        <f t="shared" ca="1" si="44"/>
        <v>618</v>
      </c>
      <c r="AB515" s="40"/>
      <c r="AC515" s="116"/>
      <c r="AD515" s="116"/>
      <c r="AE515" s="40"/>
      <c r="AF515" s="136" t="str">
        <f t="shared" ca="1" si="42"/>
        <v/>
      </c>
      <c r="AG515" s="127"/>
      <c r="AH515" s="127"/>
      <c r="AI515" s="127"/>
      <c r="AJ515" s="128"/>
      <c r="AK515" s="128"/>
      <c r="AL515" s="129"/>
    </row>
    <row r="516" spans="1:38" ht="24.95" customHeight="1" x14ac:dyDescent="0.25">
      <c r="A516" s="142" t="str">
        <f t="shared" si="43"/>
        <v>16SAM181</v>
      </c>
      <c r="B516" s="192">
        <v>181</v>
      </c>
      <c r="C516" s="142" t="s">
        <v>57</v>
      </c>
      <c r="D516" s="143" t="s">
        <v>170</v>
      </c>
      <c r="E516" s="124" t="s">
        <v>846</v>
      </c>
      <c r="F516" s="124" t="s">
        <v>1773</v>
      </c>
      <c r="G516" s="251" t="s">
        <v>1776</v>
      </c>
      <c r="H516" s="34" t="s">
        <v>60</v>
      </c>
      <c r="I516" s="126" t="s">
        <v>1774</v>
      </c>
      <c r="J516" s="34" t="s">
        <v>180</v>
      </c>
      <c r="K516" s="126">
        <v>477.6</v>
      </c>
      <c r="L516" s="132" t="s">
        <v>61</v>
      </c>
      <c r="M516" s="105" t="s">
        <v>61</v>
      </c>
      <c r="N516" s="265">
        <v>42649</v>
      </c>
      <c r="O516" s="260">
        <v>42751</v>
      </c>
      <c r="P516" s="106" t="s">
        <v>1775</v>
      </c>
      <c r="Q516" s="107" t="s">
        <v>212</v>
      </c>
      <c r="R516" s="244"/>
      <c r="S516" s="37">
        <v>0</v>
      </c>
      <c r="T516" s="36" t="str">
        <f t="shared" ca="1" si="41"/>
        <v>Empty</v>
      </c>
      <c r="U516" s="37" t="s">
        <v>2048</v>
      </c>
      <c r="V516" s="37"/>
      <c r="W516" s="38">
        <v>42751</v>
      </c>
      <c r="X516" s="39" t="s">
        <v>50</v>
      </c>
      <c r="Y516" s="39" t="s">
        <v>1532</v>
      </c>
      <c r="Z516" s="40" t="s">
        <v>212</v>
      </c>
      <c r="AA516" s="136">
        <f t="shared" ca="1" si="44"/>
        <v>618</v>
      </c>
      <c r="AB516" s="40"/>
      <c r="AC516" s="116"/>
      <c r="AD516" s="116"/>
      <c r="AE516" s="40"/>
      <c r="AF516" s="136" t="str">
        <f t="shared" ca="1" si="42"/>
        <v/>
      </c>
      <c r="AG516" s="127"/>
      <c r="AH516" s="127"/>
      <c r="AI516" s="127"/>
      <c r="AJ516" s="128"/>
      <c r="AK516" s="128"/>
      <c r="AL516" s="129"/>
    </row>
    <row r="517" spans="1:38" ht="24.95" customHeight="1" x14ac:dyDescent="0.25">
      <c r="A517" s="140" t="str">
        <f t="shared" si="43"/>
        <v>16REF182</v>
      </c>
      <c r="B517" s="193">
        <v>182</v>
      </c>
      <c r="C517" s="140" t="s">
        <v>39</v>
      </c>
      <c r="D517" s="141" t="s">
        <v>170</v>
      </c>
      <c r="E517" s="124" t="s">
        <v>41</v>
      </c>
      <c r="F517" s="124" t="s">
        <v>1777</v>
      </c>
      <c r="G517" s="251"/>
      <c r="H517" s="34" t="s">
        <v>43</v>
      </c>
      <c r="I517" s="126" t="s">
        <v>1778</v>
      </c>
      <c r="J517" s="47" t="s">
        <v>45</v>
      </c>
      <c r="K517" s="126">
        <v>298.85000000000002</v>
      </c>
      <c r="L517" s="126" t="s">
        <v>1779</v>
      </c>
      <c r="M517" s="283" t="s">
        <v>1780</v>
      </c>
      <c r="N517" s="265">
        <v>42649</v>
      </c>
      <c r="O517" s="262" t="s">
        <v>168</v>
      </c>
      <c r="P517" s="106" t="s">
        <v>160</v>
      </c>
      <c r="Q517" s="107"/>
      <c r="R517" s="244"/>
      <c r="S517" s="37">
        <v>0</v>
      </c>
      <c r="T517" s="36" t="str">
        <f t="shared" ca="1" si="41"/>
        <v>Empty</v>
      </c>
      <c r="U517" s="37"/>
      <c r="V517" s="37"/>
      <c r="W517" s="38"/>
      <c r="X517" s="39"/>
      <c r="Y517" s="39"/>
      <c r="Z517" s="40"/>
      <c r="AA517" s="136" t="str">
        <f t="shared" ca="1" si="44"/>
        <v/>
      </c>
      <c r="AB517" s="40"/>
      <c r="AC517" s="116"/>
      <c r="AD517" s="116"/>
      <c r="AE517" s="40"/>
      <c r="AF517" s="136" t="str">
        <f t="shared" ca="1" si="42"/>
        <v/>
      </c>
      <c r="AG517" s="127"/>
      <c r="AH517" s="127"/>
      <c r="AI517" s="127"/>
      <c r="AJ517" s="128"/>
      <c r="AK517" s="128"/>
      <c r="AL517" s="129"/>
    </row>
    <row r="518" spans="1:38" ht="24.95" customHeight="1" x14ac:dyDescent="0.25">
      <c r="A518" s="142" t="str">
        <f t="shared" si="43"/>
        <v>16SAM183</v>
      </c>
      <c r="B518" s="192">
        <v>183</v>
      </c>
      <c r="C518" s="142" t="s">
        <v>57</v>
      </c>
      <c r="D518" s="143" t="s">
        <v>40</v>
      </c>
      <c r="E518" s="124" t="s">
        <v>1373</v>
      </c>
      <c r="F518" s="124" t="s">
        <v>1713</v>
      </c>
      <c r="G518" s="251"/>
      <c r="H518" s="34" t="s">
        <v>43</v>
      </c>
      <c r="I518" s="126" t="s">
        <v>1781</v>
      </c>
      <c r="J518" s="47" t="s">
        <v>180</v>
      </c>
      <c r="K518" s="126">
        <v>853.91</v>
      </c>
      <c r="L518" s="126" t="s">
        <v>1715</v>
      </c>
      <c r="M518" s="282" t="s">
        <v>1716</v>
      </c>
      <c r="N518" s="265">
        <v>42649</v>
      </c>
      <c r="O518" s="260">
        <v>42653</v>
      </c>
      <c r="P518" s="106" t="s">
        <v>139</v>
      </c>
      <c r="Q518" s="107" t="s">
        <v>1717</v>
      </c>
      <c r="R518" s="266">
        <v>1</v>
      </c>
      <c r="S518" s="37">
        <v>0</v>
      </c>
      <c r="T518" s="36" t="str">
        <f t="shared" ca="1" si="41"/>
        <v>Empty</v>
      </c>
      <c r="U518" s="37" t="s">
        <v>1782</v>
      </c>
      <c r="V518" s="37"/>
      <c r="W518" s="38"/>
      <c r="X518" s="39"/>
      <c r="Y518" s="39"/>
      <c r="Z518" s="40"/>
      <c r="AA518" s="136" t="str">
        <f t="shared" ca="1" si="44"/>
        <v/>
      </c>
      <c r="AB518" s="40"/>
      <c r="AC518" s="116"/>
      <c r="AD518" s="116"/>
      <c r="AE518" s="40"/>
      <c r="AF518" s="136" t="str">
        <f t="shared" ca="1" si="42"/>
        <v/>
      </c>
      <c r="AG518" s="127"/>
      <c r="AH518" s="127"/>
      <c r="AI518" s="127"/>
      <c r="AJ518" s="128"/>
      <c r="AK518" s="128"/>
      <c r="AL518" s="129"/>
    </row>
    <row r="519" spans="1:38" ht="24.95" customHeight="1" x14ac:dyDescent="0.25">
      <c r="A519" s="140" t="str">
        <f t="shared" si="43"/>
        <v>16REF184</v>
      </c>
      <c r="B519" s="193">
        <v>184</v>
      </c>
      <c r="C519" s="140" t="s">
        <v>39</v>
      </c>
      <c r="D519" s="141" t="s">
        <v>744</v>
      </c>
      <c r="E519" s="124" t="s">
        <v>41</v>
      </c>
      <c r="F519" s="124" t="s">
        <v>3188</v>
      </c>
      <c r="G519" s="251" t="s">
        <v>2201</v>
      </c>
      <c r="H519" s="34" t="s">
        <v>330</v>
      </c>
      <c r="I519" s="126"/>
      <c r="J519" s="34" t="s">
        <v>180</v>
      </c>
      <c r="K519" s="126">
        <v>527.30999999999995</v>
      </c>
      <c r="L519" s="126" t="s">
        <v>1272</v>
      </c>
      <c r="M519" s="104" t="s">
        <v>805</v>
      </c>
      <c r="N519" s="265">
        <v>42653</v>
      </c>
      <c r="O519" s="260">
        <v>42828</v>
      </c>
      <c r="P519" s="106" t="s">
        <v>183</v>
      </c>
      <c r="Q519" s="107" t="s">
        <v>1354</v>
      </c>
      <c r="R519" s="244"/>
      <c r="S519" s="37">
        <v>0</v>
      </c>
      <c r="T519" s="36" t="str">
        <f t="shared" ca="1" si="41"/>
        <v>Empty</v>
      </c>
      <c r="U519" s="37"/>
      <c r="V519" s="37"/>
      <c r="W519" s="38">
        <v>42828</v>
      </c>
      <c r="X519" s="39" t="s">
        <v>248</v>
      </c>
      <c r="Y519" s="39" t="s">
        <v>853</v>
      </c>
      <c r="Z519" s="40" t="s">
        <v>49</v>
      </c>
      <c r="AA519" s="136">
        <f t="shared" ca="1" si="44"/>
        <v>541</v>
      </c>
      <c r="AB519" s="40"/>
      <c r="AC519" s="116"/>
      <c r="AD519" s="116"/>
      <c r="AE519" s="40"/>
      <c r="AF519" s="136" t="str">
        <f t="shared" ca="1" si="42"/>
        <v/>
      </c>
      <c r="AG519" s="127"/>
      <c r="AH519" s="127"/>
      <c r="AI519" s="127"/>
      <c r="AJ519" s="128"/>
      <c r="AK519" s="128"/>
      <c r="AL519" s="129"/>
    </row>
    <row r="520" spans="1:38" ht="24.95" customHeight="1" x14ac:dyDescent="0.25">
      <c r="A520" s="140" t="str">
        <f t="shared" si="43"/>
        <v>16REF185</v>
      </c>
      <c r="B520" s="193">
        <v>185</v>
      </c>
      <c r="C520" s="140" t="s">
        <v>39</v>
      </c>
      <c r="D520" s="141" t="s">
        <v>744</v>
      </c>
      <c r="E520" s="124" t="s">
        <v>41</v>
      </c>
      <c r="F520" s="124" t="s">
        <v>1541</v>
      </c>
      <c r="G520" s="251"/>
      <c r="H520" s="34" t="s">
        <v>330</v>
      </c>
      <c r="I520" s="126"/>
      <c r="J520" s="34" t="s">
        <v>180</v>
      </c>
      <c r="K520" s="126">
        <v>307.64999999999998</v>
      </c>
      <c r="L520" s="126" t="s">
        <v>804</v>
      </c>
      <c r="M520" s="104" t="s">
        <v>1273</v>
      </c>
      <c r="N520" s="265">
        <v>42653</v>
      </c>
      <c r="O520" s="260">
        <v>42948</v>
      </c>
      <c r="P520" s="106" t="s">
        <v>183</v>
      </c>
      <c r="Q520" s="107" t="s">
        <v>1354</v>
      </c>
      <c r="R520" s="244"/>
      <c r="S520" s="37">
        <v>0</v>
      </c>
      <c r="T520" s="36" t="str">
        <f t="shared" ca="1" si="41"/>
        <v>Empty</v>
      </c>
      <c r="U520" s="37"/>
      <c r="V520" s="37" t="s">
        <v>2394</v>
      </c>
      <c r="W520" s="38"/>
      <c r="X520" s="39"/>
      <c r="Y520" s="39"/>
      <c r="Z520" s="40"/>
      <c r="AA520" s="136" t="str">
        <f t="shared" ca="1" si="44"/>
        <v/>
      </c>
      <c r="AB520" s="40"/>
      <c r="AC520" s="116"/>
      <c r="AD520" s="116"/>
      <c r="AE520" s="40"/>
      <c r="AF520" s="136" t="str">
        <f t="shared" ca="1" si="42"/>
        <v/>
      </c>
      <c r="AG520" s="127"/>
      <c r="AH520" s="127"/>
      <c r="AI520" s="127"/>
      <c r="AJ520" s="128"/>
      <c r="AK520" s="128"/>
      <c r="AL520" s="129"/>
    </row>
    <row r="521" spans="1:38" ht="24.95" customHeight="1" x14ac:dyDescent="0.25">
      <c r="A521" s="140" t="str">
        <f t="shared" si="43"/>
        <v>16REF186</v>
      </c>
      <c r="B521" s="193">
        <v>186</v>
      </c>
      <c r="C521" s="140" t="s">
        <v>39</v>
      </c>
      <c r="D521" s="141" t="s">
        <v>170</v>
      </c>
      <c r="E521" s="124" t="s">
        <v>41</v>
      </c>
      <c r="F521" s="124" t="s">
        <v>1598</v>
      </c>
      <c r="G521" s="251"/>
      <c r="H521" s="34" t="s">
        <v>112</v>
      </c>
      <c r="I521" s="126" t="s">
        <v>1783</v>
      </c>
      <c r="J521" s="47" t="s">
        <v>105</v>
      </c>
      <c r="K521" s="126">
        <v>159.22999999999999</v>
      </c>
      <c r="L521" s="126">
        <v>3775</v>
      </c>
      <c r="M521" s="104" t="s">
        <v>1653</v>
      </c>
      <c r="N521" s="265">
        <v>42655</v>
      </c>
      <c r="O521" s="260">
        <v>43014</v>
      </c>
      <c r="P521" s="106" t="s">
        <v>86</v>
      </c>
      <c r="Q521" s="107"/>
      <c r="R521" s="244"/>
      <c r="S521" s="37">
        <v>0</v>
      </c>
      <c r="T521" s="36" t="str">
        <f t="shared" ca="1" si="41"/>
        <v>Empty</v>
      </c>
      <c r="U521" s="37"/>
      <c r="V521" s="37" t="s">
        <v>1784</v>
      </c>
      <c r="W521" s="38"/>
      <c r="X521" s="39"/>
      <c r="Y521" s="39"/>
      <c r="Z521" s="40"/>
      <c r="AA521" s="136" t="str">
        <f t="shared" ca="1" si="44"/>
        <v/>
      </c>
      <c r="AB521" s="40"/>
      <c r="AC521" s="116"/>
      <c r="AD521" s="116"/>
      <c r="AE521" s="40"/>
      <c r="AF521" s="136" t="str">
        <f t="shared" ca="1" si="42"/>
        <v/>
      </c>
      <c r="AG521" s="127"/>
      <c r="AH521" s="127"/>
      <c r="AI521" s="127"/>
      <c r="AJ521" s="128"/>
      <c r="AK521" s="128"/>
      <c r="AL521" s="129"/>
    </row>
    <row r="522" spans="1:38" ht="24.95" customHeight="1" x14ac:dyDescent="0.25">
      <c r="A522" s="142" t="str">
        <f t="shared" si="43"/>
        <v>16SAM187</v>
      </c>
      <c r="B522" s="192">
        <v>187</v>
      </c>
      <c r="C522" s="142" t="s">
        <v>57</v>
      </c>
      <c r="D522" s="143" t="s">
        <v>170</v>
      </c>
      <c r="E522" s="124" t="s">
        <v>1373</v>
      </c>
      <c r="F522" s="124" t="s">
        <v>1792</v>
      </c>
      <c r="G522" s="251" t="s">
        <v>1788</v>
      </c>
      <c r="H522" s="47" t="s">
        <v>60</v>
      </c>
      <c r="I522" s="126" t="s">
        <v>1785</v>
      </c>
      <c r="J522" s="34" t="s">
        <v>45</v>
      </c>
      <c r="K522" s="126">
        <v>528.55600000000004</v>
      </c>
      <c r="L522" s="132" t="s">
        <v>61</v>
      </c>
      <c r="M522" s="105" t="s">
        <v>61</v>
      </c>
      <c r="N522" s="265">
        <v>42657</v>
      </c>
      <c r="O522" s="260">
        <v>42661</v>
      </c>
      <c r="P522" s="106" t="s">
        <v>1786</v>
      </c>
      <c r="Q522" s="107" t="s">
        <v>1789</v>
      </c>
      <c r="R522" s="244"/>
      <c r="S522" s="37">
        <f>10-5.48</f>
        <v>4.5199999999999996</v>
      </c>
      <c r="T522" s="36">
        <f t="shared" ca="1" si="41"/>
        <v>706</v>
      </c>
      <c r="U522" s="37" t="s">
        <v>1787</v>
      </c>
      <c r="V522" s="242" t="s">
        <v>1682</v>
      </c>
      <c r="W522" s="38">
        <v>42661</v>
      </c>
      <c r="X522" s="39" t="s">
        <v>248</v>
      </c>
      <c r="Y522" s="39" t="s">
        <v>1793</v>
      </c>
      <c r="Z522" s="40" t="s">
        <v>212</v>
      </c>
      <c r="AA522" s="136">
        <f t="shared" ca="1" si="44"/>
        <v>706</v>
      </c>
      <c r="AB522" s="40"/>
      <c r="AC522" s="116"/>
      <c r="AD522" s="116"/>
      <c r="AE522" s="40"/>
      <c r="AF522" s="136" t="str">
        <f t="shared" ca="1" si="42"/>
        <v/>
      </c>
      <c r="AG522" s="127"/>
      <c r="AH522" s="127"/>
      <c r="AI522" s="127"/>
      <c r="AJ522" s="128"/>
      <c r="AK522" s="128"/>
      <c r="AL522" s="129"/>
    </row>
    <row r="523" spans="1:38" ht="24.95" customHeight="1" x14ac:dyDescent="0.25">
      <c r="A523" s="140" t="str">
        <f t="shared" si="43"/>
        <v>16REF188</v>
      </c>
      <c r="B523" s="193">
        <v>188</v>
      </c>
      <c r="C523" s="140" t="s">
        <v>39</v>
      </c>
      <c r="D523" s="141" t="s">
        <v>744</v>
      </c>
      <c r="E523" s="124" t="s">
        <v>41</v>
      </c>
      <c r="F523" s="124" t="s">
        <v>723</v>
      </c>
      <c r="G523" s="251"/>
      <c r="H523" s="34" t="s">
        <v>43</v>
      </c>
      <c r="I523" s="126" t="s">
        <v>725</v>
      </c>
      <c r="J523" s="34" t="s">
        <v>45</v>
      </c>
      <c r="K523" s="126">
        <v>94.11</v>
      </c>
      <c r="L523" s="126">
        <v>275875</v>
      </c>
      <c r="M523" s="104" t="s">
        <v>726</v>
      </c>
      <c r="N523" s="265">
        <v>42664</v>
      </c>
      <c r="O523" s="260">
        <v>42664</v>
      </c>
      <c r="P523" s="106" t="s">
        <v>160</v>
      </c>
      <c r="Q523" s="107" t="s">
        <v>49</v>
      </c>
      <c r="R523" s="244"/>
      <c r="S523" s="37">
        <f>1000-75.8-53-30-7-31-18.79-21.6-18.2-25-21.3-16.7</f>
        <v>681.61</v>
      </c>
      <c r="T523" s="36">
        <f t="shared" ca="1" si="41"/>
        <v>703</v>
      </c>
      <c r="U523" s="37"/>
      <c r="V523" s="37"/>
      <c r="W523" s="38">
        <v>42927</v>
      </c>
      <c r="X523" s="39" t="s">
        <v>728</v>
      </c>
      <c r="Y523" s="39" t="s">
        <v>1917</v>
      </c>
      <c r="Z523" s="40" t="s">
        <v>49</v>
      </c>
      <c r="AA523" s="136">
        <f t="shared" ca="1" si="44"/>
        <v>443</v>
      </c>
      <c r="AB523" s="40"/>
      <c r="AC523" s="116"/>
      <c r="AD523" s="116"/>
      <c r="AE523" s="40"/>
      <c r="AF523" s="136" t="str">
        <f t="shared" ca="1" si="42"/>
        <v/>
      </c>
      <c r="AG523" s="127"/>
      <c r="AH523" s="127"/>
      <c r="AI523" s="127"/>
      <c r="AJ523" s="128"/>
      <c r="AK523" s="128"/>
      <c r="AL523" s="129"/>
    </row>
    <row r="524" spans="1:38" ht="24.95" customHeight="1" x14ac:dyDescent="0.25">
      <c r="A524" s="142" t="str">
        <f t="shared" si="43"/>
        <v>16SAM189</v>
      </c>
      <c r="B524" s="192">
        <v>189</v>
      </c>
      <c r="C524" s="142" t="s">
        <v>57</v>
      </c>
      <c r="D524" s="143" t="s">
        <v>40</v>
      </c>
      <c r="E524" s="124" t="s">
        <v>1373</v>
      </c>
      <c r="F524" s="124" t="s">
        <v>1713</v>
      </c>
      <c r="G524" s="251"/>
      <c r="H524" s="34" t="s">
        <v>43</v>
      </c>
      <c r="I524" s="126" t="s">
        <v>1781</v>
      </c>
      <c r="J524" s="47" t="s">
        <v>180</v>
      </c>
      <c r="K524" s="126">
        <v>853.91</v>
      </c>
      <c r="L524" s="126" t="s">
        <v>1715</v>
      </c>
      <c r="M524" s="104" t="s">
        <v>1716</v>
      </c>
      <c r="N524" s="265">
        <v>42669</v>
      </c>
      <c r="O524" s="260">
        <v>42670</v>
      </c>
      <c r="P524" s="106" t="s">
        <v>139</v>
      </c>
      <c r="Q524" s="107" t="s">
        <v>1717</v>
      </c>
      <c r="R524" s="244"/>
      <c r="S524" s="37">
        <v>0</v>
      </c>
      <c r="T524" s="36" t="str">
        <f t="shared" ca="1" si="41"/>
        <v>Empty</v>
      </c>
      <c r="U524" s="37" t="s">
        <v>1782</v>
      </c>
      <c r="V524" s="37"/>
      <c r="W524" s="38"/>
      <c r="X524" s="39"/>
      <c r="Y524" s="39"/>
      <c r="Z524" s="40"/>
      <c r="AA524" s="136" t="str">
        <f t="shared" ca="1" si="44"/>
        <v/>
      </c>
      <c r="AB524" s="40"/>
      <c r="AC524" s="116"/>
      <c r="AD524" s="116"/>
      <c r="AE524" s="40"/>
      <c r="AF524" s="136" t="str">
        <f t="shared" ca="1" si="42"/>
        <v/>
      </c>
      <c r="AG524" s="127"/>
      <c r="AH524" s="127"/>
      <c r="AI524" s="127"/>
      <c r="AJ524" s="128"/>
      <c r="AK524" s="128"/>
      <c r="AL524" s="129"/>
    </row>
    <row r="525" spans="1:38" ht="24.95" customHeight="1" x14ac:dyDescent="0.25">
      <c r="A525" s="142" t="str">
        <f t="shared" si="43"/>
        <v>16SAM190</v>
      </c>
      <c r="B525" s="192">
        <v>190</v>
      </c>
      <c r="C525" s="142" t="s">
        <v>57</v>
      </c>
      <c r="D525" s="143" t="s">
        <v>40</v>
      </c>
      <c r="E525" s="124" t="s">
        <v>1373</v>
      </c>
      <c r="F525" s="124" t="s">
        <v>1713</v>
      </c>
      <c r="G525" s="251"/>
      <c r="H525" s="34" t="s">
        <v>43</v>
      </c>
      <c r="I525" s="126" t="s">
        <v>1781</v>
      </c>
      <c r="J525" s="47" t="s">
        <v>180</v>
      </c>
      <c r="K525" s="126">
        <v>853.91</v>
      </c>
      <c r="L525" s="126" t="s">
        <v>1715</v>
      </c>
      <c r="M525" s="104" t="s">
        <v>1716</v>
      </c>
      <c r="N525" s="265">
        <v>42669</v>
      </c>
      <c r="O525" s="260">
        <v>42671</v>
      </c>
      <c r="P525" s="106" t="s">
        <v>139</v>
      </c>
      <c r="Q525" s="107" t="s">
        <v>1717</v>
      </c>
      <c r="R525" s="244"/>
      <c r="S525" s="37">
        <v>0</v>
      </c>
      <c r="T525" s="36" t="str">
        <f t="shared" ca="1" si="41"/>
        <v>Empty</v>
      </c>
      <c r="U525" s="37" t="s">
        <v>1782</v>
      </c>
      <c r="V525" s="37"/>
      <c r="W525" s="38"/>
      <c r="X525" s="39"/>
      <c r="Y525" s="39"/>
      <c r="Z525" s="40"/>
      <c r="AA525" s="136" t="str">
        <f t="shared" ca="1" si="44"/>
        <v/>
      </c>
      <c r="AB525" s="40"/>
      <c r="AC525" s="116"/>
      <c r="AD525" s="116"/>
      <c r="AE525" s="40"/>
      <c r="AF525" s="136" t="str">
        <f t="shared" ca="1" si="42"/>
        <v/>
      </c>
      <c r="AG525" s="127"/>
      <c r="AH525" s="127"/>
      <c r="AI525" s="127"/>
      <c r="AJ525" s="128"/>
      <c r="AK525" s="128"/>
      <c r="AL525" s="129"/>
    </row>
    <row r="526" spans="1:38" ht="24.95" customHeight="1" x14ac:dyDescent="0.25">
      <c r="A526" s="142" t="str">
        <f t="shared" si="43"/>
        <v>16SAM191</v>
      </c>
      <c r="B526" s="192">
        <v>191</v>
      </c>
      <c r="C526" s="142" t="s">
        <v>57</v>
      </c>
      <c r="D526" s="143" t="s">
        <v>40</v>
      </c>
      <c r="E526" s="124" t="s">
        <v>1373</v>
      </c>
      <c r="F526" s="124" t="s">
        <v>1713</v>
      </c>
      <c r="G526" s="251"/>
      <c r="H526" s="34" t="s">
        <v>43</v>
      </c>
      <c r="I526" s="126" t="s">
        <v>1781</v>
      </c>
      <c r="J526" s="47" t="s">
        <v>180</v>
      </c>
      <c r="K526" s="126">
        <v>853.91</v>
      </c>
      <c r="L526" s="126" t="s">
        <v>1715</v>
      </c>
      <c r="M526" s="104" t="s">
        <v>1716</v>
      </c>
      <c r="N526" s="265">
        <v>42669</v>
      </c>
      <c r="O526" s="260">
        <v>42671</v>
      </c>
      <c r="P526" s="106" t="s">
        <v>139</v>
      </c>
      <c r="Q526" s="107" t="s">
        <v>1717</v>
      </c>
      <c r="R526" s="244"/>
      <c r="S526" s="37">
        <v>0</v>
      </c>
      <c r="T526" s="36" t="str">
        <f t="shared" ca="1" si="41"/>
        <v>Empty</v>
      </c>
      <c r="U526" s="37" t="s">
        <v>1782</v>
      </c>
      <c r="V526" s="37"/>
      <c r="W526" s="38"/>
      <c r="X526" s="39"/>
      <c r="Y526" s="39"/>
      <c r="Z526" s="40"/>
      <c r="AA526" s="136" t="str">
        <f t="shared" ca="1" si="44"/>
        <v/>
      </c>
      <c r="AB526" s="40"/>
      <c r="AC526" s="116"/>
      <c r="AD526" s="116"/>
      <c r="AE526" s="40"/>
      <c r="AF526" s="136" t="str">
        <f t="shared" ca="1" si="42"/>
        <v/>
      </c>
      <c r="AG526" s="127"/>
      <c r="AH526" s="127"/>
      <c r="AI526" s="127"/>
      <c r="AJ526" s="128"/>
      <c r="AK526" s="128"/>
      <c r="AL526" s="129"/>
    </row>
    <row r="527" spans="1:38" ht="24.95" customHeight="1" x14ac:dyDescent="0.25">
      <c r="A527" s="142" t="str">
        <f t="shared" si="43"/>
        <v>16SAM192</v>
      </c>
      <c r="B527" s="192">
        <v>192</v>
      </c>
      <c r="C527" s="142" t="s">
        <v>57</v>
      </c>
      <c r="D527" s="143" t="s">
        <v>40</v>
      </c>
      <c r="E527" s="124" t="s">
        <v>1373</v>
      </c>
      <c r="F527" s="124" t="s">
        <v>1713</v>
      </c>
      <c r="G527" s="251"/>
      <c r="H527" s="34" t="s">
        <v>43</v>
      </c>
      <c r="I527" s="126" t="s">
        <v>1781</v>
      </c>
      <c r="J527" s="47" t="s">
        <v>180</v>
      </c>
      <c r="K527" s="126">
        <v>853.91</v>
      </c>
      <c r="L527" s="126" t="s">
        <v>1715</v>
      </c>
      <c r="M527" s="104" t="s">
        <v>1716</v>
      </c>
      <c r="N527" s="265">
        <v>42669</v>
      </c>
      <c r="O527" s="260">
        <v>42671</v>
      </c>
      <c r="P527" s="106" t="s">
        <v>139</v>
      </c>
      <c r="Q527" s="107" t="s">
        <v>1717</v>
      </c>
      <c r="R527" s="244"/>
      <c r="S527" s="37">
        <v>0</v>
      </c>
      <c r="T527" s="36" t="str">
        <f t="shared" ca="1" si="41"/>
        <v>Empty</v>
      </c>
      <c r="U527" s="37" t="s">
        <v>1782</v>
      </c>
      <c r="V527" s="37"/>
      <c r="W527" s="38"/>
      <c r="X527" s="39"/>
      <c r="Y527" s="39"/>
      <c r="Z527" s="40"/>
      <c r="AA527" s="136" t="str">
        <f t="shared" ca="1" si="44"/>
        <v/>
      </c>
      <c r="AB527" s="40"/>
      <c r="AC527" s="116"/>
      <c r="AD527" s="116"/>
      <c r="AE527" s="40"/>
      <c r="AF527" s="136" t="str">
        <f t="shared" ca="1" si="42"/>
        <v/>
      </c>
      <c r="AG527" s="127"/>
      <c r="AH527" s="127"/>
      <c r="AI527" s="127"/>
      <c r="AJ527" s="128"/>
      <c r="AK527" s="128"/>
      <c r="AL527" s="129"/>
    </row>
    <row r="528" spans="1:38" ht="24.95" customHeight="1" x14ac:dyDescent="0.25">
      <c r="A528" s="142" t="str">
        <f t="shared" si="43"/>
        <v>16SAM193</v>
      </c>
      <c r="B528" s="192">
        <v>193</v>
      </c>
      <c r="C528" s="142" t="s">
        <v>57</v>
      </c>
      <c r="D528" s="143" t="s">
        <v>40</v>
      </c>
      <c r="E528" s="124" t="s">
        <v>1373</v>
      </c>
      <c r="F528" s="124" t="s">
        <v>1713</v>
      </c>
      <c r="G528" s="251"/>
      <c r="H528" s="34" t="s">
        <v>43</v>
      </c>
      <c r="I528" s="126" t="s">
        <v>1781</v>
      </c>
      <c r="J528" s="47" t="s">
        <v>180</v>
      </c>
      <c r="K528" s="126">
        <v>853.91</v>
      </c>
      <c r="L528" s="126" t="s">
        <v>1715</v>
      </c>
      <c r="M528" s="104" t="s">
        <v>1716</v>
      </c>
      <c r="N528" s="265">
        <v>42669</v>
      </c>
      <c r="O528" s="260">
        <v>42671</v>
      </c>
      <c r="P528" s="106" t="s">
        <v>139</v>
      </c>
      <c r="Q528" s="107" t="s">
        <v>1717</v>
      </c>
      <c r="R528" s="244"/>
      <c r="S528" s="37">
        <v>0</v>
      </c>
      <c r="T528" s="36" t="str">
        <f t="shared" ca="1" si="41"/>
        <v>Empty</v>
      </c>
      <c r="U528" s="37" t="s">
        <v>1782</v>
      </c>
      <c r="V528" s="37"/>
      <c r="W528" s="38"/>
      <c r="X528" s="39"/>
      <c r="Y528" s="39"/>
      <c r="Z528" s="40"/>
      <c r="AA528" s="136" t="str">
        <f t="shared" ca="1" si="44"/>
        <v/>
      </c>
      <c r="AB528" s="40"/>
      <c r="AC528" s="116"/>
      <c r="AD528" s="116"/>
      <c r="AE528" s="40"/>
      <c r="AF528" s="136" t="str">
        <f t="shared" ca="1" si="42"/>
        <v/>
      </c>
      <c r="AG528" s="127"/>
      <c r="AH528" s="127"/>
      <c r="AI528" s="127"/>
      <c r="AJ528" s="128"/>
      <c r="AK528" s="128"/>
      <c r="AL528" s="129"/>
    </row>
    <row r="529" spans="1:38" ht="24.95" customHeight="1" x14ac:dyDescent="0.25">
      <c r="A529" s="142" t="str">
        <f t="shared" si="43"/>
        <v>16SAM194</v>
      </c>
      <c r="B529" s="192">
        <v>194</v>
      </c>
      <c r="C529" s="142" t="s">
        <v>57</v>
      </c>
      <c r="D529" s="143" t="s">
        <v>40</v>
      </c>
      <c r="E529" s="124" t="s">
        <v>1373</v>
      </c>
      <c r="F529" s="124" t="s">
        <v>1713</v>
      </c>
      <c r="G529" s="251"/>
      <c r="H529" s="34" t="s">
        <v>43</v>
      </c>
      <c r="I529" s="126" t="s">
        <v>1781</v>
      </c>
      <c r="J529" s="47" t="s">
        <v>180</v>
      </c>
      <c r="K529" s="126">
        <v>853.91</v>
      </c>
      <c r="L529" s="126" t="s">
        <v>1715</v>
      </c>
      <c r="M529" s="104" t="s">
        <v>1716</v>
      </c>
      <c r="N529" s="265">
        <v>42669</v>
      </c>
      <c r="O529" s="260">
        <v>42671</v>
      </c>
      <c r="P529" s="106" t="s">
        <v>139</v>
      </c>
      <c r="Q529" s="107" t="s">
        <v>1717</v>
      </c>
      <c r="R529" s="244"/>
      <c r="S529" s="37">
        <v>0</v>
      </c>
      <c r="T529" s="36" t="str">
        <f t="shared" ca="1" si="41"/>
        <v>Empty</v>
      </c>
      <c r="U529" s="37" t="s">
        <v>1782</v>
      </c>
      <c r="V529" s="37"/>
      <c r="W529" s="38"/>
      <c r="X529" s="39"/>
      <c r="Y529" s="39"/>
      <c r="Z529" s="40"/>
      <c r="AA529" s="136" t="str">
        <f t="shared" ca="1" si="44"/>
        <v/>
      </c>
      <c r="AB529" s="40"/>
      <c r="AC529" s="116"/>
      <c r="AD529" s="116"/>
      <c r="AE529" s="40"/>
      <c r="AF529" s="136" t="str">
        <f t="shared" ca="1" si="42"/>
        <v/>
      </c>
      <c r="AG529" s="127"/>
      <c r="AH529" s="127"/>
      <c r="AI529" s="127"/>
      <c r="AJ529" s="128"/>
      <c r="AK529" s="128"/>
      <c r="AL529" s="129"/>
    </row>
    <row r="530" spans="1:38" ht="24.95" customHeight="1" x14ac:dyDescent="0.25">
      <c r="A530" s="142" t="str">
        <f t="shared" si="43"/>
        <v>16SAM195</v>
      </c>
      <c r="B530" s="192">
        <v>195</v>
      </c>
      <c r="C530" s="142" t="s">
        <v>57</v>
      </c>
      <c r="D530" s="143" t="s">
        <v>40</v>
      </c>
      <c r="E530" s="124" t="s">
        <v>1373</v>
      </c>
      <c r="F530" s="124" t="s">
        <v>1713</v>
      </c>
      <c r="G530" s="251"/>
      <c r="H530" s="34" t="s">
        <v>43</v>
      </c>
      <c r="I530" s="126" t="s">
        <v>1781</v>
      </c>
      <c r="J530" s="47" t="s">
        <v>180</v>
      </c>
      <c r="K530" s="126">
        <v>853.91</v>
      </c>
      <c r="L530" s="126" t="s">
        <v>1715</v>
      </c>
      <c r="M530" s="104" t="s">
        <v>1716</v>
      </c>
      <c r="N530" s="265">
        <v>42669</v>
      </c>
      <c r="O530" s="260">
        <v>42666</v>
      </c>
      <c r="P530" s="106" t="s">
        <v>139</v>
      </c>
      <c r="Q530" s="107" t="s">
        <v>1717</v>
      </c>
      <c r="R530" s="244"/>
      <c r="S530" s="37">
        <v>0</v>
      </c>
      <c r="T530" s="36" t="str">
        <f t="shared" ca="1" si="41"/>
        <v>Empty</v>
      </c>
      <c r="U530" s="37" t="s">
        <v>1782</v>
      </c>
      <c r="V530" s="37"/>
      <c r="W530" s="38"/>
      <c r="X530" s="39"/>
      <c r="Y530" s="39"/>
      <c r="Z530" s="40"/>
      <c r="AA530" s="136" t="str">
        <f t="shared" ca="1" si="44"/>
        <v/>
      </c>
      <c r="AB530" s="40"/>
      <c r="AC530" s="116"/>
      <c r="AD530" s="116"/>
      <c r="AE530" s="40"/>
      <c r="AF530" s="136" t="str">
        <f t="shared" ca="1" si="42"/>
        <v/>
      </c>
      <c r="AG530" s="127"/>
      <c r="AH530" s="127"/>
      <c r="AI530" s="127"/>
      <c r="AJ530" s="128"/>
      <c r="AK530" s="128"/>
      <c r="AL530" s="129"/>
    </row>
    <row r="531" spans="1:38" ht="24.95" customHeight="1" x14ac:dyDescent="0.25">
      <c r="A531" s="142" t="str">
        <f t="shared" si="43"/>
        <v>16SAM196</v>
      </c>
      <c r="B531" s="192">
        <v>196</v>
      </c>
      <c r="C531" s="142" t="s">
        <v>57</v>
      </c>
      <c r="D531" s="143" t="s">
        <v>40</v>
      </c>
      <c r="E531" s="124" t="s">
        <v>230</v>
      </c>
      <c r="F531" s="124" t="s">
        <v>1828</v>
      </c>
      <c r="G531" s="251"/>
      <c r="H531" s="34" t="s">
        <v>60</v>
      </c>
      <c r="I531" s="126"/>
      <c r="J531" s="34" t="s">
        <v>45</v>
      </c>
      <c r="K531" s="126">
        <v>402.65</v>
      </c>
      <c r="L531" s="132" t="s">
        <v>61</v>
      </c>
      <c r="M531" s="105" t="s">
        <v>61</v>
      </c>
      <c r="N531" s="265">
        <v>42670</v>
      </c>
      <c r="O531" s="260">
        <v>42676</v>
      </c>
      <c r="P531" s="106" t="s">
        <v>1066</v>
      </c>
      <c r="Q531" s="107" t="s">
        <v>1056</v>
      </c>
      <c r="R531" s="244"/>
      <c r="S531" s="37">
        <v>0</v>
      </c>
      <c r="T531" s="36" t="str">
        <f t="shared" ca="1" si="41"/>
        <v>Empty</v>
      </c>
      <c r="U531" s="37" t="s">
        <v>1866</v>
      </c>
      <c r="V531" s="37"/>
      <c r="W531" s="38">
        <v>42676</v>
      </c>
      <c r="X531" s="39" t="s">
        <v>248</v>
      </c>
      <c r="Y531" s="39" t="s">
        <v>1739</v>
      </c>
      <c r="Z531" s="40" t="s">
        <v>212</v>
      </c>
      <c r="AA531" s="136">
        <f t="shared" ca="1" si="44"/>
        <v>692</v>
      </c>
      <c r="AB531" s="271">
        <v>42684</v>
      </c>
      <c r="AC531" s="116" t="s">
        <v>248</v>
      </c>
      <c r="AD531" s="116" t="s">
        <v>1918</v>
      </c>
      <c r="AE531" s="40" t="s">
        <v>212</v>
      </c>
      <c r="AF531" s="136">
        <f t="shared" ca="1" si="42"/>
        <v>684</v>
      </c>
      <c r="AG531" s="127"/>
      <c r="AH531" s="127"/>
      <c r="AI531" s="127"/>
      <c r="AJ531" s="128"/>
      <c r="AK531" s="128"/>
      <c r="AL531" s="129"/>
    </row>
    <row r="532" spans="1:38" ht="24.95" customHeight="1" x14ac:dyDescent="0.25">
      <c r="A532" s="142" t="s">
        <v>1795</v>
      </c>
      <c r="B532" s="192">
        <v>197</v>
      </c>
      <c r="C532" s="142" t="s">
        <v>57</v>
      </c>
      <c r="D532" s="143" t="s">
        <v>824</v>
      </c>
      <c r="E532" s="124" t="s">
        <v>1796</v>
      </c>
      <c r="F532" s="124" t="s">
        <v>1797</v>
      </c>
      <c r="G532" s="251" t="s">
        <v>1798</v>
      </c>
      <c r="H532" s="34" t="s">
        <v>43</v>
      </c>
      <c r="I532" s="126" t="s">
        <v>1799</v>
      </c>
      <c r="J532" s="47" t="s">
        <v>105</v>
      </c>
      <c r="K532" s="126" t="s">
        <v>1800</v>
      </c>
      <c r="L532" s="126" t="s">
        <v>1801</v>
      </c>
      <c r="M532" s="285" t="s">
        <v>1802</v>
      </c>
      <c r="N532" s="265">
        <v>42671</v>
      </c>
      <c r="O532" s="260">
        <v>42681</v>
      </c>
      <c r="P532" s="106" t="s">
        <v>497</v>
      </c>
      <c r="Q532" s="107" t="s">
        <v>1803</v>
      </c>
      <c r="S532" s="37">
        <v>0</v>
      </c>
      <c r="T532" s="36" t="str">
        <f t="shared" ca="1" si="41"/>
        <v>Empty</v>
      </c>
      <c r="U532" s="37" t="s">
        <v>1804</v>
      </c>
      <c r="V532" s="37"/>
      <c r="W532" s="38">
        <v>42787</v>
      </c>
      <c r="X532" s="39" t="s">
        <v>50</v>
      </c>
      <c r="Y532" s="39" t="s">
        <v>1982</v>
      </c>
      <c r="Z532" s="40" t="s">
        <v>49</v>
      </c>
      <c r="AA532" s="136">
        <f t="shared" ca="1" si="44"/>
        <v>583</v>
      </c>
      <c r="AB532" s="40"/>
      <c r="AC532" s="116"/>
      <c r="AD532" s="116"/>
      <c r="AE532" s="40"/>
      <c r="AF532" s="136" t="str">
        <f t="shared" ca="1" si="42"/>
        <v/>
      </c>
      <c r="AG532" s="127"/>
      <c r="AH532" s="127"/>
      <c r="AI532" s="127"/>
      <c r="AJ532" s="128"/>
      <c r="AK532" s="128"/>
      <c r="AL532" s="129"/>
    </row>
    <row r="533" spans="1:38" ht="24.95" customHeight="1" x14ac:dyDescent="0.25">
      <c r="A533" s="142" t="str">
        <f t="shared" si="43"/>
        <v>16SAM198</v>
      </c>
      <c r="B533" s="192">
        <v>198</v>
      </c>
      <c r="C533" s="142" t="s">
        <v>57</v>
      </c>
      <c r="D533" s="143" t="s">
        <v>824</v>
      </c>
      <c r="E533" s="124" t="s">
        <v>1796</v>
      </c>
      <c r="F533" s="124" t="s">
        <v>1805</v>
      </c>
      <c r="G533" s="251" t="s">
        <v>1806</v>
      </c>
      <c r="H533" s="34" t="s">
        <v>3513</v>
      </c>
      <c r="I533" s="126">
        <v>1787702</v>
      </c>
      <c r="J533" s="47" t="s">
        <v>105</v>
      </c>
      <c r="K533" s="126"/>
      <c r="L533" s="126" t="s">
        <v>1807</v>
      </c>
      <c r="M533" s="104"/>
      <c r="N533" s="265">
        <v>42671</v>
      </c>
      <c r="O533" s="260">
        <v>42676</v>
      </c>
      <c r="P533" s="106" t="s">
        <v>1808</v>
      </c>
      <c r="Q533" s="107" t="s">
        <v>1812</v>
      </c>
      <c r="R533" s="244" t="s">
        <v>1813</v>
      </c>
      <c r="S533" s="37">
        <v>0</v>
      </c>
      <c r="T533" s="36" t="str">
        <f t="shared" ca="1" si="41"/>
        <v>Empty</v>
      </c>
      <c r="U533" s="37" t="s">
        <v>1804</v>
      </c>
      <c r="V533" s="37"/>
      <c r="W533" s="38">
        <v>42676</v>
      </c>
      <c r="X533" s="39" t="s">
        <v>1829</v>
      </c>
      <c r="Y533" s="39" t="s">
        <v>1914</v>
      </c>
      <c r="Z533" s="40" t="s">
        <v>49</v>
      </c>
      <c r="AA533" s="136">
        <f t="shared" ca="1" si="44"/>
        <v>692</v>
      </c>
      <c r="AB533" s="40"/>
      <c r="AC533" s="116"/>
      <c r="AD533" s="116"/>
      <c r="AE533" s="40"/>
      <c r="AF533" s="136" t="str">
        <f t="shared" ca="1" si="42"/>
        <v/>
      </c>
      <c r="AG533" s="127"/>
      <c r="AH533" s="127"/>
      <c r="AI533" s="127"/>
      <c r="AJ533" s="128"/>
      <c r="AK533" s="128"/>
      <c r="AL533" s="129"/>
    </row>
    <row r="534" spans="1:38" ht="23.25" x14ac:dyDescent="0.25">
      <c r="A534" s="140" t="str">
        <f t="shared" si="43"/>
        <v>16REF199</v>
      </c>
      <c r="B534" s="193">
        <v>199</v>
      </c>
      <c r="C534" s="140" t="s">
        <v>39</v>
      </c>
      <c r="D534" s="141" t="s">
        <v>824</v>
      </c>
      <c r="E534" s="124" t="s">
        <v>41</v>
      </c>
      <c r="F534" s="124" t="s">
        <v>2893</v>
      </c>
      <c r="G534" s="251"/>
      <c r="H534" s="443" t="s">
        <v>3513</v>
      </c>
      <c r="I534" s="126">
        <v>1799277</v>
      </c>
      <c r="J534" s="47" t="s">
        <v>105</v>
      </c>
      <c r="K534" s="126" t="s">
        <v>1811</v>
      </c>
      <c r="L534" s="126" t="s">
        <v>1809</v>
      </c>
      <c r="M534" s="104"/>
      <c r="N534" s="265">
        <v>42671</v>
      </c>
      <c r="O534" s="260">
        <v>42773</v>
      </c>
      <c r="P534" s="106" t="s">
        <v>786</v>
      </c>
      <c r="Q534" s="107"/>
      <c r="R534" s="244"/>
      <c r="S534" s="37">
        <v>0</v>
      </c>
      <c r="T534" s="36" t="str">
        <f t="shared" ca="1" si="41"/>
        <v>Empty</v>
      </c>
      <c r="U534" s="37"/>
      <c r="V534" s="286" t="s">
        <v>1810</v>
      </c>
      <c r="W534" s="38"/>
      <c r="X534" s="39"/>
      <c r="Y534" s="39"/>
      <c r="Z534" s="40"/>
      <c r="AA534" s="136" t="str">
        <f t="shared" ca="1" si="44"/>
        <v/>
      </c>
      <c r="AB534" s="40"/>
      <c r="AC534" s="116"/>
      <c r="AD534" s="116"/>
      <c r="AE534" s="40"/>
      <c r="AF534" s="136" t="str">
        <f t="shared" ca="1" si="42"/>
        <v/>
      </c>
      <c r="AG534" s="127"/>
      <c r="AH534" s="127"/>
      <c r="AI534" s="127"/>
      <c r="AJ534" s="128"/>
      <c r="AK534" s="128"/>
      <c r="AL534" s="129"/>
    </row>
    <row r="535" spans="1:38" ht="24.95" customHeight="1" x14ac:dyDescent="0.25">
      <c r="A535" s="142" t="str">
        <f t="shared" si="43"/>
        <v>16SAM200</v>
      </c>
      <c r="B535" s="192">
        <v>200</v>
      </c>
      <c r="C535" s="142" t="s">
        <v>57</v>
      </c>
      <c r="D535" s="143" t="s">
        <v>40</v>
      </c>
      <c r="E535" s="124" t="s">
        <v>996</v>
      </c>
      <c r="F535" s="124" t="s">
        <v>1814</v>
      </c>
      <c r="G535" s="251"/>
      <c r="H535" s="34" t="s">
        <v>60</v>
      </c>
      <c r="I535" s="132" t="s">
        <v>61</v>
      </c>
      <c r="J535" s="34" t="s">
        <v>45</v>
      </c>
      <c r="K535" s="126">
        <v>362.28</v>
      </c>
      <c r="L535" s="132" t="s">
        <v>61</v>
      </c>
      <c r="M535" s="105" t="s">
        <v>61</v>
      </c>
      <c r="N535" s="265">
        <v>42671</v>
      </c>
      <c r="O535" s="260">
        <v>42689</v>
      </c>
      <c r="P535" s="106" t="s">
        <v>1815</v>
      </c>
      <c r="Q535" s="107" t="s">
        <v>212</v>
      </c>
      <c r="R535" s="244"/>
      <c r="S535" s="37">
        <v>0</v>
      </c>
      <c r="T535" s="36" t="str">
        <f t="shared" ca="1" si="41"/>
        <v>Empty</v>
      </c>
      <c r="U535" s="37" t="s">
        <v>1816</v>
      </c>
      <c r="V535" s="291" t="s">
        <v>1919</v>
      </c>
      <c r="W535" s="38"/>
      <c r="X535" s="39"/>
      <c r="Y535" s="39"/>
      <c r="Z535" s="40"/>
      <c r="AA535" s="136" t="str">
        <f t="shared" ca="1" si="44"/>
        <v/>
      </c>
      <c r="AB535" s="40"/>
      <c r="AC535" s="116"/>
      <c r="AD535" s="116"/>
      <c r="AE535" s="40"/>
      <c r="AF535" s="136" t="str">
        <f t="shared" ca="1" si="42"/>
        <v/>
      </c>
      <c r="AG535" s="127"/>
      <c r="AH535" s="127"/>
      <c r="AI535" s="127"/>
      <c r="AJ535" s="128"/>
      <c r="AK535" s="128"/>
      <c r="AL535" s="129"/>
    </row>
    <row r="536" spans="1:38" ht="24.95" customHeight="1" x14ac:dyDescent="0.25">
      <c r="A536" s="142" t="str">
        <f t="shared" si="43"/>
        <v>16SAM201</v>
      </c>
      <c r="B536" s="192">
        <v>201</v>
      </c>
      <c r="C536" s="142" t="s">
        <v>57</v>
      </c>
      <c r="D536" s="143" t="s">
        <v>170</v>
      </c>
      <c r="E536" s="124" t="s">
        <v>739</v>
      </c>
      <c r="F536" s="124" t="s">
        <v>1067</v>
      </c>
      <c r="G536" s="251"/>
      <c r="H536" s="34" t="s">
        <v>60</v>
      </c>
      <c r="I536" s="126" t="s">
        <v>1817</v>
      </c>
      <c r="J536" s="34" t="s">
        <v>45</v>
      </c>
      <c r="K536" s="126">
        <v>322.14</v>
      </c>
      <c r="L536" s="132" t="s">
        <v>61</v>
      </c>
      <c r="M536" s="105" t="s">
        <v>61</v>
      </c>
      <c r="N536" s="265">
        <v>42671</v>
      </c>
      <c r="O536" s="260">
        <v>42677</v>
      </c>
      <c r="P536" s="106" t="s">
        <v>1818</v>
      </c>
      <c r="Q536" s="107" t="s">
        <v>212</v>
      </c>
      <c r="R536" s="244"/>
      <c r="S536" s="37">
        <v>0</v>
      </c>
      <c r="T536" s="36" t="str">
        <f t="shared" ca="1" si="41"/>
        <v>Empty</v>
      </c>
      <c r="U536" s="37" t="s">
        <v>1372</v>
      </c>
      <c r="V536" s="37"/>
      <c r="W536" s="38">
        <v>42677</v>
      </c>
      <c r="X536" s="39" t="s">
        <v>1758</v>
      </c>
      <c r="Y536" s="39" t="s">
        <v>1532</v>
      </c>
      <c r="Z536" s="40" t="s">
        <v>212</v>
      </c>
      <c r="AA536" s="136">
        <f t="shared" ca="1" si="44"/>
        <v>691</v>
      </c>
      <c r="AB536" s="40"/>
      <c r="AC536" s="116"/>
      <c r="AD536" s="116"/>
      <c r="AE536" s="40"/>
      <c r="AF536" s="136" t="str">
        <f t="shared" ca="1" si="42"/>
        <v/>
      </c>
      <c r="AG536" s="127"/>
      <c r="AH536" s="127"/>
      <c r="AI536" s="127"/>
      <c r="AJ536" s="128"/>
      <c r="AK536" s="128"/>
      <c r="AL536" s="129"/>
    </row>
    <row r="537" spans="1:38" ht="24.95" customHeight="1" x14ac:dyDescent="0.25">
      <c r="A537" s="142" t="str">
        <f t="shared" si="43"/>
        <v>16SAM202</v>
      </c>
      <c r="B537" s="192">
        <v>202</v>
      </c>
      <c r="C537" s="142" t="s">
        <v>57</v>
      </c>
      <c r="D537" s="143" t="s">
        <v>170</v>
      </c>
      <c r="E537" s="124" t="s">
        <v>739</v>
      </c>
      <c r="F537" s="124" t="s">
        <v>1819</v>
      </c>
      <c r="G537" s="251"/>
      <c r="H537" s="34" t="s">
        <v>60</v>
      </c>
      <c r="I537" s="126" t="s">
        <v>1820</v>
      </c>
      <c r="J537" s="34" t="s">
        <v>45</v>
      </c>
      <c r="K537" s="126">
        <v>421.06</v>
      </c>
      <c r="L537" s="132" t="s">
        <v>61</v>
      </c>
      <c r="M537" s="105" t="s">
        <v>61</v>
      </c>
      <c r="N537" s="265">
        <v>42671</v>
      </c>
      <c r="O537" s="260"/>
      <c r="P537" s="106" t="s">
        <v>1821</v>
      </c>
      <c r="Q537" s="107" t="s">
        <v>212</v>
      </c>
      <c r="R537" s="244"/>
      <c r="S537" s="37"/>
      <c r="T537" s="36" t="str">
        <f t="shared" ca="1" si="41"/>
        <v/>
      </c>
      <c r="U537" s="37" t="s">
        <v>1372</v>
      </c>
      <c r="V537" s="37"/>
      <c r="W537" s="38"/>
      <c r="X537" s="39"/>
      <c r="Y537" s="39"/>
      <c r="Z537" s="40"/>
      <c r="AA537" s="136" t="str">
        <f t="shared" ca="1" si="44"/>
        <v/>
      </c>
      <c r="AB537" s="40"/>
      <c r="AC537" s="116"/>
      <c r="AD537" s="116"/>
      <c r="AE537" s="40"/>
      <c r="AF537" s="136" t="str">
        <f t="shared" ca="1" si="42"/>
        <v/>
      </c>
      <c r="AG537" s="127"/>
      <c r="AH537" s="127"/>
      <c r="AI537" s="127"/>
      <c r="AJ537" s="128"/>
      <c r="AK537" s="128"/>
      <c r="AL537" s="129"/>
    </row>
    <row r="538" spans="1:38" ht="24.95" customHeight="1" x14ac:dyDescent="0.25">
      <c r="A538" s="142" t="str">
        <f t="shared" si="43"/>
        <v>16SAM203</v>
      </c>
      <c r="B538" s="192">
        <v>203</v>
      </c>
      <c r="C538" s="142" t="s">
        <v>57</v>
      </c>
      <c r="D538" s="143" t="s">
        <v>824</v>
      </c>
      <c r="E538" s="124" t="s">
        <v>1796</v>
      </c>
      <c r="F538" s="124" t="s">
        <v>1822</v>
      </c>
      <c r="G538" s="251"/>
      <c r="H538" s="34" t="s">
        <v>43</v>
      </c>
      <c r="I538" s="126" t="s">
        <v>1823</v>
      </c>
      <c r="J538" s="47" t="s">
        <v>105</v>
      </c>
      <c r="K538" s="126">
        <v>237.22</v>
      </c>
      <c r="L538" s="126" t="s">
        <v>1824</v>
      </c>
      <c r="M538" s="104" t="s">
        <v>1825</v>
      </c>
      <c r="N538" s="265">
        <v>42674</v>
      </c>
      <c r="O538" s="260">
        <v>42683</v>
      </c>
      <c r="P538" s="106" t="s">
        <v>497</v>
      </c>
      <c r="Q538" s="107" t="s">
        <v>1827</v>
      </c>
      <c r="R538" s="267">
        <v>0.98899999999999999</v>
      </c>
      <c r="S538" s="37">
        <f>5-1.05</f>
        <v>3.95</v>
      </c>
      <c r="T538" s="36">
        <f t="shared" ca="1" si="41"/>
        <v>685</v>
      </c>
      <c r="U538" s="37" t="s">
        <v>1804</v>
      </c>
      <c r="V538" s="37"/>
      <c r="W538" s="38"/>
      <c r="X538" s="39"/>
      <c r="Y538" s="39"/>
      <c r="Z538" s="40"/>
      <c r="AA538" s="136" t="str">
        <f t="shared" ca="1" si="44"/>
        <v/>
      </c>
      <c r="AB538" s="40"/>
      <c r="AC538" s="116"/>
      <c r="AD538" s="116"/>
      <c r="AE538" s="40"/>
      <c r="AF538" s="136" t="str">
        <f t="shared" ca="1" si="42"/>
        <v/>
      </c>
      <c r="AG538" s="127"/>
      <c r="AH538" s="127"/>
      <c r="AI538" s="127"/>
      <c r="AJ538" s="128"/>
      <c r="AK538" s="128"/>
      <c r="AL538" s="129"/>
    </row>
    <row r="539" spans="1:38" ht="24.95" customHeight="1" x14ac:dyDescent="0.25">
      <c r="A539" s="140" t="str">
        <f t="shared" si="43"/>
        <v>16REF204</v>
      </c>
      <c r="B539" s="193">
        <v>204</v>
      </c>
      <c r="C539" s="140" t="s">
        <v>39</v>
      </c>
      <c r="D539" s="141" t="s">
        <v>824</v>
      </c>
      <c r="E539" s="124" t="s">
        <v>41</v>
      </c>
      <c r="F539" s="124" t="s">
        <v>1805</v>
      </c>
      <c r="G539" s="251"/>
      <c r="H539" s="443" t="s">
        <v>3513</v>
      </c>
      <c r="I539" s="126">
        <v>1787702</v>
      </c>
      <c r="J539" s="47" t="s">
        <v>105</v>
      </c>
      <c r="K539" s="126"/>
      <c r="L539" s="126" t="s">
        <v>1807</v>
      </c>
      <c r="M539" s="104"/>
      <c r="N539" s="265">
        <v>42676</v>
      </c>
      <c r="O539" s="260"/>
      <c r="P539" s="106" t="s">
        <v>1808</v>
      </c>
      <c r="Q539" s="107" t="s">
        <v>1812</v>
      </c>
      <c r="R539" s="244"/>
      <c r="S539" s="37"/>
      <c r="T539" s="36" t="str">
        <f t="shared" ca="1" si="41"/>
        <v/>
      </c>
      <c r="U539" s="37"/>
      <c r="V539" s="37"/>
      <c r="W539" s="38"/>
      <c r="X539" s="39"/>
      <c r="Y539" s="39"/>
      <c r="Z539" s="40"/>
      <c r="AA539" s="136" t="str">
        <f t="shared" ca="1" si="44"/>
        <v/>
      </c>
      <c r="AB539" s="40"/>
      <c r="AC539" s="116"/>
      <c r="AD539" s="116"/>
      <c r="AE539" s="40"/>
      <c r="AF539" s="136" t="str">
        <f t="shared" ca="1" si="42"/>
        <v/>
      </c>
      <c r="AG539" s="127"/>
      <c r="AH539" s="127"/>
      <c r="AI539" s="127"/>
      <c r="AJ539" s="128"/>
      <c r="AK539" s="128"/>
      <c r="AL539" s="129"/>
    </row>
    <row r="540" spans="1:38" ht="24.95" customHeight="1" x14ac:dyDescent="0.25">
      <c r="A540" s="140" t="str">
        <f t="shared" si="43"/>
        <v>16REF205</v>
      </c>
      <c r="B540" s="193">
        <v>205</v>
      </c>
      <c r="C540" s="140" t="s">
        <v>39</v>
      </c>
      <c r="D540" s="141" t="s">
        <v>824</v>
      </c>
      <c r="E540" s="124" t="s">
        <v>41</v>
      </c>
      <c r="F540" s="124" t="s">
        <v>2893</v>
      </c>
      <c r="G540" s="251"/>
      <c r="H540" s="443" t="s">
        <v>3513</v>
      </c>
      <c r="I540" s="126">
        <v>1813319</v>
      </c>
      <c r="J540" s="47" t="s">
        <v>105</v>
      </c>
      <c r="K540" s="126" t="s">
        <v>1811</v>
      </c>
      <c r="L540" s="126" t="s">
        <v>1809</v>
      </c>
      <c r="M540" s="104"/>
      <c r="N540" s="265">
        <v>42676</v>
      </c>
      <c r="O540" s="260">
        <v>42828</v>
      </c>
      <c r="P540" s="106" t="s">
        <v>786</v>
      </c>
      <c r="Q540" s="107"/>
      <c r="R540" s="244"/>
      <c r="S540" s="37">
        <v>0</v>
      </c>
      <c r="T540" s="36" t="str">
        <f t="shared" ca="1" si="41"/>
        <v>Empty</v>
      </c>
      <c r="U540" s="37"/>
      <c r="V540" s="37"/>
      <c r="W540" s="38">
        <v>42828</v>
      </c>
      <c r="X540" s="39"/>
      <c r="Y540" s="39" t="s">
        <v>51</v>
      </c>
      <c r="Z540" s="40"/>
      <c r="AA540" s="136">
        <f t="shared" ca="1" si="44"/>
        <v>541</v>
      </c>
      <c r="AB540" s="40"/>
      <c r="AC540" s="116"/>
      <c r="AD540" s="116"/>
      <c r="AE540" s="40"/>
      <c r="AF540" s="136" t="str">
        <f t="shared" ca="1" si="42"/>
        <v/>
      </c>
      <c r="AG540" s="127"/>
      <c r="AH540" s="127"/>
      <c r="AI540" s="127"/>
      <c r="AJ540" s="128"/>
      <c r="AK540" s="128"/>
      <c r="AL540" s="129"/>
    </row>
    <row r="541" spans="1:38" ht="24.95" customHeight="1" x14ac:dyDescent="0.25">
      <c r="A541" s="140" t="str">
        <f t="shared" si="43"/>
        <v>16REF206</v>
      </c>
      <c r="B541" s="193">
        <v>206</v>
      </c>
      <c r="C541" s="140" t="s">
        <v>39</v>
      </c>
      <c r="D541" s="141" t="s">
        <v>170</v>
      </c>
      <c r="E541" s="124" t="s">
        <v>41</v>
      </c>
      <c r="F541" s="124" t="s">
        <v>3384</v>
      </c>
      <c r="G541" s="251"/>
      <c r="H541" s="34" t="s">
        <v>43</v>
      </c>
      <c r="I541" s="126" t="s">
        <v>1831</v>
      </c>
      <c r="J541" s="47" t="s">
        <v>45</v>
      </c>
      <c r="K541" s="126">
        <v>234.25</v>
      </c>
      <c r="L541" s="126" t="s">
        <v>1832</v>
      </c>
      <c r="M541" s="104" t="s">
        <v>1833</v>
      </c>
      <c r="N541" s="265">
        <v>42678</v>
      </c>
      <c r="O541" s="260">
        <v>42681</v>
      </c>
      <c r="P541" s="106" t="s">
        <v>1295</v>
      </c>
      <c r="Q541" s="107" t="s">
        <v>1834</v>
      </c>
      <c r="R541" s="266">
        <v>1</v>
      </c>
      <c r="S541" s="37">
        <v>0</v>
      </c>
      <c r="T541" s="36" t="str">
        <f t="shared" ref="T541:T587" ca="1" si="45">IF(S541="","",IF(S541=0,"Empty",IF(O541="","",IF(O541,DAYS360(O541,TODAY())))))</f>
        <v>Empty</v>
      </c>
      <c r="U541" s="37"/>
      <c r="V541" s="37"/>
      <c r="W541" s="38"/>
      <c r="X541" s="39"/>
      <c r="Y541" s="39"/>
      <c r="Z541" s="40"/>
      <c r="AA541" s="136" t="str">
        <f t="shared" ca="1" si="44"/>
        <v/>
      </c>
      <c r="AB541" s="40"/>
      <c r="AC541" s="116"/>
      <c r="AD541" s="116"/>
      <c r="AE541" s="40"/>
      <c r="AF541" s="136" t="str">
        <f t="shared" ca="1" si="42"/>
        <v/>
      </c>
      <c r="AG541" s="127"/>
      <c r="AH541" s="127"/>
      <c r="AI541" s="127"/>
      <c r="AJ541" s="128"/>
      <c r="AK541" s="128"/>
      <c r="AL541" s="129"/>
    </row>
    <row r="542" spans="1:38" ht="24.95" customHeight="1" x14ac:dyDescent="0.25">
      <c r="A542" s="140" t="str">
        <f t="shared" si="43"/>
        <v>16REF207</v>
      </c>
      <c r="B542" s="193">
        <v>207</v>
      </c>
      <c r="C542" s="140" t="s">
        <v>39</v>
      </c>
      <c r="D542" s="141" t="s">
        <v>170</v>
      </c>
      <c r="E542" s="124" t="s">
        <v>41</v>
      </c>
      <c r="F542" s="124" t="s">
        <v>1835</v>
      </c>
      <c r="G542" s="107"/>
      <c r="H542" s="34" t="s">
        <v>43</v>
      </c>
      <c r="I542" s="126" t="s">
        <v>1836</v>
      </c>
      <c r="J542" s="47" t="s">
        <v>45</v>
      </c>
      <c r="K542" s="126">
        <v>203.3</v>
      </c>
      <c r="L542" s="126" t="s">
        <v>1837</v>
      </c>
      <c r="M542" s="104" t="s">
        <v>1838</v>
      </c>
      <c r="N542" s="265">
        <v>42678</v>
      </c>
      <c r="O542" s="260">
        <v>42681</v>
      </c>
      <c r="P542" s="106" t="s">
        <v>1295</v>
      </c>
      <c r="Q542" s="107" t="s">
        <v>1839</v>
      </c>
      <c r="R542" s="244"/>
      <c r="S542" s="37">
        <f>100000-81.93</f>
        <v>99918.07</v>
      </c>
      <c r="T542" s="36">
        <f t="shared" ca="1" si="45"/>
        <v>687</v>
      </c>
      <c r="U542" s="37"/>
      <c r="V542" s="37"/>
      <c r="W542" s="38"/>
      <c r="X542" s="39"/>
      <c r="Y542" s="39"/>
      <c r="Z542" s="40"/>
      <c r="AA542" s="136" t="str">
        <f t="shared" ca="1" si="44"/>
        <v/>
      </c>
      <c r="AB542" s="40"/>
      <c r="AC542" s="116"/>
      <c r="AD542" s="116"/>
      <c r="AE542" s="40"/>
      <c r="AF542" s="136" t="str">
        <f t="shared" ca="1" si="42"/>
        <v/>
      </c>
      <c r="AG542" s="127"/>
      <c r="AH542" s="127"/>
      <c r="AI542" s="127"/>
      <c r="AJ542" s="128"/>
      <c r="AK542" s="128"/>
      <c r="AL542" s="129"/>
    </row>
    <row r="543" spans="1:38" ht="24.95" customHeight="1" x14ac:dyDescent="0.25">
      <c r="A543" s="140" t="str">
        <f t="shared" si="43"/>
        <v>16REF208</v>
      </c>
      <c r="B543" s="193">
        <v>208</v>
      </c>
      <c r="C543" s="140" t="s">
        <v>39</v>
      </c>
      <c r="D543" s="141" t="s">
        <v>170</v>
      </c>
      <c r="E543" s="124" t="s">
        <v>41</v>
      </c>
      <c r="F543" s="124" t="s">
        <v>1840</v>
      </c>
      <c r="G543" s="251"/>
      <c r="H543" s="34" t="s">
        <v>43</v>
      </c>
      <c r="I543" s="126" t="s">
        <v>1841</v>
      </c>
      <c r="J543" s="47" t="s">
        <v>45</v>
      </c>
      <c r="K543" s="126">
        <v>238.3</v>
      </c>
      <c r="L543" s="126" t="s">
        <v>1842</v>
      </c>
      <c r="M543" s="104" t="s">
        <v>1841</v>
      </c>
      <c r="N543" s="265">
        <v>42678</v>
      </c>
      <c r="O543" s="260">
        <v>42681</v>
      </c>
      <c r="P543" s="106" t="s">
        <v>48</v>
      </c>
      <c r="Q543" s="107"/>
      <c r="R543" s="244"/>
      <c r="S543" s="37">
        <v>0</v>
      </c>
      <c r="T543" s="36" t="str">
        <f t="shared" ca="1" si="45"/>
        <v>Empty</v>
      </c>
      <c r="U543" s="37" t="s">
        <v>2151</v>
      </c>
      <c r="V543" s="37"/>
      <c r="W543" s="38"/>
      <c r="X543" s="39"/>
      <c r="Y543" s="39"/>
      <c r="Z543" s="40"/>
      <c r="AA543" s="136" t="str">
        <f t="shared" ca="1" si="44"/>
        <v/>
      </c>
      <c r="AB543" s="40"/>
      <c r="AC543" s="116"/>
      <c r="AD543" s="116"/>
      <c r="AE543" s="40"/>
      <c r="AF543" s="136" t="str">
        <f t="shared" ca="1" si="42"/>
        <v/>
      </c>
      <c r="AG543" s="127"/>
      <c r="AH543" s="127"/>
      <c r="AI543" s="127"/>
      <c r="AJ543" s="128"/>
      <c r="AK543" s="128"/>
      <c r="AL543" s="129"/>
    </row>
    <row r="544" spans="1:38" ht="24.95" customHeight="1" x14ac:dyDescent="0.25">
      <c r="A544" s="140" t="str">
        <f t="shared" si="43"/>
        <v>16REF209</v>
      </c>
      <c r="B544" s="193">
        <v>209</v>
      </c>
      <c r="C544" s="140" t="s">
        <v>39</v>
      </c>
      <c r="D544" s="141" t="s">
        <v>170</v>
      </c>
      <c r="E544" s="124" t="s">
        <v>41</v>
      </c>
      <c r="F544" s="124" t="s">
        <v>1843</v>
      </c>
      <c r="G544" s="251"/>
      <c r="H544" s="34" t="s">
        <v>43</v>
      </c>
      <c r="I544" s="126" t="s">
        <v>1844</v>
      </c>
      <c r="J544" s="47" t="s">
        <v>45</v>
      </c>
      <c r="K544" s="126">
        <v>380.35</v>
      </c>
      <c r="L544" s="126" t="s">
        <v>1845</v>
      </c>
      <c r="M544" s="104" t="s">
        <v>1846</v>
      </c>
      <c r="N544" s="265">
        <v>42678</v>
      </c>
      <c r="O544" s="260"/>
      <c r="P544" s="106" t="s">
        <v>514</v>
      </c>
      <c r="Q544" s="107"/>
      <c r="R544" s="244"/>
      <c r="S544" s="37"/>
      <c r="T544" s="36" t="str">
        <f t="shared" ca="1" si="45"/>
        <v/>
      </c>
      <c r="U544" s="37"/>
      <c r="V544" s="37"/>
      <c r="W544" s="38"/>
      <c r="X544" s="39"/>
      <c r="Y544" s="39"/>
      <c r="Z544" s="40"/>
      <c r="AA544" s="136" t="str">
        <f t="shared" ca="1" si="44"/>
        <v/>
      </c>
      <c r="AB544" s="40"/>
      <c r="AC544" s="116"/>
      <c r="AD544" s="116"/>
      <c r="AE544" s="40"/>
      <c r="AF544" s="136" t="str">
        <f t="shared" ca="1" si="42"/>
        <v/>
      </c>
      <c r="AG544" s="127"/>
      <c r="AH544" s="127"/>
      <c r="AI544" s="127"/>
      <c r="AJ544" s="128"/>
      <c r="AK544" s="128"/>
      <c r="AL544" s="129"/>
    </row>
    <row r="545" spans="1:38" ht="24.95" customHeight="1" x14ac:dyDescent="0.25">
      <c r="A545" s="140" t="str">
        <f t="shared" si="43"/>
        <v>16REF210</v>
      </c>
      <c r="B545" s="193">
        <v>210</v>
      </c>
      <c r="C545" s="140" t="s">
        <v>39</v>
      </c>
      <c r="D545" s="141" t="s">
        <v>170</v>
      </c>
      <c r="E545" s="124" t="s">
        <v>41</v>
      </c>
      <c r="F545" s="124" t="s">
        <v>1847</v>
      </c>
      <c r="G545" s="251"/>
      <c r="H545" s="34" t="s">
        <v>43</v>
      </c>
      <c r="I545" s="126" t="s">
        <v>1848</v>
      </c>
      <c r="J545" s="47" t="s">
        <v>105</v>
      </c>
      <c r="K545" s="126">
        <v>255.08</v>
      </c>
      <c r="L545" s="126" t="s">
        <v>1849</v>
      </c>
      <c r="M545" s="104" t="s">
        <v>1850</v>
      </c>
      <c r="N545" s="265">
        <v>42678</v>
      </c>
      <c r="O545" s="260">
        <v>42562</v>
      </c>
      <c r="P545" s="106" t="s">
        <v>160</v>
      </c>
      <c r="Q545" s="107"/>
      <c r="R545" s="244"/>
      <c r="S545" s="37">
        <v>0</v>
      </c>
      <c r="T545" s="36" t="str">
        <f t="shared" ca="1" si="45"/>
        <v>Empty</v>
      </c>
      <c r="U545" s="37"/>
      <c r="V545" s="37"/>
      <c r="W545" s="38"/>
      <c r="X545" s="39"/>
      <c r="Y545" s="39"/>
      <c r="Z545" s="40"/>
      <c r="AA545" s="136" t="str">
        <f t="shared" ca="1" si="44"/>
        <v/>
      </c>
      <c r="AB545" s="40"/>
      <c r="AC545" s="116"/>
      <c r="AD545" s="116"/>
      <c r="AE545" s="40"/>
      <c r="AF545" s="136" t="str">
        <f t="shared" ca="1" si="42"/>
        <v/>
      </c>
      <c r="AG545" s="127"/>
      <c r="AH545" s="127"/>
      <c r="AI545" s="127"/>
      <c r="AJ545" s="128"/>
      <c r="AK545" s="128"/>
      <c r="AL545" s="129"/>
    </row>
    <row r="546" spans="1:38" ht="24.95" customHeight="1" x14ac:dyDescent="0.25">
      <c r="A546" s="140" t="str">
        <f t="shared" si="43"/>
        <v>16REF211</v>
      </c>
      <c r="B546" s="193">
        <v>211</v>
      </c>
      <c r="C546" s="140" t="s">
        <v>39</v>
      </c>
      <c r="D546" s="141" t="s">
        <v>170</v>
      </c>
      <c r="E546" s="124" t="s">
        <v>41</v>
      </c>
      <c r="F546" s="124" t="s">
        <v>1851</v>
      </c>
      <c r="G546" s="251"/>
      <c r="H546" s="34" t="s">
        <v>43</v>
      </c>
      <c r="I546" s="126" t="s">
        <v>1852</v>
      </c>
      <c r="J546" s="47" t="s">
        <v>105</v>
      </c>
      <c r="K546" s="126">
        <v>551.14</v>
      </c>
      <c r="L546" s="126" t="s">
        <v>1853</v>
      </c>
      <c r="M546" s="104" t="s">
        <v>1854</v>
      </c>
      <c r="N546" s="265">
        <v>42678</v>
      </c>
      <c r="O546" s="260">
        <v>42681</v>
      </c>
      <c r="P546" s="106" t="s">
        <v>1855</v>
      </c>
      <c r="Q546" s="107"/>
      <c r="R546" s="244"/>
      <c r="S546" s="37">
        <f>1000-105.23</f>
        <v>894.77</v>
      </c>
      <c r="T546" s="36">
        <f t="shared" ca="1" si="45"/>
        <v>687</v>
      </c>
      <c r="U546" s="37"/>
      <c r="V546" s="37"/>
      <c r="W546" s="38"/>
      <c r="X546" s="39"/>
      <c r="Y546" s="39"/>
      <c r="Z546" s="40"/>
      <c r="AA546" s="136" t="str">
        <f t="shared" ca="1" si="44"/>
        <v/>
      </c>
      <c r="AB546" s="40"/>
      <c r="AC546" s="116"/>
      <c r="AD546" s="116"/>
      <c r="AE546" s="40"/>
      <c r="AF546" s="136" t="str">
        <f t="shared" ca="1" si="42"/>
        <v/>
      </c>
      <c r="AG546" s="127"/>
      <c r="AH546" s="127"/>
      <c r="AI546" s="127"/>
      <c r="AJ546" s="128"/>
      <c r="AK546" s="128"/>
      <c r="AL546" s="129"/>
    </row>
    <row r="547" spans="1:38" ht="24.95" customHeight="1" x14ac:dyDescent="0.25">
      <c r="A547" s="140" t="str">
        <f t="shared" si="43"/>
        <v>16REF212</v>
      </c>
      <c r="B547" s="193">
        <v>212</v>
      </c>
      <c r="C547" s="140" t="s">
        <v>39</v>
      </c>
      <c r="D547" s="141" t="s">
        <v>170</v>
      </c>
      <c r="E547" s="124" t="s">
        <v>41</v>
      </c>
      <c r="F547" s="124" t="s">
        <v>2987</v>
      </c>
      <c r="G547" s="251"/>
      <c r="H547" s="34" t="s">
        <v>43</v>
      </c>
      <c r="I547" s="126" t="s">
        <v>1856</v>
      </c>
      <c r="J547" s="47" t="s">
        <v>105</v>
      </c>
      <c r="K547" s="126" t="s">
        <v>1857</v>
      </c>
      <c r="L547" s="126" t="s">
        <v>1858</v>
      </c>
      <c r="M547" s="104" t="s">
        <v>1859</v>
      </c>
      <c r="N547" s="265">
        <v>42678</v>
      </c>
      <c r="O547" s="260"/>
      <c r="P547" s="106" t="s">
        <v>776</v>
      </c>
      <c r="Q547" s="107"/>
      <c r="R547" s="244"/>
      <c r="S547" s="37">
        <v>0</v>
      </c>
      <c r="T547" s="36" t="str">
        <f t="shared" ca="1" si="45"/>
        <v>Empty</v>
      </c>
      <c r="U547" s="37"/>
      <c r="V547" s="37"/>
      <c r="W547" s="38"/>
      <c r="X547" s="39"/>
      <c r="Y547" s="39"/>
      <c r="Z547" s="40"/>
      <c r="AA547" s="136" t="str">
        <f t="shared" ca="1" si="44"/>
        <v/>
      </c>
      <c r="AB547" s="40"/>
      <c r="AC547" s="116"/>
      <c r="AD547" s="116"/>
      <c r="AE547" s="40"/>
      <c r="AF547" s="136" t="str">
        <f t="shared" ca="1" si="42"/>
        <v/>
      </c>
      <c r="AG547" s="127"/>
      <c r="AH547" s="127"/>
      <c r="AI547" s="127"/>
      <c r="AJ547" s="128"/>
      <c r="AK547" s="128"/>
      <c r="AL547" s="129"/>
    </row>
    <row r="548" spans="1:38" ht="24.95" customHeight="1" x14ac:dyDescent="0.25">
      <c r="A548" s="140" t="str">
        <f t="shared" si="43"/>
        <v>16REF213</v>
      </c>
      <c r="B548" s="193">
        <v>213</v>
      </c>
      <c r="C548" s="140" t="s">
        <v>39</v>
      </c>
      <c r="D548" s="141" t="s">
        <v>170</v>
      </c>
      <c r="E548" s="124" t="s">
        <v>41</v>
      </c>
      <c r="F548" s="124" t="s">
        <v>1860</v>
      </c>
      <c r="G548" s="251"/>
      <c r="H548" s="34" t="s">
        <v>43</v>
      </c>
      <c r="I548" s="126" t="s">
        <v>1861</v>
      </c>
      <c r="J548" s="47" t="s">
        <v>45</v>
      </c>
      <c r="K548" s="126">
        <v>74.55</v>
      </c>
      <c r="L548" s="126">
        <v>746436</v>
      </c>
      <c r="M548" s="104" t="s">
        <v>1862</v>
      </c>
      <c r="N548" s="265">
        <v>42681</v>
      </c>
      <c r="O548" s="260"/>
      <c r="P548" s="106" t="s">
        <v>271</v>
      </c>
      <c r="Q548" s="107"/>
      <c r="R548" s="244"/>
      <c r="S548" s="37"/>
      <c r="T548" s="36" t="str">
        <f t="shared" ca="1" si="45"/>
        <v/>
      </c>
      <c r="U548" s="37"/>
      <c r="V548" s="37"/>
      <c r="W548" s="38"/>
      <c r="X548" s="39"/>
      <c r="Y548" s="39"/>
      <c r="Z548" s="40"/>
      <c r="AA548" s="136" t="str">
        <f t="shared" ca="1" si="44"/>
        <v/>
      </c>
      <c r="AB548" s="40"/>
      <c r="AC548" s="116"/>
      <c r="AD548" s="116"/>
      <c r="AE548" s="40"/>
      <c r="AF548" s="136" t="str">
        <f t="shared" ca="1" si="42"/>
        <v/>
      </c>
      <c r="AG548" s="127"/>
      <c r="AH548" s="127"/>
      <c r="AI548" s="127"/>
      <c r="AJ548" s="128"/>
      <c r="AK548" s="128"/>
      <c r="AL548" s="129"/>
    </row>
    <row r="549" spans="1:38" ht="24.95" customHeight="1" x14ac:dyDescent="0.25">
      <c r="A549" s="142" t="str">
        <f t="shared" si="43"/>
        <v>16SAM214</v>
      </c>
      <c r="B549" s="192">
        <v>214</v>
      </c>
      <c r="C549" s="142" t="s">
        <v>57</v>
      </c>
      <c r="D549" s="143" t="s">
        <v>40</v>
      </c>
      <c r="E549" s="124" t="s">
        <v>739</v>
      </c>
      <c r="F549" s="124" t="s">
        <v>1864</v>
      </c>
      <c r="G549" s="251" t="s">
        <v>1094</v>
      </c>
      <c r="H549" s="34" t="s">
        <v>112</v>
      </c>
      <c r="I549" s="126" t="s">
        <v>1753</v>
      </c>
      <c r="J549" s="47" t="s">
        <v>105</v>
      </c>
      <c r="K549" s="126">
        <v>599.55999999999995</v>
      </c>
      <c r="L549" s="126">
        <v>1979</v>
      </c>
      <c r="M549" s="104" t="s">
        <v>1754</v>
      </c>
      <c r="N549" s="265">
        <v>42683</v>
      </c>
      <c r="O549" s="260">
        <v>42684</v>
      </c>
      <c r="P549" s="106" t="s">
        <v>86</v>
      </c>
      <c r="Q549" s="107" t="s">
        <v>2905</v>
      </c>
      <c r="R549" s="244"/>
      <c r="S549" s="37">
        <v>0</v>
      </c>
      <c r="T549" s="36" t="str">
        <f t="shared" ca="1" si="45"/>
        <v>Empty</v>
      </c>
      <c r="U549" s="37" t="s">
        <v>1742</v>
      </c>
      <c r="V549" s="37"/>
      <c r="W549" s="38">
        <v>42684</v>
      </c>
      <c r="X549" s="39" t="s">
        <v>248</v>
      </c>
      <c r="Y549" s="39" t="s">
        <v>1791</v>
      </c>
      <c r="Z549" s="40" t="s">
        <v>212</v>
      </c>
      <c r="AA549" s="136">
        <f t="shared" ca="1" si="44"/>
        <v>684</v>
      </c>
      <c r="AB549" s="40"/>
      <c r="AC549" s="116"/>
      <c r="AD549" s="116"/>
      <c r="AE549" s="40"/>
      <c r="AF549" s="136" t="str">
        <f t="shared" ref="AF549:AF587" ca="1" si="46">IF(AB549="","",IF(AB549,DAYS360(AB549,TODAY())))</f>
        <v/>
      </c>
      <c r="AG549" s="127"/>
      <c r="AH549" s="127"/>
      <c r="AI549" s="127"/>
      <c r="AJ549" s="128"/>
      <c r="AK549" s="128"/>
      <c r="AL549" s="129"/>
    </row>
    <row r="550" spans="1:38" ht="24.95" customHeight="1" x14ac:dyDescent="0.25">
      <c r="A550" s="140" t="str">
        <f t="shared" si="43"/>
        <v>16REF215</v>
      </c>
      <c r="B550" s="193">
        <v>215</v>
      </c>
      <c r="C550" s="140" t="s">
        <v>39</v>
      </c>
      <c r="D550" s="141" t="s">
        <v>170</v>
      </c>
      <c r="E550" s="124" t="s">
        <v>41</v>
      </c>
      <c r="F550" s="124" t="s">
        <v>878</v>
      </c>
      <c r="G550" s="251" t="s">
        <v>3225</v>
      </c>
      <c r="H550" s="34" t="s">
        <v>43</v>
      </c>
      <c r="I550" s="126" t="s">
        <v>1867</v>
      </c>
      <c r="J550" s="47" t="s">
        <v>45</v>
      </c>
      <c r="K550" s="126">
        <v>189.17</v>
      </c>
      <c r="L550" s="126" t="s">
        <v>880</v>
      </c>
      <c r="M550" s="104" t="s">
        <v>881</v>
      </c>
      <c r="N550" s="265">
        <v>42684</v>
      </c>
      <c r="O550" s="262" t="s">
        <v>168</v>
      </c>
      <c r="P550" s="106" t="s">
        <v>258</v>
      </c>
      <c r="Q550" s="107"/>
      <c r="R550" s="244"/>
      <c r="S550" s="37">
        <v>0</v>
      </c>
      <c r="T550" s="36" t="str">
        <f t="shared" ca="1" si="45"/>
        <v>Empty</v>
      </c>
      <c r="U550" s="37" t="s">
        <v>1493</v>
      </c>
      <c r="V550" s="37"/>
      <c r="W550" s="38"/>
      <c r="X550" s="39"/>
      <c r="Y550" s="39"/>
      <c r="Z550" s="40"/>
      <c r="AA550" s="136" t="str">
        <f t="shared" ca="1" si="44"/>
        <v/>
      </c>
      <c r="AB550" s="40"/>
      <c r="AC550" s="116"/>
      <c r="AD550" s="116"/>
      <c r="AE550" s="40"/>
      <c r="AF550" s="136" t="str">
        <f t="shared" ca="1" si="46"/>
        <v/>
      </c>
      <c r="AG550" s="127"/>
      <c r="AH550" s="127"/>
      <c r="AI550" s="127"/>
      <c r="AJ550" s="128"/>
      <c r="AK550" s="128"/>
      <c r="AL550" s="129"/>
    </row>
    <row r="551" spans="1:38" ht="24.95" customHeight="1" x14ac:dyDescent="0.25">
      <c r="A551" s="140" t="str">
        <f t="shared" si="43"/>
        <v>16REF216</v>
      </c>
      <c r="B551" s="193">
        <v>216</v>
      </c>
      <c r="C551" s="140" t="s">
        <v>39</v>
      </c>
      <c r="D551" s="141" t="s">
        <v>170</v>
      </c>
      <c r="E551" s="124" t="s">
        <v>41</v>
      </c>
      <c r="F551" s="124" t="s">
        <v>878</v>
      </c>
      <c r="G551" s="251" t="s">
        <v>3225</v>
      </c>
      <c r="H551" s="34" t="s">
        <v>43</v>
      </c>
      <c r="I551" s="126" t="s">
        <v>1867</v>
      </c>
      <c r="J551" s="47" t="s">
        <v>45</v>
      </c>
      <c r="K551" s="126">
        <v>189.17</v>
      </c>
      <c r="L551" s="126" t="s">
        <v>880</v>
      </c>
      <c r="M551" s="104" t="s">
        <v>881</v>
      </c>
      <c r="N551" s="265">
        <v>42684</v>
      </c>
      <c r="O551" s="260">
        <v>42878</v>
      </c>
      <c r="P551" s="106" t="s">
        <v>258</v>
      </c>
      <c r="Q551" s="107"/>
      <c r="R551" s="244"/>
      <c r="S551" s="37">
        <v>0</v>
      </c>
      <c r="T551" s="36" t="str">
        <f t="shared" ca="1" si="45"/>
        <v>Empty</v>
      </c>
      <c r="U551" s="37"/>
      <c r="V551" s="37"/>
      <c r="W551" s="38"/>
      <c r="X551" s="39"/>
      <c r="Y551" s="39"/>
      <c r="Z551" s="40"/>
      <c r="AA551" s="136" t="str">
        <f t="shared" ca="1" si="44"/>
        <v/>
      </c>
      <c r="AB551" s="40"/>
      <c r="AC551" s="116"/>
      <c r="AD551" s="116"/>
      <c r="AE551" s="40"/>
      <c r="AF551" s="136" t="str">
        <f t="shared" ca="1" si="46"/>
        <v/>
      </c>
      <c r="AG551" s="127"/>
      <c r="AH551" s="127"/>
      <c r="AI551" s="127"/>
      <c r="AJ551" s="128"/>
      <c r="AK551" s="128"/>
      <c r="AL551" s="129"/>
    </row>
    <row r="552" spans="1:38" ht="24.95" customHeight="1" x14ac:dyDescent="0.25">
      <c r="A552" s="140" t="str">
        <f t="shared" si="43"/>
        <v>16REF217</v>
      </c>
      <c r="B552" s="193">
        <v>217</v>
      </c>
      <c r="C552" s="140" t="s">
        <v>39</v>
      </c>
      <c r="D552" s="141" t="s">
        <v>744</v>
      </c>
      <c r="E552" s="124" t="s">
        <v>41</v>
      </c>
      <c r="F552" s="124" t="s">
        <v>2986</v>
      </c>
      <c r="G552" s="251"/>
      <c r="H552" s="34" t="s">
        <v>43</v>
      </c>
      <c r="I552" s="126" t="s">
        <v>1868</v>
      </c>
      <c r="J552" s="47" t="s">
        <v>45</v>
      </c>
      <c r="K552" s="132" t="s">
        <v>61</v>
      </c>
      <c r="L552" s="126" t="s">
        <v>1869</v>
      </c>
      <c r="M552" s="104" t="s">
        <v>1870</v>
      </c>
      <c r="N552" s="265">
        <v>42684</v>
      </c>
      <c r="O552" s="260">
        <v>43000</v>
      </c>
      <c r="P552" s="106" t="s">
        <v>48</v>
      </c>
      <c r="Q552" s="107"/>
      <c r="R552" s="244"/>
      <c r="S552" s="37">
        <v>0</v>
      </c>
      <c r="T552" s="36" t="str">
        <f t="shared" ca="1" si="45"/>
        <v>Empty</v>
      </c>
      <c r="U552" s="37"/>
      <c r="V552" s="37"/>
      <c r="W552" s="38"/>
      <c r="X552" s="39"/>
      <c r="Y552" s="39"/>
      <c r="Z552" s="40"/>
      <c r="AA552" s="136" t="str">
        <f t="shared" ca="1" si="44"/>
        <v/>
      </c>
      <c r="AB552" s="40"/>
      <c r="AC552" s="116"/>
      <c r="AD552" s="116"/>
      <c r="AE552" s="40"/>
      <c r="AF552" s="136" t="str">
        <f t="shared" ca="1" si="46"/>
        <v/>
      </c>
      <c r="AG552" s="127"/>
      <c r="AH552" s="127"/>
      <c r="AI552" s="127"/>
      <c r="AJ552" s="128"/>
      <c r="AK552" s="128"/>
      <c r="AL552" s="129"/>
    </row>
    <row r="553" spans="1:38" ht="24.95" customHeight="1" x14ac:dyDescent="0.25">
      <c r="A553" s="140" t="str">
        <f t="shared" si="43"/>
        <v>16REF218</v>
      </c>
      <c r="B553" s="193">
        <v>218</v>
      </c>
      <c r="C553" s="140" t="s">
        <v>39</v>
      </c>
      <c r="D553" s="141" t="s">
        <v>170</v>
      </c>
      <c r="E553" s="124" t="s">
        <v>41</v>
      </c>
      <c r="F553" s="124" t="s">
        <v>1871</v>
      </c>
      <c r="G553" s="251"/>
      <c r="H553" s="34" t="s">
        <v>43</v>
      </c>
      <c r="I553" s="126" t="s">
        <v>1872</v>
      </c>
      <c r="J553" s="47" t="s">
        <v>45</v>
      </c>
      <c r="K553" s="126">
        <v>56.11</v>
      </c>
      <c r="L553" s="126" t="s">
        <v>1873</v>
      </c>
      <c r="M553" s="104" t="s">
        <v>1874</v>
      </c>
      <c r="N553" s="265">
        <v>42684</v>
      </c>
      <c r="O553" s="260"/>
      <c r="P553" s="106" t="s">
        <v>1875</v>
      </c>
      <c r="Q553" s="107" t="s">
        <v>1839</v>
      </c>
      <c r="R553" s="244"/>
      <c r="S553" s="37"/>
      <c r="T553" s="36" t="str">
        <f t="shared" ca="1" si="45"/>
        <v/>
      </c>
      <c r="U553" s="37"/>
      <c r="V553" s="37"/>
      <c r="W553" s="38"/>
      <c r="X553" s="39"/>
      <c r="Y553" s="39"/>
      <c r="Z553" s="40"/>
      <c r="AA553" s="136" t="str">
        <f t="shared" ca="1" si="44"/>
        <v/>
      </c>
      <c r="AB553" s="40"/>
      <c r="AC553" s="116"/>
      <c r="AD553" s="116"/>
      <c r="AE553" s="40"/>
      <c r="AF553" s="136" t="str">
        <f t="shared" ca="1" si="46"/>
        <v/>
      </c>
      <c r="AG553" s="127"/>
      <c r="AH553" s="127"/>
      <c r="AI553" s="127"/>
      <c r="AJ553" s="128"/>
      <c r="AK553" s="128"/>
      <c r="AL553" s="129"/>
    </row>
    <row r="554" spans="1:38" ht="24.95" customHeight="1" x14ac:dyDescent="0.25">
      <c r="A554" s="140" t="str">
        <f t="shared" si="43"/>
        <v>16REF219</v>
      </c>
      <c r="B554" s="193">
        <v>219</v>
      </c>
      <c r="C554" s="140" t="s">
        <v>39</v>
      </c>
      <c r="D554" s="141" t="s">
        <v>170</v>
      </c>
      <c r="E554" s="124" t="s">
        <v>41</v>
      </c>
      <c r="F554" s="124" t="s">
        <v>1860</v>
      </c>
      <c r="G554" s="251"/>
      <c r="H554" s="34" t="s">
        <v>43</v>
      </c>
      <c r="I554" s="126" t="s">
        <v>1876</v>
      </c>
      <c r="J554" s="47" t="s">
        <v>45</v>
      </c>
      <c r="K554" s="126">
        <v>74.55</v>
      </c>
      <c r="L554" s="126" t="s">
        <v>1877</v>
      </c>
      <c r="M554" s="104" t="s">
        <v>1862</v>
      </c>
      <c r="N554" s="265">
        <v>42684</v>
      </c>
      <c r="O554" s="260"/>
      <c r="P554" s="106" t="s">
        <v>271</v>
      </c>
      <c r="Q554" s="107"/>
      <c r="R554" s="244"/>
      <c r="S554" s="37"/>
      <c r="T554" s="36" t="str">
        <f t="shared" ca="1" si="45"/>
        <v/>
      </c>
      <c r="U554" s="37"/>
      <c r="V554" s="37"/>
      <c r="W554" s="38"/>
      <c r="X554" s="39"/>
      <c r="Y554" s="39"/>
      <c r="Z554" s="40"/>
      <c r="AA554" s="136" t="str">
        <f t="shared" ca="1" si="44"/>
        <v/>
      </c>
      <c r="AB554" s="40"/>
      <c r="AC554" s="116"/>
      <c r="AD554" s="116"/>
      <c r="AE554" s="40"/>
      <c r="AF554" s="136" t="str">
        <f t="shared" ca="1" si="46"/>
        <v/>
      </c>
      <c r="AG554" s="127"/>
      <c r="AH554" s="127"/>
      <c r="AI554" s="127"/>
      <c r="AJ554" s="128"/>
      <c r="AK554" s="128"/>
      <c r="AL554" s="129"/>
    </row>
    <row r="555" spans="1:38" ht="24.95" customHeight="1" x14ac:dyDescent="0.25">
      <c r="A555" s="140" t="str">
        <f t="shared" si="43"/>
        <v>16REF220</v>
      </c>
      <c r="B555" s="192">
        <v>220</v>
      </c>
      <c r="C555" s="140" t="s">
        <v>39</v>
      </c>
      <c r="D555" s="141" t="s">
        <v>170</v>
      </c>
      <c r="E555" s="124" t="s">
        <v>41</v>
      </c>
      <c r="F555" s="124" t="s">
        <v>1878</v>
      </c>
      <c r="G555" s="251"/>
      <c r="H555" s="34" t="s">
        <v>1880</v>
      </c>
      <c r="I555" s="126">
        <v>416250499</v>
      </c>
      <c r="J555" s="47" t="s">
        <v>45</v>
      </c>
      <c r="K555" s="126">
        <v>380.35</v>
      </c>
      <c r="L555" s="126">
        <v>3054.1</v>
      </c>
      <c r="M555" s="104"/>
      <c r="N555" s="265">
        <v>42688</v>
      </c>
      <c r="O555" s="260">
        <v>43286</v>
      </c>
      <c r="P555" s="106" t="s">
        <v>514</v>
      </c>
      <c r="Q555" s="107"/>
      <c r="R555" s="244"/>
      <c r="S555" s="37">
        <f>10000-39.37-11.76-43.27-38.81</f>
        <v>9866.7899999999991</v>
      </c>
      <c r="T555" s="36">
        <f t="shared" ca="1" si="45"/>
        <v>89</v>
      </c>
      <c r="U555" s="37"/>
      <c r="V555" s="37"/>
      <c r="W555" s="38"/>
      <c r="X555" s="39"/>
      <c r="Y555" s="39"/>
      <c r="Z555" s="40"/>
      <c r="AA555" s="136" t="str">
        <f t="shared" ca="1" si="44"/>
        <v/>
      </c>
      <c r="AB555" s="40"/>
      <c r="AC555" s="116"/>
      <c r="AD555" s="116"/>
      <c r="AE555" s="40"/>
      <c r="AF555" s="136" t="str">
        <f t="shared" ca="1" si="46"/>
        <v/>
      </c>
      <c r="AG555" s="127"/>
      <c r="AH555" s="127"/>
      <c r="AI555" s="127"/>
      <c r="AJ555" s="128"/>
      <c r="AK555" s="128"/>
      <c r="AL555" s="129"/>
    </row>
    <row r="556" spans="1:38" ht="24.95" customHeight="1" x14ac:dyDescent="0.25">
      <c r="A556" s="140" t="str">
        <f t="shared" si="43"/>
        <v>16REF221</v>
      </c>
      <c r="B556" s="192">
        <v>221</v>
      </c>
      <c r="C556" s="140" t="s">
        <v>39</v>
      </c>
      <c r="D556" s="141" t="s">
        <v>170</v>
      </c>
      <c r="E556" s="124" t="s">
        <v>41</v>
      </c>
      <c r="F556" s="124" t="s">
        <v>1878</v>
      </c>
      <c r="G556" s="251"/>
      <c r="H556" s="34" t="s">
        <v>1880</v>
      </c>
      <c r="I556" s="126">
        <v>416250499</v>
      </c>
      <c r="J556" s="47" t="s">
        <v>45</v>
      </c>
      <c r="K556" s="126">
        <v>380.35</v>
      </c>
      <c r="L556" s="126">
        <v>3054.1</v>
      </c>
      <c r="M556" s="104"/>
      <c r="N556" s="265">
        <v>42688</v>
      </c>
      <c r="O556" s="260"/>
      <c r="P556" s="106" t="s">
        <v>514</v>
      </c>
      <c r="Q556" s="107"/>
      <c r="R556" s="244"/>
      <c r="S556" s="37"/>
      <c r="T556" s="36" t="str">
        <f t="shared" ca="1" si="45"/>
        <v/>
      </c>
      <c r="U556" s="37"/>
      <c r="V556" s="37"/>
      <c r="W556" s="38"/>
      <c r="X556" s="39"/>
      <c r="Y556" s="39"/>
      <c r="Z556" s="40"/>
      <c r="AA556" s="136" t="str">
        <f t="shared" ca="1" si="44"/>
        <v/>
      </c>
      <c r="AB556" s="40"/>
      <c r="AC556" s="116"/>
      <c r="AD556" s="116"/>
      <c r="AE556" s="40"/>
      <c r="AF556" s="136" t="str">
        <f t="shared" ca="1" si="46"/>
        <v/>
      </c>
      <c r="AG556" s="127"/>
      <c r="AH556" s="127"/>
      <c r="AI556" s="127"/>
      <c r="AJ556" s="128"/>
      <c r="AK556" s="128"/>
      <c r="AL556" s="129"/>
    </row>
    <row r="557" spans="1:38" ht="24.95" customHeight="1" x14ac:dyDescent="0.25">
      <c r="A557" s="140" t="str">
        <f t="shared" si="43"/>
        <v>16REF222</v>
      </c>
      <c r="B557" s="192">
        <v>222</v>
      </c>
      <c r="C557" s="140" t="s">
        <v>39</v>
      </c>
      <c r="D557" s="141" t="s">
        <v>170</v>
      </c>
      <c r="E557" s="124" t="s">
        <v>41</v>
      </c>
      <c r="F557" s="124" t="s">
        <v>1840</v>
      </c>
      <c r="G557" s="251"/>
      <c r="H557" s="34" t="s">
        <v>1880</v>
      </c>
      <c r="I557" s="126">
        <v>316248077</v>
      </c>
      <c r="J557" s="47" t="s">
        <v>45</v>
      </c>
      <c r="K557" s="126">
        <v>238.31</v>
      </c>
      <c r="L557" s="126" t="s">
        <v>1881</v>
      </c>
      <c r="M557" s="104"/>
      <c r="N557" s="265">
        <v>42688</v>
      </c>
      <c r="O557" s="260"/>
      <c r="P557" s="106" t="s">
        <v>1295</v>
      </c>
      <c r="Q557" s="107"/>
      <c r="R557" s="244"/>
      <c r="S557" s="37"/>
      <c r="T557" s="36" t="str">
        <f t="shared" ca="1" si="45"/>
        <v/>
      </c>
      <c r="U557" s="37"/>
      <c r="V557" s="37"/>
      <c r="W557" s="38"/>
      <c r="X557" s="39"/>
      <c r="Y557" s="39"/>
      <c r="Z557" s="40"/>
      <c r="AA557" s="136" t="str">
        <f t="shared" ca="1" si="44"/>
        <v/>
      </c>
      <c r="AB557" s="40"/>
      <c r="AC557" s="116"/>
      <c r="AD557" s="116"/>
      <c r="AE557" s="40"/>
      <c r="AF557" s="136" t="str">
        <f t="shared" ca="1" si="46"/>
        <v/>
      </c>
      <c r="AG557" s="127"/>
      <c r="AH557" s="127"/>
      <c r="AI557" s="127"/>
      <c r="AJ557" s="128"/>
      <c r="AK557" s="128"/>
      <c r="AL557" s="129"/>
    </row>
    <row r="558" spans="1:38" ht="24.95" customHeight="1" x14ac:dyDescent="0.25">
      <c r="A558" s="140" t="str">
        <f t="shared" si="43"/>
        <v>16REF223</v>
      </c>
      <c r="B558" s="192">
        <v>223</v>
      </c>
      <c r="C558" s="140" t="s">
        <v>39</v>
      </c>
      <c r="D558" s="141" t="s">
        <v>170</v>
      </c>
      <c r="E558" s="124" t="s">
        <v>41</v>
      </c>
      <c r="F558" s="124" t="s">
        <v>1879</v>
      </c>
      <c r="G558" s="251"/>
      <c r="H558" s="34" t="s">
        <v>1880</v>
      </c>
      <c r="I558" s="126">
        <v>246245004</v>
      </c>
      <c r="J558" s="47" t="s">
        <v>105</v>
      </c>
      <c r="K558" s="126">
        <v>551.1</v>
      </c>
      <c r="L558" s="126" t="s">
        <v>1882</v>
      </c>
      <c r="M558" s="104"/>
      <c r="N558" s="265">
        <v>42688</v>
      </c>
      <c r="O558" s="260"/>
      <c r="P558" s="106" t="s">
        <v>56</v>
      </c>
      <c r="Q558" s="107"/>
      <c r="R558" s="244"/>
      <c r="S558" s="37"/>
      <c r="T558" s="36" t="str">
        <f t="shared" ca="1" si="45"/>
        <v/>
      </c>
      <c r="U558" s="37"/>
      <c r="V558" s="37"/>
      <c r="W558" s="38"/>
      <c r="X558" s="39"/>
      <c r="Y558" s="39"/>
      <c r="Z558" s="40"/>
      <c r="AA558" s="136" t="str">
        <f t="shared" ca="1" si="44"/>
        <v/>
      </c>
      <c r="AB558" s="40"/>
      <c r="AC558" s="116"/>
      <c r="AD558" s="116"/>
      <c r="AE558" s="40"/>
      <c r="AF558" s="136" t="str">
        <f t="shared" ca="1" si="46"/>
        <v/>
      </c>
      <c r="AG558" s="127"/>
      <c r="AH558" s="127"/>
      <c r="AI558" s="127"/>
      <c r="AJ558" s="128"/>
      <c r="AK558" s="128"/>
      <c r="AL558" s="129"/>
    </row>
    <row r="559" spans="1:38" ht="24.95" customHeight="1" x14ac:dyDescent="0.25">
      <c r="A559" s="142" t="str">
        <f t="shared" si="43"/>
        <v>16SAM224</v>
      </c>
      <c r="B559" s="192">
        <v>224</v>
      </c>
      <c r="C559" s="142" t="s">
        <v>57</v>
      </c>
      <c r="D559" s="143" t="s">
        <v>40</v>
      </c>
      <c r="E559" s="124" t="s">
        <v>1373</v>
      </c>
      <c r="F559" s="124" t="s">
        <v>1713</v>
      </c>
      <c r="G559" s="251"/>
      <c r="H559" s="34" t="s">
        <v>43</v>
      </c>
      <c r="I559" s="126" t="s">
        <v>1781</v>
      </c>
      <c r="J559" s="47" t="s">
        <v>180</v>
      </c>
      <c r="K559" s="126">
        <v>853.91</v>
      </c>
      <c r="L559" s="126" t="s">
        <v>1715</v>
      </c>
      <c r="M559" s="104" t="s">
        <v>1716</v>
      </c>
      <c r="N559" s="265">
        <v>42688</v>
      </c>
      <c r="O559" s="260">
        <v>42697</v>
      </c>
      <c r="P559" s="106" t="s">
        <v>139</v>
      </c>
      <c r="Q559" s="107" t="s">
        <v>1717</v>
      </c>
      <c r="R559" s="244"/>
      <c r="S559" s="37">
        <v>0</v>
      </c>
      <c r="T559" s="36" t="str">
        <f t="shared" ca="1" si="45"/>
        <v>Empty</v>
      </c>
      <c r="U559" s="37" t="s">
        <v>1782</v>
      </c>
      <c r="V559" s="37"/>
      <c r="W559" s="38"/>
      <c r="X559" s="39"/>
      <c r="Y559" s="39"/>
      <c r="Z559" s="40"/>
      <c r="AA559" s="136" t="str">
        <f t="shared" ca="1" si="44"/>
        <v/>
      </c>
      <c r="AB559" s="40"/>
      <c r="AC559" s="116"/>
      <c r="AD559" s="116"/>
      <c r="AE559" s="40"/>
      <c r="AF559" s="136" t="str">
        <f t="shared" ca="1" si="46"/>
        <v/>
      </c>
      <c r="AG559" s="127"/>
      <c r="AH559" s="127"/>
      <c r="AI559" s="127"/>
      <c r="AJ559" s="128"/>
      <c r="AK559" s="128"/>
      <c r="AL559" s="129"/>
    </row>
    <row r="560" spans="1:38" ht="24.95" customHeight="1" x14ac:dyDescent="0.25">
      <c r="A560" s="142" t="str">
        <f t="shared" si="43"/>
        <v>16SAM225</v>
      </c>
      <c r="B560" s="192">
        <v>225</v>
      </c>
      <c r="C560" s="142" t="s">
        <v>57</v>
      </c>
      <c r="D560" s="143" t="s">
        <v>40</v>
      </c>
      <c r="E560" s="124" t="s">
        <v>1373</v>
      </c>
      <c r="F560" s="124" t="s">
        <v>1713</v>
      </c>
      <c r="G560" s="251"/>
      <c r="H560" s="34" t="s">
        <v>43</v>
      </c>
      <c r="I560" s="126" t="s">
        <v>1781</v>
      </c>
      <c r="J560" s="47" t="s">
        <v>180</v>
      </c>
      <c r="K560" s="126">
        <v>853.91</v>
      </c>
      <c r="L560" s="126" t="s">
        <v>1715</v>
      </c>
      <c r="M560" s="104" t="s">
        <v>1716</v>
      </c>
      <c r="N560" s="265">
        <v>42688</v>
      </c>
      <c r="O560" s="260">
        <v>42697</v>
      </c>
      <c r="P560" s="106" t="s">
        <v>139</v>
      </c>
      <c r="Q560" s="107" t="s">
        <v>1717</v>
      </c>
      <c r="R560" s="244"/>
      <c r="S560" s="37">
        <v>0</v>
      </c>
      <c r="T560" s="36" t="str">
        <f t="shared" ca="1" si="45"/>
        <v>Empty</v>
      </c>
      <c r="U560" s="37" t="s">
        <v>1782</v>
      </c>
      <c r="V560" s="37"/>
      <c r="W560" s="38"/>
      <c r="X560" s="39"/>
      <c r="Y560" s="39"/>
      <c r="Z560" s="40"/>
      <c r="AA560" s="136" t="str">
        <f t="shared" ca="1" si="44"/>
        <v/>
      </c>
      <c r="AB560" s="40"/>
      <c r="AC560" s="116"/>
      <c r="AD560" s="116"/>
      <c r="AE560" s="40"/>
      <c r="AF560" s="136" t="str">
        <f t="shared" ca="1" si="46"/>
        <v/>
      </c>
      <c r="AG560" s="127"/>
      <c r="AH560" s="127"/>
      <c r="AI560" s="127"/>
      <c r="AJ560" s="128"/>
      <c r="AK560" s="128"/>
      <c r="AL560" s="129"/>
    </row>
    <row r="561" spans="1:38" ht="24.95" customHeight="1" x14ac:dyDescent="0.25">
      <c r="A561" s="142" t="str">
        <f t="shared" si="43"/>
        <v>16SAM226</v>
      </c>
      <c r="B561" s="192">
        <v>226</v>
      </c>
      <c r="C561" s="142" t="s">
        <v>57</v>
      </c>
      <c r="D561" s="143" t="s">
        <v>40</v>
      </c>
      <c r="E561" s="124" t="s">
        <v>1373</v>
      </c>
      <c r="F561" s="124" t="s">
        <v>1713</v>
      </c>
      <c r="G561" s="251"/>
      <c r="H561" s="34" t="s">
        <v>43</v>
      </c>
      <c r="I561" s="126" t="s">
        <v>1781</v>
      </c>
      <c r="J561" s="47" t="s">
        <v>180</v>
      </c>
      <c r="K561" s="126">
        <v>853.91</v>
      </c>
      <c r="L561" s="126" t="s">
        <v>1715</v>
      </c>
      <c r="M561" s="104" t="s">
        <v>1716</v>
      </c>
      <c r="N561" s="265">
        <v>42688</v>
      </c>
      <c r="O561" s="260">
        <v>42699</v>
      </c>
      <c r="P561" s="106" t="s">
        <v>139</v>
      </c>
      <c r="Q561" s="107" t="s">
        <v>1717</v>
      </c>
      <c r="R561" s="244"/>
      <c r="S561" s="37">
        <v>0</v>
      </c>
      <c r="T561" s="36" t="str">
        <f t="shared" ca="1" si="45"/>
        <v>Empty</v>
      </c>
      <c r="U561" s="37" t="s">
        <v>1782</v>
      </c>
      <c r="V561" s="37"/>
      <c r="W561" s="38"/>
      <c r="X561" s="39"/>
      <c r="Y561" s="39"/>
      <c r="Z561" s="40"/>
      <c r="AA561" s="136" t="str">
        <f t="shared" ca="1" si="44"/>
        <v/>
      </c>
      <c r="AB561" s="40"/>
      <c r="AC561" s="116"/>
      <c r="AD561" s="116"/>
      <c r="AE561" s="40"/>
      <c r="AF561" s="136" t="str">
        <f t="shared" ca="1" si="46"/>
        <v/>
      </c>
      <c r="AG561" s="127"/>
      <c r="AH561" s="127"/>
      <c r="AI561" s="127"/>
      <c r="AJ561" s="128"/>
      <c r="AK561" s="128"/>
      <c r="AL561" s="129"/>
    </row>
    <row r="562" spans="1:38" ht="24.95" customHeight="1" x14ac:dyDescent="0.25">
      <c r="A562" s="142" t="str">
        <f t="shared" si="43"/>
        <v>16SAM227</v>
      </c>
      <c r="B562" s="192">
        <v>227</v>
      </c>
      <c r="C562" s="142" t="s">
        <v>57</v>
      </c>
      <c r="D562" s="143" t="s">
        <v>40</v>
      </c>
      <c r="E562" s="124" t="s">
        <v>1373</v>
      </c>
      <c r="F562" s="124" t="s">
        <v>1713</v>
      </c>
      <c r="G562" s="251"/>
      <c r="H562" s="34" t="s">
        <v>43</v>
      </c>
      <c r="I562" s="126" t="s">
        <v>1781</v>
      </c>
      <c r="J562" s="47" t="s">
        <v>180</v>
      </c>
      <c r="K562" s="126">
        <v>853.91</v>
      </c>
      <c r="L562" s="126" t="s">
        <v>1715</v>
      </c>
      <c r="M562" s="104" t="s">
        <v>1716</v>
      </c>
      <c r="N562" s="265">
        <v>42688</v>
      </c>
      <c r="O562" s="260">
        <v>42699</v>
      </c>
      <c r="P562" s="106" t="s">
        <v>139</v>
      </c>
      <c r="Q562" s="107" t="s">
        <v>1717</v>
      </c>
      <c r="R562" s="244"/>
      <c r="S562" s="37">
        <v>0</v>
      </c>
      <c r="T562" s="36" t="str">
        <f t="shared" ca="1" si="45"/>
        <v>Empty</v>
      </c>
      <c r="U562" s="37" t="s">
        <v>1782</v>
      </c>
      <c r="V562" s="37"/>
      <c r="W562" s="38"/>
      <c r="X562" s="39"/>
      <c r="Y562" s="39"/>
      <c r="Z562" s="40"/>
      <c r="AA562" s="136" t="str">
        <f t="shared" ca="1" si="44"/>
        <v/>
      </c>
      <c r="AB562" s="40"/>
      <c r="AC562" s="116"/>
      <c r="AD562" s="116"/>
      <c r="AE562" s="40"/>
      <c r="AF562" s="136" t="str">
        <f t="shared" ca="1" si="46"/>
        <v/>
      </c>
      <c r="AG562" s="127"/>
      <c r="AH562" s="127"/>
      <c r="AI562" s="127"/>
      <c r="AJ562" s="128"/>
      <c r="AK562" s="128"/>
      <c r="AL562" s="129"/>
    </row>
    <row r="563" spans="1:38" ht="24.95" customHeight="1" x14ac:dyDescent="0.25">
      <c r="A563" s="142" t="str">
        <f t="shared" ref="A563:A586" si="47">IF(C563="","",CONCATENATE(16,MID(C563,1,3),B563))</f>
        <v>16SAM228</v>
      </c>
      <c r="B563" s="192">
        <v>228</v>
      </c>
      <c r="C563" s="142" t="s">
        <v>57</v>
      </c>
      <c r="D563" s="143" t="s">
        <v>40</v>
      </c>
      <c r="E563" s="124" t="s">
        <v>1373</v>
      </c>
      <c r="F563" s="124" t="s">
        <v>1713</v>
      </c>
      <c r="G563" s="251"/>
      <c r="H563" s="34" t="s">
        <v>43</v>
      </c>
      <c r="I563" s="126" t="s">
        <v>1781</v>
      </c>
      <c r="J563" s="47" t="s">
        <v>180</v>
      </c>
      <c r="K563" s="126">
        <v>853.91</v>
      </c>
      <c r="L563" s="126" t="s">
        <v>1715</v>
      </c>
      <c r="M563" s="104" t="s">
        <v>1716</v>
      </c>
      <c r="N563" s="265">
        <v>42688</v>
      </c>
      <c r="O563" s="260">
        <v>42699</v>
      </c>
      <c r="P563" s="106" t="s">
        <v>139</v>
      </c>
      <c r="Q563" s="107" t="s">
        <v>1717</v>
      </c>
      <c r="R563" s="244"/>
      <c r="S563" s="37">
        <v>0</v>
      </c>
      <c r="T563" s="36" t="str">
        <f t="shared" ca="1" si="45"/>
        <v>Empty</v>
      </c>
      <c r="U563" s="37" t="s">
        <v>1782</v>
      </c>
      <c r="V563" s="37"/>
      <c r="W563" s="38"/>
      <c r="X563" s="39"/>
      <c r="Y563" s="39"/>
      <c r="Z563" s="40"/>
      <c r="AA563" s="136" t="str">
        <f t="shared" ca="1" si="44"/>
        <v/>
      </c>
      <c r="AB563" s="40"/>
      <c r="AC563" s="116"/>
      <c r="AD563" s="116"/>
      <c r="AE563" s="40"/>
      <c r="AF563" s="136" t="str">
        <f t="shared" ca="1" si="46"/>
        <v/>
      </c>
      <c r="AG563" s="127"/>
      <c r="AH563" s="127"/>
      <c r="AI563" s="127"/>
      <c r="AJ563" s="128"/>
      <c r="AK563" s="128"/>
      <c r="AL563" s="129"/>
    </row>
    <row r="564" spans="1:38" ht="24.95" customHeight="1" x14ac:dyDescent="0.25">
      <c r="A564" s="142" t="str">
        <f t="shared" si="47"/>
        <v>16SAM229</v>
      </c>
      <c r="B564" s="192">
        <v>229</v>
      </c>
      <c r="C564" s="142" t="s">
        <v>57</v>
      </c>
      <c r="D564" s="143" t="s">
        <v>40</v>
      </c>
      <c r="E564" s="124" t="s">
        <v>1373</v>
      </c>
      <c r="F564" s="124" t="s">
        <v>1713</v>
      </c>
      <c r="G564" s="251"/>
      <c r="H564" s="34" t="s">
        <v>43</v>
      </c>
      <c r="I564" s="126" t="s">
        <v>1781</v>
      </c>
      <c r="J564" s="47" t="s">
        <v>180</v>
      </c>
      <c r="K564" s="126">
        <v>853.91</v>
      </c>
      <c r="L564" s="126" t="s">
        <v>1715</v>
      </c>
      <c r="M564" s="104" t="s">
        <v>1716</v>
      </c>
      <c r="N564" s="265">
        <v>42688</v>
      </c>
      <c r="O564" s="260"/>
      <c r="P564" s="106" t="s">
        <v>139</v>
      </c>
      <c r="Q564" s="107" t="s">
        <v>1717</v>
      </c>
      <c r="R564" s="244"/>
      <c r="S564" s="37"/>
      <c r="T564" s="36" t="str">
        <f t="shared" ca="1" si="45"/>
        <v/>
      </c>
      <c r="U564" s="37"/>
      <c r="V564" s="37"/>
      <c r="W564" s="38"/>
      <c r="X564" s="39"/>
      <c r="Y564" s="39"/>
      <c r="Z564" s="40"/>
      <c r="AA564" s="136" t="str">
        <f t="shared" ca="1" si="44"/>
        <v/>
      </c>
      <c r="AB564" s="40"/>
      <c r="AC564" s="116"/>
      <c r="AD564" s="116"/>
      <c r="AE564" s="40"/>
      <c r="AF564" s="136" t="str">
        <f t="shared" ca="1" si="46"/>
        <v/>
      </c>
      <c r="AG564" s="127"/>
      <c r="AH564" s="127"/>
      <c r="AI564" s="127"/>
      <c r="AJ564" s="128"/>
      <c r="AK564" s="128"/>
      <c r="AL564" s="129"/>
    </row>
    <row r="565" spans="1:38" ht="24.95" customHeight="1" x14ac:dyDescent="0.25">
      <c r="A565" s="142" t="str">
        <f t="shared" si="47"/>
        <v>16SAM230</v>
      </c>
      <c r="B565" s="192">
        <v>230</v>
      </c>
      <c r="C565" s="142" t="s">
        <v>57</v>
      </c>
      <c r="D565" s="143" t="s">
        <v>170</v>
      </c>
      <c r="E565" s="124" t="s">
        <v>1373</v>
      </c>
      <c r="F565" s="124" t="s">
        <v>1792</v>
      </c>
      <c r="G565" s="126" t="s">
        <v>1883</v>
      </c>
      <c r="H565" s="34" t="s">
        <v>60</v>
      </c>
      <c r="I565" s="251" t="s">
        <v>1785</v>
      </c>
      <c r="J565" s="47" t="s">
        <v>45</v>
      </c>
      <c r="K565" s="126">
        <v>528.55600000000004</v>
      </c>
      <c r="L565" s="149" t="s">
        <v>61</v>
      </c>
      <c r="M565" s="105" t="s">
        <v>61</v>
      </c>
      <c r="N565" s="265">
        <v>42688</v>
      </c>
      <c r="O565" s="260"/>
      <c r="P565" s="106" t="s">
        <v>1884</v>
      </c>
      <c r="Q565" s="107" t="s">
        <v>1789</v>
      </c>
      <c r="R565" s="244"/>
      <c r="S565" s="37"/>
      <c r="T565" s="36" t="str">
        <f t="shared" ca="1" si="45"/>
        <v/>
      </c>
      <c r="U565" s="37"/>
      <c r="V565" s="37" t="s">
        <v>1888</v>
      </c>
      <c r="W565" s="38"/>
      <c r="X565" s="39"/>
      <c r="Y565" s="39"/>
      <c r="Z565" s="40"/>
      <c r="AA565" s="136" t="str">
        <f t="shared" ca="1" si="44"/>
        <v/>
      </c>
      <c r="AB565" s="40"/>
      <c r="AC565" s="116"/>
      <c r="AD565" s="116"/>
      <c r="AE565" s="40"/>
      <c r="AF565" s="136" t="str">
        <f t="shared" ca="1" si="46"/>
        <v/>
      </c>
      <c r="AG565" s="127"/>
      <c r="AH565" s="127"/>
      <c r="AI565" s="127"/>
      <c r="AJ565" s="128"/>
      <c r="AK565" s="128"/>
      <c r="AL565" s="129"/>
    </row>
    <row r="566" spans="1:38" ht="24.95" customHeight="1" x14ac:dyDescent="0.25">
      <c r="A566" s="142" t="str">
        <f t="shared" si="47"/>
        <v>16SAM231</v>
      </c>
      <c r="B566" s="192">
        <v>231</v>
      </c>
      <c r="C566" s="142" t="s">
        <v>57</v>
      </c>
      <c r="D566" s="143" t="s">
        <v>40</v>
      </c>
      <c r="E566" s="124" t="s">
        <v>739</v>
      </c>
      <c r="F566" s="124" t="s">
        <v>1885</v>
      </c>
      <c r="G566" s="126" t="s">
        <v>1890</v>
      </c>
      <c r="H566" s="34" t="s">
        <v>60</v>
      </c>
      <c r="I566" s="126" t="s">
        <v>1886</v>
      </c>
      <c r="J566" s="47" t="s">
        <v>45</v>
      </c>
      <c r="K566" s="126">
        <v>338.41</v>
      </c>
      <c r="L566" s="149" t="s">
        <v>61</v>
      </c>
      <c r="M566" s="105" t="s">
        <v>61</v>
      </c>
      <c r="N566" s="265">
        <v>42688</v>
      </c>
      <c r="O566" s="260"/>
      <c r="P566" s="106" t="s">
        <v>1887</v>
      </c>
      <c r="Q566" s="107" t="s">
        <v>1743</v>
      </c>
      <c r="R566" s="244"/>
      <c r="S566" s="37"/>
      <c r="T566" s="36" t="str">
        <f t="shared" ca="1" si="45"/>
        <v/>
      </c>
      <c r="U566" s="37"/>
      <c r="V566" s="37"/>
      <c r="W566" s="38"/>
      <c r="X566" s="39"/>
      <c r="Y566" s="39"/>
      <c r="Z566" s="40"/>
      <c r="AA566" s="136" t="str">
        <f t="shared" ca="1" si="44"/>
        <v/>
      </c>
      <c r="AB566" s="40"/>
      <c r="AC566" s="116"/>
      <c r="AD566" s="116"/>
      <c r="AE566" s="40"/>
      <c r="AF566" s="136" t="str">
        <f t="shared" ca="1" si="46"/>
        <v/>
      </c>
      <c r="AG566" s="127"/>
      <c r="AH566" s="127"/>
      <c r="AI566" s="127"/>
      <c r="AJ566" s="128"/>
      <c r="AK566" s="128"/>
      <c r="AL566" s="129"/>
    </row>
    <row r="567" spans="1:38" ht="24.95" customHeight="1" x14ac:dyDescent="0.25">
      <c r="A567" s="142" t="str">
        <f t="shared" si="47"/>
        <v>16SAM232</v>
      </c>
      <c r="B567" s="192">
        <v>232</v>
      </c>
      <c r="C567" s="142" t="s">
        <v>57</v>
      </c>
      <c r="D567" s="143" t="s">
        <v>40</v>
      </c>
      <c r="E567" s="124" t="s">
        <v>230</v>
      </c>
      <c r="F567" s="124" t="s">
        <v>1889</v>
      </c>
      <c r="G567" s="251"/>
      <c r="H567" s="34" t="s">
        <v>60</v>
      </c>
      <c r="I567" s="126"/>
      <c r="J567" s="47" t="s">
        <v>45</v>
      </c>
      <c r="K567" s="126">
        <v>432.72</v>
      </c>
      <c r="L567" s="149" t="s">
        <v>61</v>
      </c>
      <c r="M567" s="105" t="s">
        <v>61</v>
      </c>
      <c r="N567" s="265">
        <v>42688</v>
      </c>
      <c r="O567" s="260">
        <v>42696</v>
      </c>
      <c r="P567" s="106" t="s">
        <v>1066</v>
      </c>
      <c r="Q567" s="297" t="s">
        <v>212</v>
      </c>
      <c r="R567" s="244"/>
      <c r="S567" s="37">
        <v>0</v>
      </c>
      <c r="T567" s="36" t="str">
        <f t="shared" ca="1" si="45"/>
        <v>Empty</v>
      </c>
      <c r="U567" s="37" t="s">
        <v>1866</v>
      </c>
      <c r="V567" s="37"/>
      <c r="W567" s="38"/>
      <c r="X567" s="39"/>
      <c r="Y567" s="39"/>
      <c r="Z567" s="40"/>
      <c r="AA567" s="136" t="str">
        <f t="shared" ca="1" si="44"/>
        <v/>
      </c>
      <c r="AB567" s="40"/>
      <c r="AC567" s="116"/>
      <c r="AD567" s="116"/>
      <c r="AE567" s="40"/>
      <c r="AF567" s="136" t="str">
        <f t="shared" ca="1" si="46"/>
        <v/>
      </c>
      <c r="AG567" s="127"/>
      <c r="AH567" s="127"/>
      <c r="AI567" s="127"/>
      <c r="AJ567" s="128"/>
      <c r="AK567" s="128"/>
      <c r="AL567" s="129"/>
    </row>
    <row r="568" spans="1:38" ht="24.95" customHeight="1" x14ac:dyDescent="0.25">
      <c r="A568" s="142" t="str">
        <f t="shared" si="47"/>
        <v>16SAM233</v>
      </c>
      <c r="B568" s="192">
        <v>233</v>
      </c>
      <c r="C568" s="142" t="s">
        <v>57</v>
      </c>
      <c r="D568" s="143" t="s">
        <v>40</v>
      </c>
      <c r="E568" s="124" t="s">
        <v>739</v>
      </c>
      <c r="F568" s="124" t="s">
        <v>1891</v>
      </c>
      <c r="G568" s="251"/>
      <c r="H568" s="34" t="s">
        <v>1892</v>
      </c>
      <c r="I568" s="126" t="s">
        <v>1893</v>
      </c>
      <c r="J568" s="47" t="s">
        <v>105</v>
      </c>
      <c r="K568" s="126" t="s">
        <v>1897</v>
      </c>
      <c r="L568" s="126" t="s">
        <v>1894</v>
      </c>
      <c r="M568" s="105" t="s">
        <v>61</v>
      </c>
      <c r="N568" s="265">
        <v>42689</v>
      </c>
      <c r="O568" s="260">
        <v>42705</v>
      </c>
      <c r="P568" s="106" t="s">
        <v>1141</v>
      </c>
      <c r="Q568" s="107" t="s">
        <v>1895</v>
      </c>
      <c r="R568" s="244" t="s">
        <v>1896</v>
      </c>
      <c r="S568" s="37">
        <v>0</v>
      </c>
      <c r="T568" s="36" t="str">
        <f t="shared" ca="1" si="45"/>
        <v>Empty</v>
      </c>
      <c r="U568" s="37" t="s">
        <v>1898</v>
      </c>
      <c r="W568" s="38">
        <v>42705</v>
      </c>
      <c r="X568" s="39" t="s">
        <v>1328</v>
      </c>
      <c r="Y568" s="39" t="s">
        <v>1985</v>
      </c>
      <c r="Z568" s="40" t="s">
        <v>2000</v>
      </c>
      <c r="AA568" s="136">
        <f t="shared" ca="1" si="44"/>
        <v>663</v>
      </c>
      <c r="AB568" s="40"/>
      <c r="AC568" s="116"/>
      <c r="AD568" s="116"/>
      <c r="AE568" s="40"/>
      <c r="AF568" s="136" t="str">
        <f t="shared" ca="1" si="46"/>
        <v/>
      </c>
      <c r="AG568" s="127"/>
      <c r="AH568" s="127"/>
      <c r="AI568" s="127"/>
      <c r="AJ568" s="128"/>
      <c r="AK568" s="128"/>
      <c r="AL568" s="129"/>
    </row>
    <row r="569" spans="1:38" ht="24.95" customHeight="1" x14ac:dyDescent="0.25">
      <c r="A569" s="140" t="str">
        <f t="shared" si="47"/>
        <v>16REF234</v>
      </c>
      <c r="B569" s="193">
        <v>234</v>
      </c>
      <c r="C569" s="140" t="s">
        <v>39</v>
      </c>
      <c r="D569" s="141" t="s">
        <v>170</v>
      </c>
      <c r="E569" s="124" t="s">
        <v>41</v>
      </c>
      <c r="F569" s="124" t="s">
        <v>1899</v>
      </c>
      <c r="G569" s="251"/>
      <c r="H569" s="34" t="s">
        <v>1880</v>
      </c>
      <c r="I569" s="126">
        <v>101.44199999999999</v>
      </c>
      <c r="J569" s="47" t="s">
        <v>105</v>
      </c>
      <c r="K569" s="126">
        <v>621.17999999999995</v>
      </c>
      <c r="L569" s="126" t="s">
        <v>1900</v>
      </c>
      <c r="M569" s="104"/>
      <c r="N569" s="265">
        <v>42690</v>
      </c>
      <c r="O569" s="260"/>
      <c r="P569" s="106" t="s">
        <v>776</v>
      </c>
      <c r="Q569" s="107"/>
      <c r="R569" s="244"/>
      <c r="S569" s="37"/>
      <c r="T569" s="36" t="str">
        <f t="shared" ca="1" si="45"/>
        <v/>
      </c>
      <c r="U569" s="37"/>
      <c r="V569" s="37" t="s">
        <v>1901</v>
      </c>
      <c r="W569" s="38"/>
      <c r="X569" s="39"/>
      <c r="Y569" s="39"/>
      <c r="Z569" s="40"/>
      <c r="AA569" s="136" t="str">
        <f t="shared" ca="1" si="44"/>
        <v/>
      </c>
      <c r="AB569" s="40"/>
      <c r="AC569" s="116"/>
      <c r="AD569" s="116"/>
      <c r="AE569" s="40"/>
      <c r="AF569" s="136" t="str">
        <f t="shared" ca="1" si="46"/>
        <v/>
      </c>
      <c r="AG569" s="127"/>
      <c r="AH569" s="127"/>
      <c r="AI569" s="127"/>
      <c r="AJ569" s="128"/>
      <c r="AK569" s="128"/>
      <c r="AL569" s="129"/>
    </row>
    <row r="570" spans="1:38" ht="24.95" customHeight="1" x14ac:dyDescent="0.25">
      <c r="A570" s="142" t="str">
        <f t="shared" si="47"/>
        <v>16SAM235</v>
      </c>
      <c r="B570" s="192">
        <v>235</v>
      </c>
      <c r="C570" s="142" t="s">
        <v>57</v>
      </c>
      <c r="D570" s="143" t="s">
        <v>40</v>
      </c>
      <c r="E570" s="124" t="s">
        <v>289</v>
      </c>
      <c r="F570" s="124" t="s">
        <v>791</v>
      </c>
      <c r="G570" s="251"/>
      <c r="H570" s="34" t="s">
        <v>112</v>
      </c>
      <c r="I570" s="126" t="s">
        <v>1902</v>
      </c>
      <c r="J570" s="47" t="s">
        <v>105</v>
      </c>
      <c r="K570" s="126">
        <v>1019.24</v>
      </c>
      <c r="L570" s="126">
        <v>1818</v>
      </c>
      <c r="M570" s="104" t="s">
        <v>906</v>
      </c>
      <c r="N570" s="265">
        <v>42691</v>
      </c>
      <c r="O570" s="260">
        <v>42697</v>
      </c>
      <c r="P570" s="106" t="s">
        <v>194</v>
      </c>
      <c r="Q570" s="107" t="s">
        <v>1907</v>
      </c>
      <c r="R570" s="289">
        <v>0.86499999999999999</v>
      </c>
      <c r="S570" s="37">
        <v>0</v>
      </c>
      <c r="T570" s="36" t="str">
        <f t="shared" ca="1" si="45"/>
        <v>Empty</v>
      </c>
      <c r="U570" s="37" t="s">
        <v>1929</v>
      </c>
      <c r="V570" s="37"/>
      <c r="W570" s="38"/>
      <c r="X570" s="39"/>
      <c r="Y570" s="39"/>
      <c r="Z570" s="40"/>
      <c r="AA570" s="136" t="str">
        <f t="shared" ca="1" si="44"/>
        <v/>
      </c>
      <c r="AB570" s="40"/>
      <c r="AC570" s="116"/>
      <c r="AD570" s="116"/>
      <c r="AE570" s="40"/>
      <c r="AF570" s="136" t="str">
        <f t="shared" ca="1" si="46"/>
        <v/>
      </c>
      <c r="AG570" s="127"/>
      <c r="AH570" s="127"/>
      <c r="AI570" s="127"/>
      <c r="AJ570" s="128"/>
      <c r="AK570" s="128"/>
      <c r="AL570" s="129"/>
    </row>
    <row r="571" spans="1:38" ht="24.95" customHeight="1" x14ac:dyDescent="0.25">
      <c r="A571" s="142" t="str">
        <f t="shared" si="47"/>
        <v>16SAM236</v>
      </c>
      <c r="B571" s="192">
        <v>236</v>
      </c>
      <c r="C571" s="142" t="s">
        <v>57</v>
      </c>
      <c r="D571" s="143" t="s">
        <v>40</v>
      </c>
      <c r="E571" s="124" t="s">
        <v>289</v>
      </c>
      <c r="F571" s="124" t="s">
        <v>791</v>
      </c>
      <c r="G571" s="251"/>
      <c r="H571" s="34" t="s">
        <v>112</v>
      </c>
      <c r="I571" s="126" t="s">
        <v>1902</v>
      </c>
      <c r="J571" s="47" t="s">
        <v>105</v>
      </c>
      <c r="K571" s="126">
        <v>1019.24</v>
      </c>
      <c r="L571" s="126">
        <v>1818</v>
      </c>
      <c r="M571" s="104" t="s">
        <v>1903</v>
      </c>
      <c r="N571" s="265">
        <v>42691</v>
      </c>
      <c r="O571" s="260">
        <v>42697</v>
      </c>
      <c r="P571" s="106" t="s">
        <v>194</v>
      </c>
      <c r="Q571" s="107" t="s">
        <v>1907</v>
      </c>
      <c r="R571" s="289">
        <v>0.86499999999999999</v>
      </c>
      <c r="S571" s="37">
        <v>0</v>
      </c>
      <c r="T571" s="36" t="str">
        <f t="shared" ca="1" si="45"/>
        <v>Empty</v>
      </c>
      <c r="U571" s="37" t="s">
        <v>1929</v>
      </c>
      <c r="V571" s="37"/>
      <c r="W571" s="38"/>
      <c r="X571" s="39"/>
      <c r="Y571" s="39"/>
      <c r="Z571" s="40"/>
      <c r="AA571" s="136" t="str">
        <f t="shared" ca="1" si="44"/>
        <v/>
      </c>
      <c r="AB571" s="40"/>
      <c r="AC571" s="116"/>
      <c r="AD571" s="116"/>
      <c r="AE571" s="40"/>
      <c r="AF571" s="136" t="str">
        <f t="shared" ca="1" si="46"/>
        <v/>
      </c>
      <c r="AG571" s="127"/>
      <c r="AH571" s="127"/>
      <c r="AI571" s="127"/>
      <c r="AJ571" s="128"/>
      <c r="AK571" s="128"/>
      <c r="AL571" s="129"/>
    </row>
    <row r="572" spans="1:38" ht="24.95" customHeight="1" x14ac:dyDescent="0.25">
      <c r="A572" s="142" t="str">
        <f t="shared" si="47"/>
        <v>16SAM237</v>
      </c>
      <c r="B572" s="192">
        <v>237</v>
      </c>
      <c r="C572" s="142" t="s">
        <v>57</v>
      </c>
      <c r="D572" s="143" t="s">
        <v>40</v>
      </c>
      <c r="E572" s="124" t="s">
        <v>289</v>
      </c>
      <c r="F572" s="124" t="s">
        <v>791</v>
      </c>
      <c r="G572" s="251"/>
      <c r="H572" s="34" t="s">
        <v>112</v>
      </c>
      <c r="I572" s="126" t="s">
        <v>1902</v>
      </c>
      <c r="J572" s="47" t="s">
        <v>105</v>
      </c>
      <c r="K572" s="126">
        <v>1019.24</v>
      </c>
      <c r="L572" s="126">
        <v>1818</v>
      </c>
      <c r="M572" s="104" t="s">
        <v>1904</v>
      </c>
      <c r="N572" s="265">
        <v>42691</v>
      </c>
      <c r="O572" s="260">
        <v>42705</v>
      </c>
      <c r="P572" s="106" t="s">
        <v>194</v>
      </c>
      <c r="Q572" s="107" t="s">
        <v>1907</v>
      </c>
      <c r="R572" s="289">
        <v>0.86499999999999999</v>
      </c>
      <c r="S572" s="37">
        <v>0</v>
      </c>
      <c r="T572" s="36" t="str">
        <f t="shared" ca="1" si="45"/>
        <v>Empty</v>
      </c>
      <c r="U572" s="37" t="s">
        <v>1929</v>
      </c>
      <c r="V572" s="37"/>
      <c r="W572" s="38">
        <v>42705</v>
      </c>
      <c r="X572" s="39" t="s">
        <v>50</v>
      </c>
      <c r="Y572" s="39" t="s">
        <v>1995</v>
      </c>
      <c r="Z572" s="40" t="s">
        <v>49</v>
      </c>
      <c r="AA572" s="136">
        <f t="shared" ca="1" si="44"/>
        <v>663</v>
      </c>
      <c r="AB572" s="38">
        <v>42705</v>
      </c>
      <c r="AC572" s="39" t="s">
        <v>50</v>
      </c>
      <c r="AD572" s="39" t="s">
        <v>1830</v>
      </c>
      <c r="AE572" s="40" t="s">
        <v>49</v>
      </c>
      <c r="AF572" s="136">
        <f t="shared" ca="1" si="46"/>
        <v>663</v>
      </c>
      <c r="AG572" s="127"/>
      <c r="AH572" s="127"/>
      <c r="AI572" s="127"/>
      <c r="AJ572" s="128"/>
      <c r="AK572" s="128"/>
      <c r="AL572" s="129"/>
    </row>
    <row r="573" spans="1:38" ht="24.95" customHeight="1" x14ac:dyDescent="0.25">
      <c r="A573" s="142" t="str">
        <f t="shared" si="47"/>
        <v>16SAM238</v>
      </c>
      <c r="B573" s="192">
        <v>238</v>
      </c>
      <c r="C573" s="142" t="s">
        <v>57</v>
      </c>
      <c r="D573" s="143" t="s">
        <v>40</v>
      </c>
      <c r="E573" s="124" t="s">
        <v>289</v>
      </c>
      <c r="F573" s="124" t="s">
        <v>791</v>
      </c>
      <c r="G573" s="251"/>
      <c r="H573" s="34" t="s">
        <v>112</v>
      </c>
      <c r="I573" s="126" t="s">
        <v>1902</v>
      </c>
      <c r="J573" s="47" t="s">
        <v>105</v>
      </c>
      <c r="K573" s="126">
        <v>1019.24</v>
      </c>
      <c r="L573" s="126">
        <v>1818</v>
      </c>
      <c r="M573" s="104" t="s">
        <v>1905</v>
      </c>
      <c r="N573" s="265">
        <v>42691</v>
      </c>
      <c r="O573" s="260">
        <v>42725</v>
      </c>
      <c r="P573" s="106" t="s">
        <v>194</v>
      </c>
      <c r="Q573" s="107" t="s">
        <v>1907</v>
      </c>
      <c r="R573" s="289">
        <v>0.86499999999999999</v>
      </c>
      <c r="S573" s="37">
        <v>0</v>
      </c>
      <c r="T573" s="36" t="str">
        <f t="shared" ca="1" si="45"/>
        <v>Empty</v>
      </c>
      <c r="U573" s="37" t="s">
        <v>1929</v>
      </c>
      <c r="V573" s="37"/>
      <c r="W573" s="38"/>
      <c r="X573" s="39"/>
      <c r="Y573" s="39"/>
      <c r="Z573" s="40"/>
      <c r="AA573" s="136" t="str">
        <f t="shared" ref="AA573:AA587" ca="1" si="48">IF(W573="","",IF(W573,DAYS360(W573,TODAY())))</f>
        <v/>
      </c>
      <c r="AB573" s="40"/>
      <c r="AC573" s="116"/>
      <c r="AD573" s="116"/>
      <c r="AE573" s="40"/>
      <c r="AF573" s="136" t="str">
        <f t="shared" ca="1" si="46"/>
        <v/>
      </c>
      <c r="AG573" s="127"/>
      <c r="AH573" s="127"/>
      <c r="AI573" s="127"/>
      <c r="AJ573" s="128"/>
      <c r="AK573" s="128"/>
      <c r="AL573" s="129"/>
    </row>
    <row r="574" spans="1:38" ht="24.95" customHeight="1" x14ac:dyDescent="0.25">
      <c r="A574" s="142" t="str">
        <f t="shared" si="47"/>
        <v>16SAM239</v>
      </c>
      <c r="B574" s="192">
        <v>239</v>
      </c>
      <c r="C574" s="142" t="s">
        <v>57</v>
      </c>
      <c r="D574" s="143" t="s">
        <v>40</v>
      </c>
      <c r="E574" s="124" t="s">
        <v>289</v>
      </c>
      <c r="F574" s="124" t="s">
        <v>791</v>
      </c>
      <c r="G574" s="251"/>
      <c r="H574" s="34" t="s">
        <v>112</v>
      </c>
      <c r="I574" s="126" t="s">
        <v>1902</v>
      </c>
      <c r="J574" s="47" t="s">
        <v>105</v>
      </c>
      <c r="K574" s="126">
        <v>1019.24</v>
      </c>
      <c r="L574" s="126">
        <v>1818</v>
      </c>
      <c r="M574" s="104" t="s">
        <v>1906</v>
      </c>
      <c r="N574" s="265">
        <v>42691</v>
      </c>
      <c r="O574" s="260">
        <v>42730</v>
      </c>
      <c r="P574" s="106" t="s">
        <v>194</v>
      </c>
      <c r="Q574" s="107" t="s">
        <v>1907</v>
      </c>
      <c r="R574" s="289">
        <v>0.86499999999999999</v>
      </c>
      <c r="S574" s="37">
        <v>0</v>
      </c>
      <c r="T574" s="36" t="str">
        <f t="shared" ca="1" si="45"/>
        <v>Empty</v>
      </c>
      <c r="U574" s="37" t="s">
        <v>1929</v>
      </c>
      <c r="V574" s="37"/>
      <c r="W574" s="38">
        <v>42730</v>
      </c>
      <c r="X574" s="39" t="s">
        <v>50</v>
      </c>
      <c r="Y574" s="39" t="s">
        <v>2031</v>
      </c>
      <c r="Z574" s="40" t="s">
        <v>49</v>
      </c>
      <c r="AA574" s="136">
        <f t="shared" ca="1" si="48"/>
        <v>638</v>
      </c>
      <c r="AB574" s="40"/>
      <c r="AC574" s="116"/>
      <c r="AD574" s="116"/>
      <c r="AE574" s="40"/>
      <c r="AF574" s="136" t="str">
        <f t="shared" ca="1" si="46"/>
        <v/>
      </c>
      <c r="AG574" s="127"/>
      <c r="AH574" s="127"/>
      <c r="AI574" s="127"/>
      <c r="AJ574" s="128"/>
      <c r="AK574" s="128"/>
      <c r="AL574" s="129"/>
    </row>
    <row r="575" spans="1:38" ht="24.95" customHeight="1" x14ac:dyDescent="0.25">
      <c r="A575" s="142" t="str">
        <f t="shared" si="47"/>
        <v>16SAM240</v>
      </c>
      <c r="B575" s="192">
        <v>240</v>
      </c>
      <c r="C575" s="142" t="s">
        <v>57</v>
      </c>
      <c r="D575" s="143" t="s">
        <v>40</v>
      </c>
      <c r="E575" s="124" t="s">
        <v>289</v>
      </c>
      <c r="F575" s="124" t="s">
        <v>873</v>
      </c>
      <c r="G575" s="251"/>
      <c r="H575" s="34" t="s">
        <v>112</v>
      </c>
      <c r="I575" s="126" t="s">
        <v>1908</v>
      </c>
      <c r="J575" s="47" t="s">
        <v>105</v>
      </c>
      <c r="K575" s="126">
        <v>1197.3499999999999</v>
      </c>
      <c r="L575" s="126">
        <v>1843</v>
      </c>
      <c r="M575" s="104" t="s">
        <v>876</v>
      </c>
      <c r="N575" s="265">
        <v>42691</v>
      </c>
      <c r="O575" s="260">
        <v>42703</v>
      </c>
      <c r="P575" s="106" t="s">
        <v>194</v>
      </c>
      <c r="Q575" s="107" t="s">
        <v>1091</v>
      </c>
      <c r="R575" s="290">
        <v>0.79</v>
      </c>
      <c r="S575" s="37">
        <v>0</v>
      </c>
      <c r="T575" s="36" t="str">
        <f t="shared" ca="1" si="45"/>
        <v>Empty</v>
      </c>
      <c r="U575" s="37" t="s">
        <v>1929</v>
      </c>
      <c r="V575" s="37"/>
      <c r="W575" s="38"/>
      <c r="X575" s="39"/>
      <c r="Y575" s="39"/>
      <c r="Z575" s="40"/>
      <c r="AA575" s="136" t="str">
        <f t="shared" ca="1" si="48"/>
        <v/>
      </c>
      <c r="AB575" s="40"/>
      <c r="AC575" s="116"/>
      <c r="AD575" s="116"/>
      <c r="AE575" s="40"/>
      <c r="AF575" s="136" t="str">
        <f t="shared" ca="1" si="46"/>
        <v/>
      </c>
      <c r="AG575" s="127"/>
      <c r="AH575" s="127"/>
      <c r="AI575" s="127"/>
      <c r="AJ575" s="128"/>
      <c r="AK575" s="128"/>
      <c r="AL575" s="129"/>
    </row>
    <row r="576" spans="1:38" ht="24.95" customHeight="1" x14ac:dyDescent="0.25">
      <c r="A576" s="142" t="str">
        <f t="shared" si="47"/>
        <v>16SAM241</v>
      </c>
      <c r="B576" s="192">
        <v>241</v>
      </c>
      <c r="C576" s="142" t="s">
        <v>57</v>
      </c>
      <c r="D576" s="143" t="s">
        <v>40</v>
      </c>
      <c r="E576" s="124" t="s">
        <v>289</v>
      </c>
      <c r="F576" s="124" t="s">
        <v>873</v>
      </c>
      <c r="G576" s="251"/>
      <c r="H576" s="34" t="s">
        <v>112</v>
      </c>
      <c r="I576" s="126" t="s">
        <v>1908</v>
      </c>
      <c r="J576" s="47" t="s">
        <v>105</v>
      </c>
      <c r="K576" s="126">
        <v>1197.3499999999999</v>
      </c>
      <c r="L576" s="126">
        <v>1843</v>
      </c>
      <c r="M576" s="104" t="s">
        <v>876</v>
      </c>
      <c r="N576" s="265">
        <v>42691</v>
      </c>
      <c r="O576" s="260">
        <v>42705</v>
      </c>
      <c r="P576" s="106" t="s">
        <v>194</v>
      </c>
      <c r="Q576" s="107" t="s">
        <v>1091</v>
      </c>
      <c r="R576" s="290">
        <v>0.79</v>
      </c>
      <c r="S576" s="37">
        <v>0</v>
      </c>
      <c r="T576" s="36" t="str">
        <f t="shared" ca="1" si="45"/>
        <v>Empty</v>
      </c>
      <c r="U576" s="37" t="s">
        <v>1929</v>
      </c>
      <c r="V576" s="37"/>
      <c r="W576" s="38"/>
      <c r="X576" s="39"/>
      <c r="Y576" s="39"/>
      <c r="Z576" s="40"/>
      <c r="AA576" s="136" t="str">
        <f t="shared" ca="1" si="48"/>
        <v/>
      </c>
      <c r="AB576" s="40"/>
      <c r="AC576" s="116"/>
      <c r="AD576" s="116"/>
      <c r="AE576" s="40"/>
      <c r="AF576" s="136" t="str">
        <f t="shared" ca="1" si="46"/>
        <v/>
      </c>
      <c r="AG576" s="127"/>
      <c r="AH576" s="127"/>
      <c r="AI576" s="127"/>
      <c r="AJ576" s="128"/>
      <c r="AK576" s="128"/>
      <c r="AL576" s="129"/>
    </row>
    <row r="577" spans="1:38" ht="24.95" customHeight="1" x14ac:dyDescent="0.25">
      <c r="A577" s="142" t="str">
        <f t="shared" si="47"/>
        <v>16SAM242</v>
      </c>
      <c r="B577" s="192">
        <v>242</v>
      </c>
      <c r="C577" s="142" t="s">
        <v>57</v>
      </c>
      <c r="D577" s="143" t="s">
        <v>40</v>
      </c>
      <c r="E577" s="124" t="s">
        <v>289</v>
      </c>
      <c r="F577" s="124" t="s">
        <v>873</v>
      </c>
      <c r="G577" s="251"/>
      <c r="H577" s="34" t="s">
        <v>112</v>
      </c>
      <c r="I577" s="126" t="s">
        <v>1908</v>
      </c>
      <c r="J577" s="47" t="s">
        <v>105</v>
      </c>
      <c r="K577" s="126">
        <v>1197.3499999999999</v>
      </c>
      <c r="L577" s="126">
        <v>1843</v>
      </c>
      <c r="M577" s="104" t="s">
        <v>876</v>
      </c>
      <c r="N577" s="265">
        <v>42691</v>
      </c>
      <c r="O577" s="260">
        <v>42697</v>
      </c>
      <c r="P577" s="106" t="s">
        <v>194</v>
      </c>
      <c r="Q577" s="107" t="s">
        <v>1091</v>
      </c>
      <c r="R577" s="290">
        <v>0.79</v>
      </c>
      <c r="S577" s="37">
        <v>0</v>
      </c>
      <c r="T577" s="36" t="str">
        <f t="shared" ca="1" si="45"/>
        <v>Empty</v>
      </c>
      <c r="U577" s="37" t="s">
        <v>1929</v>
      </c>
      <c r="V577" s="37"/>
      <c r="W577" s="38"/>
      <c r="X577" s="39"/>
      <c r="Y577" s="39"/>
      <c r="Z577" s="40"/>
      <c r="AA577" s="136" t="str">
        <f t="shared" ca="1" si="48"/>
        <v/>
      </c>
      <c r="AB577" s="40"/>
      <c r="AC577" s="116"/>
      <c r="AD577" s="116"/>
      <c r="AE577" s="40"/>
      <c r="AF577" s="136" t="str">
        <f t="shared" ca="1" si="46"/>
        <v/>
      </c>
      <c r="AG577" s="127"/>
      <c r="AH577" s="127"/>
      <c r="AI577" s="127"/>
      <c r="AJ577" s="128"/>
      <c r="AK577" s="128"/>
      <c r="AL577" s="129"/>
    </row>
    <row r="578" spans="1:38" ht="24.95" customHeight="1" x14ac:dyDescent="0.25">
      <c r="A578" s="142" t="str">
        <f t="shared" si="47"/>
        <v>16SAM243</v>
      </c>
      <c r="B578" s="192">
        <v>243</v>
      </c>
      <c r="C578" s="142" t="s">
        <v>57</v>
      </c>
      <c r="D578" s="143" t="s">
        <v>40</v>
      </c>
      <c r="E578" s="124" t="s">
        <v>289</v>
      </c>
      <c r="F578" s="124" t="s">
        <v>873</v>
      </c>
      <c r="G578" s="251"/>
      <c r="H578" s="34" t="s">
        <v>112</v>
      </c>
      <c r="I578" s="126" t="s">
        <v>1908</v>
      </c>
      <c r="J578" s="47" t="s">
        <v>105</v>
      </c>
      <c r="K578" s="126">
        <v>1197.3499999999999</v>
      </c>
      <c r="L578" s="126">
        <v>1843</v>
      </c>
      <c r="M578" s="104" t="s">
        <v>876</v>
      </c>
      <c r="N578" s="265">
        <v>42691</v>
      </c>
      <c r="O578" s="260">
        <v>42697</v>
      </c>
      <c r="P578" s="106" t="s">
        <v>194</v>
      </c>
      <c r="Q578" s="107" t="s">
        <v>1091</v>
      </c>
      <c r="R578" s="290">
        <v>0.79</v>
      </c>
      <c r="S578" s="37">
        <v>0</v>
      </c>
      <c r="T578" s="36" t="str">
        <f t="shared" ca="1" si="45"/>
        <v>Empty</v>
      </c>
      <c r="U578" s="37" t="s">
        <v>1929</v>
      </c>
      <c r="V578" s="37"/>
      <c r="W578" s="38"/>
      <c r="X578" s="39"/>
      <c r="Y578" s="39"/>
      <c r="Z578" s="40"/>
      <c r="AA578" s="136" t="str">
        <f t="shared" ca="1" si="48"/>
        <v/>
      </c>
      <c r="AB578" s="40"/>
      <c r="AC578" s="116"/>
      <c r="AD578" s="116"/>
      <c r="AE578" s="40"/>
      <c r="AF578" s="136" t="str">
        <f t="shared" ca="1" si="46"/>
        <v/>
      </c>
      <c r="AG578" s="127"/>
      <c r="AH578" s="127"/>
      <c r="AI578" s="127"/>
      <c r="AJ578" s="128"/>
      <c r="AK578" s="128"/>
      <c r="AL578" s="129"/>
    </row>
    <row r="579" spans="1:38" ht="24.95" customHeight="1" x14ac:dyDescent="0.25">
      <c r="A579" s="140" t="str">
        <f t="shared" si="47"/>
        <v>16REF244</v>
      </c>
      <c r="B579" s="193">
        <v>244</v>
      </c>
      <c r="C579" s="140" t="s">
        <v>39</v>
      </c>
      <c r="D579" s="141" t="s">
        <v>170</v>
      </c>
      <c r="E579" s="124" t="s">
        <v>41</v>
      </c>
      <c r="F579" s="124" t="s">
        <v>1909</v>
      </c>
      <c r="G579" s="251"/>
      <c r="H579" s="34" t="s">
        <v>43</v>
      </c>
      <c r="I579" s="126" t="s">
        <v>1910</v>
      </c>
      <c r="J579" s="47" t="s">
        <v>45</v>
      </c>
      <c r="K579" s="126">
        <v>343.3</v>
      </c>
      <c r="L579" s="126" t="s">
        <v>1911</v>
      </c>
      <c r="M579" s="104" t="s">
        <v>1912</v>
      </c>
      <c r="N579" s="265">
        <v>42692</v>
      </c>
      <c r="O579" s="260"/>
      <c r="P579" s="106" t="s">
        <v>776</v>
      </c>
      <c r="Q579" s="107"/>
      <c r="R579" s="244"/>
      <c r="S579" s="37"/>
      <c r="T579" s="36" t="str">
        <f t="shared" ca="1" si="45"/>
        <v/>
      </c>
      <c r="U579" s="37"/>
      <c r="V579" s="37"/>
      <c r="W579" s="38"/>
      <c r="X579" s="39"/>
      <c r="Y579" s="39"/>
      <c r="Z579" s="40"/>
      <c r="AA579" s="136" t="str">
        <f t="shared" ca="1" si="48"/>
        <v/>
      </c>
      <c r="AB579" s="40"/>
      <c r="AC579" s="116"/>
      <c r="AD579" s="116"/>
      <c r="AE579" s="40"/>
      <c r="AF579" s="136" t="str">
        <f t="shared" ca="1" si="46"/>
        <v/>
      </c>
      <c r="AG579" s="127"/>
      <c r="AH579" s="127"/>
      <c r="AI579" s="127"/>
      <c r="AJ579" s="128"/>
      <c r="AK579" s="128"/>
      <c r="AL579" s="129"/>
    </row>
    <row r="580" spans="1:38" ht="24.95" customHeight="1" x14ac:dyDescent="0.25">
      <c r="A580" s="142" t="str">
        <f t="shared" si="47"/>
        <v>16SAM245</v>
      </c>
      <c r="B580" s="192">
        <v>245</v>
      </c>
      <c r="C580" s="142" t="s">
        <v>57</v>
      </c>
      <c r="D580" s="143" t="s">
        <v>40</v>
      </c>
      <c r="E580" s="124" t="s">
        <v>739</v>
      </c>
      <c r="F580" s="124" t="s">
        <v>1920</v>
      </c>
      <c r="G580" s="251"/>
      <c r="H580" s="34" t="s">
        <v>1892</v>
      </c>
      <c r="I580" s="126" t="s">
        <v>1921</v>
      </c>
      <c r="J580" s="47" t="s">
        <v>105</v>
      </c>
      <c r="K580" s="292"/>
      <c r="L580" s="126" t="s">
        <v>1922</v>
      </c>
      <c r="M580" s="104"/>
      <c r="N580" s="265">
        <v>42696</v>
      </c>
      <c r="O580" s="260">
        <v>42705</v>
      </c>
      <c r="P580" s="106" t="s">
        <v>86</v>
      </c>
      <c r="Q580" s="107" t="s">
        <v>1927</v>
      </c>
      <c r="R580" s="244"/>
      <c r="S580" s="37">
        <v>0</v>
      </c>
      <c r="T580" s="36" t="str">
        <f t="shared" ca="1" si="45"/>
        <v>Empty</v>
      </c>
      <c r="U580" s="37" t="s">
        <v>1898</v>
      </c>
      <c r="V580" s="37"/>
      <c r="W580" s="38">
        <v>42705</v>
      </c>
      <c r="X580" s="39" t="s">
        <v>1998</v>
      </c>
      <c r="Y580" s="39" t="s">
        <v>1999</v>
      </c>
      <c r="Z580" s="40" t="s">
        <v>1983</v>
      </c>
      <c r="AA580" s="136">
        <f t="shared" ca="1" si="48"/>
        <v>663</v>
      </c>
      <c r="AB580" s="38">
        <v>42705</v>
      </c>
      <c r="AC580" s="39" t="s">
        <v>1998</v>
      </c>
      <c r="AD580" s="116" t="s">
        <v>1984</v>
      </c>
      <c r="AE580" s="40" t="s">
        <v>1983</v>
      </c>
      <c r="AF580" s="136">
        <f t="shared" ca="1" si="46"/>
        <v>663</v>
      </c>
      <c r="AG580" s="127"/>
      <c r="AH580" s="127"/>
      <c r="AI580" s="127"/>
      <c r="AJ580" s="128"/>
      <c r="AK580" s="128"/>
      <c r="AL580" s="129"/>
    </row>
    <row r="581" spans="1:38" ht="24.95" customHeight="1" x14ac:dyDescent="0.25">
      <c r="A581" s="140" t="str">
        <f t="shared" si="47"/>
        <v>16REF246</v>
      </c>
      <c r="B581" s="193">
        <v>246</v>
      </c>
      <c r="C581" s="140" t="s">
        <v>39</v>
      </c>
      <c r="D581" s="141" t="s">
        <v>170</v>
      </c>
      <c r="E581" s="124" t="s">
        <v>41</v>
      </c>
      <c r="F581" s="124" t="s">
        <v>1923</v>
      </c>
      <c r="G581" s="251"/>
      <c r="H581" s="34" t="s">
        <v>330</v>
      </c>
      <c r="I581" s="126" t="s">
        <v>1924</v>
      </c>
      <c r="J581" s="47" t="s">
        <v>180</v>
      </c>
      <c r="K581" s="126">
        <v>252.14</v>
      </c>
      <c r="L581" s="126" t="s">
        <v>1925</v>
      </c>
      <c r="M581" s="104" t="s">
        <v>1926</v>
      </c>
      <c r="N581" s="265">
        <v>42696</v>
      </c>
      <c r="O581" s="260">
        <v>42696</v>
      </c>
      <c r="P581" s="106" t="s">
        <v>124</v>
      </c>
      <c r="Q581" s="107" t="s">
        <v>504</v>
      </c>
      <c r="R581" s="266">
        <v>1</v>
      </c>
      <c r="S581" s="37">
        <f>100-74.62</f>
        <v>25.379999999999995</v>
      </c>
      <c r="T581" s="36">
        <f t="shared" ca="1" si="45"/>
        <v>672</v>
      </c>
      <c r="U581" s="37" t="s">
        <v>1928</v>
      </c>
      <c r="V581" s="37"/>
      <c r="W581" s="38">
        <v>42696</v>
      </c>
      <c r="X581" s="39" t="s">
        <v>728</v>
      </c>
      <c r="Y581" s="39" t="s">
        <v>1532</v>
      </c>
      <c r="Z581" s="40" t="s">
        <v>212</v>
      </c>
      <c r="AA581" s="136">
        <f t="shared" ca="1" si="48"/>
        <v>672</v>
      </c>
      <c r="AB581" s="40"/>
      <c r="AC581" s="116"/>
      <c r="AD581" s="116"/>
      <c r="AE581" s="40"/>
      <c r="AF581" s="136" t="str">
        <f t="shared" ca="1" si="46"/>
        <v/>
      </c>
      <c r="AG581" s="127"/>
      <c r="AH581" s="127"/>
      <c r="AI581" s="127"/>
      <c r="AJ581" s="128"/>
      <c r="AK581" s="128"/>
      <c r="AL581" s="129"/>
    </row>
    <row r="582" spans="1:38" ht="24.95" customHeight="1" x14ac:dyDescent="0.25">
      <c r="A582" s="142" t="str">
        <f t="shared" si="47"/>
        <v>16REF247</v>
      </c>
      <c r="B582" s="192">
        <v>247</v>
      </c>
      <c r="C582" s="142" t="s">
        <v>39</v>
      </c>
      <c r="D582" s="143" t="s">
        <v>40</v>
      </c>
      <c r="E582" s="124" t="s">
        <v>41</v>
      </c>
      <c r="F582" s="124" t="s">
        <v>1931</v>
      </c>
      <c r="G582" s="251" t="s">
        <v>1932</v>
      </c>
      <c r="H582" s="34" t="s">
        <v>330</v>
      </c>
      <c r="I582" s="126" t="s">
        <v>1933</v>
      </c>
      <c r="J582" s="47" t="s">
        <v>180</v>
      </c>
      <c r="K582" s="126">
        <v>203.19</v>
      </c>
      <c r="L582" s="126" t="s">
        <v>1934</v>
      </c>
      <c r="M582" s="104" t="s">
        <v>1935</v>
      </c>
      <c r="N582" s="265">
        <v>42702</v>
      </c>
      <c r="O582" s="260">
        <v>42703</v>
      </c>
      <c r="P582" s="106" t="s">
        <v>86</v>
      </c>
      <c r="Q582" s="107" t="s">
        <v>1936</v>
      </c>
      <c r="R582" s="244" t="s">
        <v>1418</v>
      </c>
      <c r="S582" s="37" t="s">
        <v>1996</v>
      </c>
      <c r="T582" s="36">
        <f t="shared" ca="1" si="45"/>
        <v>665</v>
      </c>
      <c r="U582" s="37" t="s">
        <v>1948</v>
      </c>
      <c r="V582" s="37"/>
      <c r="W582" s="38"/>
      <c r="X582" s="39"/>
      <c r="Y582" s="39"/>
      <c r="Z582" s="40"/>
      <c r="AA582" s="136" t="str">
        <f t="shared" ca="1" si="48"/>
        <v/>
      </c>
      <c r="AB582" s="40"/>
      <c r="AC582" s="116"/>
      <c r="AD582" s="116"/>
      <c r="AE582" s="40"/>
      <c r="AF582" s="136" t="str">
        <f t="shared" ca="1" si="46"/>
        <v/>
      </c>
      <c r="AG582" s="127"/>
      <c r="AH582" s="127"/>
      <c r="AI582" s="127"/>
      <c r="AJ582" s="128"/>
      <c r="AK582" s="128"/>
      <c r="AL582" s="129"/>
    </row>
    <row r="583" spans="1:38" ht="24.95" customHeight="1" x14ac:dyDescent="0.25">
      <c r="A583" s="142" t="str">
        <f t="shared" si="47"/>
        <v>16SAM248</v>
      </c>
      <c r="B583" s="192">
        <v>248</v>
      </c>
      <c r="C583" s="142" t="s">
        <v>57</v>
      </c>
      <c r="D583" s="143" t="s">
        <v>40</v>
      </c>
      <c r="E583" s="124" t="s">
        <v>1041</v>
      </c>
      <c r="F583" s="124" t="s">
        <v>1937</v>
      </c>
      <c r="G583" s="251"/>
      <c r="H583" s="34" t="s">
        <v>43</v>
      </c>
      <c r="I583" s="126" t="s">
        <v>1938</v>
      </c>
      <c r="J583" s="47" t="s">
        <v>45</v>
      </c>
      <c r="K583" s="126"/>
      <c r="L583" s="126" t="s">
        <v>1939</v>
      </c>
      <c r="M583" s="104" t="s">
        <v>61</v>
      </c>
      <c r="N583" s="265">
        <v>42702</v>
      </c>
      <c r="O583" s="260">
        <v>42705</v>
      </c>
      <c r="P583" s="106" t="s">
        <v>1940</v>
      </c>
      <c r="Q583" s="107" t="s">
        <v>1941</v>
      </c>
      <c r="R583" s="244"/>
      <c r="S583" s="37" t="s">
        <v>1997</v>
      </c>
      <c r="T583" s="36">
        <f t="shared" ca="1" si="45"/>
        <v>663</v>
      </c>
      <c r="U583" s="37" t="s">
        <v>1898</v>
      </c>
      <c r="V583" s="37"/>
      <c r="W583" s="38"/>
      <c r="X583" s="39"/>
      <c r="Y583" s="39"/>
      <c r="Z583" s="40"/>
      <c r="AA583" s="136" t="str">
        <f t="shared" ca="1" si="48"/>
        <v/>
      </c>
      <c r="AB583" s="40"/>
      <c r="AC583" s="116"/>
      <c r="AD583" s="116"/>
      <c r="AE583" s="40"/>
      <c r="AF583" s="136" t="str">
        <f t="shared" ca="1" si="46"/>
        <v/>
      </c>
      <c r="AG583" s="127"/>
      <c r="AH583" s="127"/>
      <c r="AI583" s="127"/>
      <c r="AJ583" s="128"/>
      <c r="AK583" s="128"/>
      <c r="AL583" s="129"/>
    </row>
    <row r="584" spans="1:38" ht="24.95" customHeight="1" x14ac:dyDescent="0.25">
      <c r="A584" s="142" t="str">
        <f>IF(C584="","",CONCATENATE(16,MID(C584,1,3),B584))</f>
        <v>16SAM249</v>
      </c>
      <c r="B584" s="192">
        <v>249</v>
      </c>
      <c r="C584" s="142" t="s">
        <v>57</v>
      </c>
      <c r="D584" s="143" t="s">
        <v>824</v>
      </c>
      <c r="E584" s="124" t="s">
        <v>1949</v>
      </c>
      <c r="F584" s="124" t="s">
        <v>1942</v>
      </c>
      <c r="G584" s="251"/>
      <c r="H584" s="34" t="s">
        <v>43</v>
      </c>
      <c r="I584" s="126" t="s">
        <v>1943</v>
      </c>
      <c r="J584" s="47" t="s">
        <v>180</v>
      </c>
      <c r="K584" s="126">
        <v>512.94000000000005</v>
      </c>
      <c r="L584" s="126" t="s">
        <v>1944</v>
      </c>
      <c r="M584" s="104" t="s">
        <v>1945</v>
      </c>
      <c r="N584" s="265">
        <v>42702</v>
      </c>
      <c r="O584" s="260"/>
      <c r="P584" s="106" t="s">
        <v>160</v>
      </c>
      <c r="Q584" s="107" t="s">
        <v>1946</v>
      </c>
      <c r="R584" s="267">
        <v>0.99199999999999999</v>
      </c>
      <c r="S584" s="37"/>
      <c r="T584" s="36" t="str">
        <f t="shared" ca="1" si="45"/>
        <v/>
      </c>
      <c r="U584" s="37" t="s">
        <v>1958</v>
      </c>
      <c r="V584" s="37"/>
      <c r="W584" s="38"/>
      <c r="X584" s="39"/>
      <c r="Y584" s="39"/>
      <c r="Z584" s="40"/>
      <c r="AA584" s="136" t="str">
        <f t="shared" ca="1" si="48"/>
        <v/>
      </c>
      <c r="AB584" s="40"/>
      <c r="AC584" s="116"/>
      <c r="AD584" s="116"/>
      <c r="AE584" s="40"/>
      <c r="AF584" s="136" t="str">
        <f t="shared" ca="1" si="46"/>
        <v/>
      </c>
      <c r="AG584" s="127"/>
      <c r="AH584" s="127"/>
      <c r="AI584" s="127"/>
      <c r="AJ584" s="128"/>
      <c r="AK584" s="128"/>
      <c r="AL584" s="129"/>
    </row>
    <row r="585" spans="1:38" ht="24.95" customHeight="1" x14ac:dyDescent="0.25">
      <c r="A585" s="142" t="str">
        <f t="shared" si="47"/>
        <v>16SAM250</v>
      </c>
      <c r="B585" s="192">
        <v>250</v>
      </c>
      <c r="C585" s="142" t="s">
        <v>57</v>
      </c>
      <c r="D585" s="143" t="s">
        <v>40</v>
      </c>
      <c r="E585" s="124" t="s">
        <v>1041</v>
      </c>
      <c r="F585" s="124" t="s">
        <v>1950</v>
      </c>
      <c r="G585" s="251"/>
      <c r="H585" s="34"/>
      <c r="I585" s="126" t="s">
        <v>1951</v>
      </c>
      <c r="J585" s="47" t="s">
        <v>105</v>
      </c>
      <c r="K585" s="126"/>
      <c r="L585" s="126" t="s">
        <v>1952</v>
      </c>
      <c r="M585" s="104"/>
      <c r="N585" s="265">
        <v>42704</v>
      </c>
      <c r="O585" s="260">
        <v>42705</v>
      </c>
      <c r="P585" s="106" t="s">
        <v>1953</v>
      </c>
      <c r="Q585" s="107"/>
      <c r="R585" s="244"/>
      <c r="S585" s="37">
        <v>0</v>
      </c>
      <c r="T585" s="36" t="str">
        <f t="shared" ca="1" si="45"/>
        <v>Empty</v>
      </c>
      <c r="U585" s="37" t="s">
        <v>1898</v>
      </c>
      <c r="V585" s="37"/>
      <c r="W585" s="38">
        <v>42705</v>
      </c>
      <c r="X585" s="39" t="s">
        <v>1986</v>
      </c>
      <c r="Y585" s="39" t="s">
        <v>1999</v>
      </c>
      <c r="Z585" s="40" t="s">
        <v>2000</v>
      </c>
      <c r="AA585" s="136">
        <f t="shared" ca="1" si="48"/>
        <v>663</v>
      </c>
      <c r="AB585" s="38">
        <v>42705</v>
      </c>
      <c r="AC585" s="39" t="s">
        <v>1986</v>
      </c>
      <c r="AD585" s="39" t="s">
        <v>1984</v>
      </c>
      <c r="AE585" s="40" t="s">
        <v>2000</v>
      </c>
      <c r="AF585" s="136">
        <f t="shared" ca="1" si="46"/>
        <v>663</v>
      </c>
      <c r="AG585" s="127"/>
      <c r="AH585" s="127"/>
      <c r="AI585" s="127"/>
      <c r="AJ585" s="128"/>
      <c r="AK585" s="128"/>
      <c r="AL585" s="129"/>
    </row>
    <row r="586" spans="1:38" ht="24.95" customHeight="1" x14ac:dyDescent="0.25">
      <c r="A586" s="140" t="str">
        <f t="shared" si="47"/>
        <v>16REF251</v>
      </c>
      <c r="B586" s="192">
        <v>251</v>
      </c>
      <c r="C586" s="140" t="s">
        <v>39</v>
      </c>
      <c r="D586" s="141" t="s">
        <v>824</v>
      </c>
      <c r="E586" s="124" t="s">
        <v>289</v>
      </c>
      <c r="F586" s="124" t="s">
        <v>1955</v>
      </c>
      <c r="G586" s="251" t="s">
        <v>1956</v>
      </c>
      <c r="H586" s="443" t="s">
        <v>3513</v>
      </c>
      <c r="I586" s="126">
        <v>1813348</v>
      </c>
      <c r="J586" s="34" t="s">
        <v>180</v>
      </c>
      <c r="K586" s="126" t="s">
        <v>1963</v>
      </c>
      <c r="L586" s="126">
        <v>41965039</v>
      </c>
      <c r="M586" s="126" t="s">
        <v>61</v>
      </c>
      <c r="N586" s="265">
        <v>42703</v>
      </c>
      <c r="O586" s="260">
        <v>42712</v>
      </c>
      <c r="P586" s="106" t="s">
        <v>1957</v>
      </c>
      <c r="Q586" s="107"/>
      <c r="R586" s="244">
        <v>0</v>
      </c>
      <c r="S586" s="37">
        <v>0</v>
      </c>
      <c r="T586" s="36" t="str">
        <f t="shared" ca="1" si="45"/>
        <v>Empty</v>
      </c>
      <c r="U586" s="37" t="s">
        <v>1958</v>
      </c>
      <c r="V586" s="37"/>
      <c r="W586" s="38"/>
      <c r="X586" s="39"/>
      <c r="Y586" s="150"/>
      <c r="Z586" s="40"/>
      <c r="AA586" s="136" t="str">
        <f t="shared" ca="1" si="48"/>
        <v/>
      </c>
      <c r="AB586" s="40"/>
      <c r="AC586" s="116"/>
      <c r="AD586" s="116"/>
      <c r="AE586" s="40"/>
      <c r="AF586" s="136" t="str">
        <f t="shared" ca="1" si="46"/>
        <v/>
      </c>
      <c r="AG586" s="127"/>
      <c r="AH586" s="127"/>
      <c r="AI586" s="127"/>
      <c r="AJ586" s="128"/>
      <c r="AK586" s="128"/>
      <c r="AL586" s="129"/>
    </row>
    <row r="587" spans="1:38" ht="24.95" customHeight="1" x14ac:dyDescent="0.25">
      <c r="A587" s="140" t="str">
        <f>IF(C587="","",CONCATENATE(16,MID(C587,1,3),B587))</f>
        <v>16REF252</v>
      </c>
      <c r="B587" s="192">
        <v>252</v>
      </c>
      <c r="C587" s="140" t="s">
        <v>39</v>
      </c>
      <c r="D587" s="141" t="s">
        <v>824</v>
      </c>
      <c r="E587" s="124" t="s">
        <v>289</v>
      </c>
      <c r="F587" s="124" t="s">
        <v>1954</v>
      </c>
      <c r="G587" s="251" t="s">
        <v>1956</v>
      </c>
      <c r="H587" s="443" t="s">
        <v>3513</v>
      </c>
      <c r="I587" s="126">
        <v>1835209</v>
      </c>
      <c r="J587" s="34" t="s">
        <v>45</v>
      </c>
      <c r="K587" s="126" t="s">
        <v>1963</v>
      </c>
      <c r="L587" s="126">
        <v>14190144</v>
      </c>
      <c r="M587" s="126" t="s">
        <v>61</v>
      </c>
      <c r="N587" s="265">
        <v>42703</v>
      </c>
      <c r="O587" s="260"/>
      <c r="P587" s="106" t="s">
        <v>1959</v>
      </c>
      <c r="Q587" s="107"/>
      <c r="R587" s="244">
        <v>0</v>
      </c>
      <c r="S587" s="37"/>
      <c r="T587" s="36" t="str">
        <f t="shared" ca="1" si="45"/>
        <v/>
      </c>
      <c r="U587" s="37" t="s">
        <v>1958</v>
      </c>
      <c r="V587" s="37"/>
      <c r="W587" s="38"/>
      <c r="X587" s="39"/>
      <c r="Y587" s="150"/>
      <c r="Z587" s="40"/>
      <c r="AA587" s="136" t="str">
        <f t="shared" ca="1" si="48"/>
        <v/>
      </c>
      <c r="AB587" s="40"/>
      <c r="AC587" s="116"/>
      <c r="AD587" s="116"/>
      <c r="AE587" s="40"/>
      <c r="AF587" s="136" t="str">
        <f t="shared" ca="1" si="46"/>
        <v/>
      </c>
      <c r="AG587" s="127"/>
      <c r="AH587" s="127"/>
      <c r="AI587" s="127"/>
      <c r="AJ587" s="128"/>
      <c r="AK587" s="128"/>
      <c r="AL587" s="129"/>
    </row>
    <row r="588" spans="1:38" s="294" customFormat="1" ht="24.95" customHeight="1" x14ac:dyDescent="0.25">
      <c r="A588" s="140" t="str">
        <f t="shared" ref="A588:A609" si="49">IF(C588="","",CONCATENATE(16,MID(C588,1,3),B588))</f>
        <v>16REF253</v>
      </c>
      <c r="B588" s="192">
        <v>253</v>
      </c>
      <c r="C588" s="140" t="s">
        <v>39</v>
      </c>
      <c r="D588" s="141" t="s">
        <v>824</v>
      </c>
      <c r="E588" s="124" t="s">
        <v>289</v>
      </c>
      <c r="F588" s="124" t="s">
        <v>1960</v>
      </c>
      <c r="G588" s="251" t="s">
        <v>1965</v>
      </c>
      <c r="H588" s="443" t="s">
        <v>3513</v>
      </c>
      <c r="I588" s="126">
        <v>11140035</v>
      </c>
      <c r="J588" s="34" t="s">
        <v>180</v>
      </c>
      <c r="K588" s="126" t="s">
        <v>1962</v>
      </c>
      <c r="L588" s="126">
        <v>1815659</v>
      </c>
      <c r="M588" s="126" t="s">
        <v>61</v>
      </c>
      <c r="N588" s="265">
        <v>42703</v>
      </c>
      <c r="O588" s="260">
        <v>42712</v>
      </c>
      <c r="P588" s="106" t="s">
        <v>1964</v>
      </c>
      <c r="Q588" s="107"/>
      <c r="R588" s="244">
        <v>0</v>
      </c>
      <c r="S588" s="37" t="s">
        <v>2006</v>
      </c>
      <c r="T588" s="36">
        <f t="shared" ref="T588:T611" ca="1" si="50">IF(S588="","",IF(S588=0,"Empty",IF(O588="","",IF(O588,DAYS360(O588,TODAY())))))</f>
        <v>656</v>
      </c>
      <c r="U588" s="37" t="s">
        <v>1958</v>
      </c>
      <c r="V588" s="37"/>
      <c r="W588" s="38"/>
      <c r="X588" s="39"/>
      <c r="Y588" s="150"/>
      <c r="Z588" s="40"/>
      <c r="AA588" s="136" t="str">
        <f t="shared" ref="AA588:AA611" ca="1" si="51">IF(W588="","",IF(W588,DAYS360(W588,TODAY())))</f>
        <v/>
      </c>
      <c r="AB588" s="40"/>
      <c r="AC588" s="116"/>
      <c r="AD588" s="116"/>
      <c r="AE588" s="40"/>
      <c r="AF588" s="136" t="str">
        <f t="shared" ref="AF588:AF611" ca="1" si="52">IF(AB588="","",IF(AB588,DAYS360(AB588,TODAY())))</f>
        <v/>
      </c>
      <c r="AG588" s="127"/>
      <c r="AH588" s="127"/>
      <c r="AI588" s="127"/>
      <c r="AJ588" s="128"/>
      <c r="AK588" s="128"/>
      <c r="AL588" s="129"/>
    </row>
    <row r="589" spans="1:38" s="294" customFormat="1" ht="24.95" customHeight="1" x14ac:dyDescent="0.25">
      <c r="A589" s="140" t="str">
        <f>IF(C589="","",CONCATENATE(16,MID(C589,1,3),B589))</f>
        <v>16REF254</v>
      </c>
      <c r="B589" s="192">
        <v>254</v>
      </c>
      <c r="C589" s="140" t="s">
        <v>39</v>
      </c>
      <c r="D589" s="141" t="s">
        <v>824</v>
      </c>
      <c r="E589" s="124" t="s">
        <v>289</v>
      </c>
      <c r="F589" s="124" t="s">
        <v>656</v>
      </c>
      <c r="G589" s="251" t="s">
        <v>1961</v>
      </c>
      <c r="H589" s="443" t="s">
        <v>3513</v>
      </c>
      <c r="I589" s="126">
        <v>1815685</v>
      </c>
      <c r="J589" s="34" t="s">
        <v>180</v>
      </c>
      <c r="K589" s="126" t="s">
        <v>334</v>
      </c>
      <c r="L589" s="126">
        <v>11360039</v>
      </c>
      <c r="M589" s="126" t="s">
        <v>61</v>
      </c>
      <c r="N589" s="265">
        <v>42703</v>
      </c>
      <c r="O589" s="260">
        <v>42712</v>
      </c>
      <c r="P589" s="106" t="s">
        <v>1964</v>
      </c>
      <c r="Q589" s="107"/>
      <c r="R589" s="244">
        <v>0</v>
      </c>
      <c r="S589" s="37" t="s">
        <v>2006</v>
      </c>
      <c r="T589" s="36">
        <f t="shared" ca="1" si="50"/>
        <v>656</v>
      </c>
      <c r="U589" s="37" t="s">
        <v>1958</v>
      </c>
      <c r="V589" s="37"/>
      <c r="W589" s="38"/>
      <c r="X589" s="39"/>
      <c r="Y589" s="150"/>
      <c r="Z589" s="40"/>
      <c r="AA589" s="136" t="str">
        <f t="shared" ca="1" si="51"/>
        <v/>
      </c>
      <c r="AB589" s="40"/>
      <c r="AC589" s="116"/>
      <c r="AD589" s="116"/>
      <c r="AE589" s="40"/>
      <c r="AF589" s="136" t="str">
        <f t="shared" ca="1" si="52"/>
        <v/>
      </c>
      <c r="AG589" s="127"/>
      <c r="AH589" s="127"/>
      <c r="AI589" s="127"/>
      <c r="AJ589" s="128"/>
      <c r="AK589" s="128"/>
      <c r="AL589" s="129"/>
    </row>
    <row r="590" spans="1:38" s="294" customFormat="1" ht="24.95" customHeight="1" x14ac:dyDescent="0.25">
      <c r="A590" s="142" t="str">
        <f t="shared" si="49"/>
        <v>16SAM255</v>
      </c>
      <c r="B590" s="192">
        <v>255</v>
      </c>
      <c r="C590" s="142" t="s">
        <v>57</v>
      </c>
      <c r="D590" s="143" t="s">
        <v>824</v>
      </c>
      <c r="E590" s="124" t="s">
        <v>1949</v>
      </c>
      <c r="F590" s="124" t="s">
        <v>1966</v>
      </c>
      <c r="G590" s="251"/>
      <c r="H590" s="34" t="s">
        <v>43</v>
      </c>
      <c r="I590" s="126" t="s">
        <v>1967</v>
      </c>
      <c r="J590" s="47" t="s">
        <v>105</v>
      </c>
      <c r="K590" s="126" t="s">
        <v>61</v>
      </c>
      <c r="L590" s="126" t="s">
        <v>1968</v>
      </c>
      <c r="M590" s="126" t="s">
        <v>61</v>
      </c>
      <c r="N590" s="265">
        <v>42705</v>
      </c>
      <c r="O590" s="260">
        <v>42712</v>
      </c>
      <c r="P590" s="106" t="s">
        <v>1964</v>
      </c>
      <c r="Q590" s="107"/>
      <c r="R590" s="244"/>
      <c r="S590" s="37" t="s">
        <v>1964</v>
      </c>
      <c r="T590" s="36">
        <f t="shared" ca="1" si="50"/>
        <v>656</v>
      </c>
      <c r="U590" s="37" t="s">
        <v>1958</v>
      </c>
      <c r="V590" s="37"/>
      <c r="W590" s="38">
        <v>42712</v>
      </c>
      <c r="X590" s="39" t="s">
        <v>61</v>
      </c>
      <c r="Y590" s="150" t="s">
        <v>1993</v>
      </c>
      <c r="Z590" s="40" t="s">
        <v>61</v>
      </c>
      <c r="AA590" s="136">
        <f t="shared" ca="1" si="51"/>
        <v>656</v>
      </c>
      <c r="AB590" s="38">
        <v>42712</v>
      </c>
      <c r="AC590" s="39" t="s">
        <v>61</v>
      </c>
      <c r="AD590" s="150" t="s">
        <v>2005</v>
      </c>
      <c r="AE590" s="40" t="s">
        <v>61</v>
      </c>
      <c r="AF590" s="136">
        <f t="shared" ca="1" si="52"/>
        <v>656</v>
      </c>
      <c r="AG590" s="127"/>
      <c r="AH590" s="127"/>
      <c r="AI590" s="127"/>
      <c r="AJ590" s="128"/>
      <c r="AK590" s="128"/>
      <c r="AL590" s="129"/>
    </row>
    <row r="591" spans="1:38" s="294" customFormat="1" ht="24.95" customHeight="1" x14ac:dyDescent="0.25">
      <c r="A591" s="140" t="str">
        <f t="shared" si="49"/>
        <v>16REF256</v>
      </c>
      <c r="B591" s="192">
        <v>256</v>
      </c>
      <c r="C591" s="140" t="s">
        <v>39</v>
      </c>
      <c r="D591" s="141" t="s">
        <v>824</v>
      </c>
      <c r="E591" s="124" t="s">
        <v>289</v>
      </c>
      <c r="F591" s="124" t="s">
        <v>1969</v>
      </c>
      <c r="G591" s="251"/>
      <c r="H591" s="443" t="s">
        <v>3513</v>
      </c>
      <c r="I591" s="126">
        <v>1825733</v>
      </c>
      <c r="J591" s="34" t="s">
        <v>180</v>
      </c>
      <c r="K591" s="126" t="s">
        <v>1962</v>
      </c>
      <c r="L591" s="126">
        <v>11067030</v>
      </c>
      <c r="M591" s="126" t="s">
        <v>61</v>
      </c>
      <c r="N591" s="265">
        <v>42703</v>
      </c>
      <c r="O591" s="260">
        <v>42712</v>
      </c>
      <c r="P591" s="106" t="s">
        <v>1970</v>
      </c>
      <c r="Q591" s="107"/>
      <c r="R591" s="244"/>
      <c r="S591" s="37" t="s">
        <v>2007</v>
      </c>
      <c r="T591" s="36">
        <f t="shared" ca="1" si="50"/>
        <v>656</v>
      </c>
      <c r="U591" s="37" t="s">
        <v>1958</v>
      </c>
      <c r="V591" s="37"/>
      <c r="W591" s="38"/>
      <c r="X591" s="39"/>
      <c r="Y591" s="150"/>
      <c r="Z591" s="40"/>
      <c r="AA591" s="136" t="str">
        <f t="shared" ca="1" si="51"/>
        <v/>
      </c>
      <c r="AB591" s="40"/>
      <c r="AC591" s="116"/>
      <c r="AD591" s="116"/>
      <c r="AE591" s="40"/>
      <c r="AF591" s="136" t="str">
        <f t="shared" ca="1" si="52"/>
        <v/>
      </c>
      <c r="AG591" s="127"/>
      <c r="AH591" s="127"/>
      <c r="AI591" s="127"/>
      <c r="AJ591" s="128"/>
      <c r="AK591" s="128"/>
      <c r="AL591" s="129"/>
    </row>
    <row r="592" spans="1:38" s="294" customFormat="1" ht="24.95" customHeight="1" x14ac:dyDescent="0.25">
      <c r="A592" s="140" t="str">
        <f t="shared" si="49"/>
        <v>16REF257</v>
      </c>
      <c r="B592" s="192">
        <v>257</v>
      </c>
      <c r="C592" s="140" t="s">
        <v>39</v>
      </c>
      <c r="D592" s="141" t="s">
        <v>824</v>
      </c>
      <c r="E592" s="124" t="s">
        <v>289</v>
      </c>
      <c r="F592" s="124" t="s">
        <v>1971</v>
      </c>
      <c r="G592" s="251" t="s">
        <v>1972</v>
      </c>
      <c r="H592" s="443" t="s">
        <v>3513</v>
      </c>
      <c r="I592" s="126" t="s">
        <v>1973</v>
      </c>
      <c r="J592" s="47" t="s">
        <v>105</v>
      </c>
      <c r="K592" s="126">
        <v>458.9</v>
      </c>
      <c r="L592" s="126" t="s">
        <v>1974</v>
      </c>
      <c r="M592" s="104" t="s">
        <v>1975</v>
      </c>
      <c r="N592" s="265">
        <v>42703</v>
      </c>
      <c r="O592" s="260">
        <v>42712</v>
      </c>
      <c r="P592" s="106" t="s">
        <v>183</v>
      </c>
      <c r="Q592" s="107" t="s">
        <v>1976</v>
      </c>
      <c r="R592" s="244"/>
      <c r="S592" s="37" t="s">
        <v>2003</v>
      </c>
      <c r="T592" s="36">
        <f t="shared" ca="1" si="50"/>
        <v>656</v>
      </c>
      <c r="U592" s="37" t="s">
        <v>1958</v>
      </c>
      <c r="V592" s="37"/>
      <c r="W592" s="38">
        <v>42712</v>
      </c>
      <c r="X592" s="39" t="s">
        <v>2004</v>
      </c>
      <c r="Y592" s="150" t="s">
        <v>1462</v>
      </c>
      <c r="Z592" s="40" t="s">
        <v>49</v>
      </c>
      <c r="AA592" s="136">
        <f t="shared" ca="1" si="51"/>
        <v>656</v>
      </c>
      <c r="AB592" s="40"/>
      <c r="AC592" s="116"/>
      <c r="AD592" s="116"/>
      <c r="AE592" s="40"/>
      <c r="AF592" s="136" t="str">
        <f t="shared" ca="1" si="52"/>
        <v/>
      </c>
      <c r="AG592" s="127"/>
      <c r="AH592" s="127"/>
      <c r="AI592" s="127"/>
      <c r="AJ592" s="128"/>
      <c r="AK592" s="128"/>
      <c r="AL592" s="129"/>
    </row>
    <row r="593" spans="1:38" s="294" customFormat="1" ht="24.95" customHeight="1" x14ac:dyDescent="0.25">
      <c r="A593" s="140" t="str">
        <f t="shared" si="49"/>
        <v>16REF258</v>
      </c>
      <c r="B593" s="193">
        <v>258</v>
      </c>
      <c r="C593" s="140" t="s">
        <v>39</v>
      </c>
      <c r="D593" s="141" t="s">
        <v>824</v>
      </c>
      <c r="E593" s="124" t="s">
        <v>289</v>
      </c>
      <c r="F593" s="124" t="s">
        <v>1977</v>
      </c>
      <c r="G593" s="251" t="s">
        <v>1978</v>
      </c>
      <c r="H593" s="443" t="s">
        <v>3513</v>
      </c>
      <c r="I593" s="126">
        <v>1771598</v>
      </c>
      <c r="J593" s="47" t="s">
        <v>105</v>
      </c>
      <c r="K593" s="126" t="s">
        <v>61</v>
      </c>
      <c r="L593" s="126" t="s">
        <v>1979</v>
      </c>
      <c r="M593" s="104" t="s">
        <v>61</v>
      </c>
      <c r="N593" s="265">
        <v>42703</v>
      </c>
      <c r="O593" s="260">
        <v>42712</v>
      </c>
      <c r="P593" s="106" t="s">
        <v>1980</v>
      </c>
      <c r="Q593" s="107"/>
      <c r="R593" s="244"/>
      <c r="S593" s="37" t="s">
        <v>2008</v>
      </c>
      <c r="T593" s="36">
        <f t="shared" ca="1" si="50"/>
        <v>656</v>
      </c>
      <c r="U593" s="37" t="s">
        <v>1958</v>
      </c>
      <c r="V593" s="37"/>
      <c r="W593" s="38"/>
      <c r="X593" s="39"/>
      <c r="Y593" s="150"/>
      <c r="Z593" s="40"/>
      <c r="AA593" s="136" t="str">
        <f t="shared" ca="1" si="51"/>
        <v/>
      </c>
      <c r="AB593" s="40"/>
      <c r="AC593" s="116"/>
      <c r="AD593" s="116"/>
      <c r="AE593" s="40"/>
      <c r="AF593" s="136" t="str">
        <f t="shared" ca="1" si="52"/>
        <v/>
      </c>
      <c r="AG593" s="127"/>
      <c r="AH593" s="127"/>
      <c r="AI593" s="127"/>
      <c r="AJ593" s="128"/>
      <c r="AK593" s="128"/>
      <c r="AL593" s="129"/>
    </row>
    <row r="594" spans="1:38" s="294" customFormat="1" ht="24.95" customHeight="1" x14ac:dyDescent="0.25">
      <c r="A594" s="140" t="str">
        <f t="shared" si="49"/>
        <v>16REF259</v>
      </c>
      <c r="B594" s="193">
        <v>259</v>
      </c>
      <c r="C594" s="140" t="s">
        <v>39</v>
      </c>
      <c r="D594" s="141" t="s">
        <v>824</v>
      </c>
      <c r="E594" s="124" t="s">
        <v>289</v>
      </c>
      <c r="F594" s="124" t="s">
        <v>1981</v>
      </c>
      <c r="G594" s="251"/>
      <c r="H594" s="443" t="s">
        <v>3513</v>
      </c>
      <c r="I594" s="126">
        <v>1814145</v>
      </c>
      <c r="J594" s="47" t="s">
        <v>105</v>
      </c>
      <c r="K594" s="126" t="s">
        <v>1963</v>
      </c>
      <c r="L594" s="126">
        <v>25300054</v>
      </c>
      <c r="M594" s="104" t="s">
        <v>61</v>
      </c>
      <c r="N594" s="265">
        <v>42703</v>
      </c>
      <c r="O594" s="260">
        <v>42716</v>
      </c>
      <c r="P594" s="106" t="s">
        <v>1964</v>
      </c>
      <c r="Q594" s="107"/>
      <c r="R594" s="244"/>
      <c r="S594" s="37">
        <v>0</v>
      </c>
      <c r="T594" s="36" t="str">
        <f t="shared" ca="1" si="50"/>
        <v>Empty</v>
      </c>
      <c r="U594" s="37" t="s">
        <v>1958</v>
      </c>
      <c r="V594" s="37"/>
      <c r="W594" s="38"/>
      <c r="X594" s="39"/>
      <c r="Y594" s="150"/>
      <c r="Z594" s="40"/>
      <c r="AA594" s="136" t="str">
        <f t="shared" ca="1" si="51"/>
        <v/>
      </c>
      <c r="AB594" s="40"/>
      <c r="AC594" s="116"/>
      <c r="AD594" s="116"/>
      <c r="AE594" s="40"/>
      <c r="AF594" s="136" t="str">
        <f t="shared" ca="1" si="52"/>
        <v/>
      </c>
      <c r="AG594" s="127"/>
      <c r="AH594" s="127"/>
      <c r="AI594" s="127"/>
      <c r="AJ594" s="128"/>
      <c r="AK594" s="128"/>
      <c r="AL594" s="129"/>
    </row>
    <row r="595" spans="1:38" s="294" customFormat="1" ht="24.95" customHeight="1" x14ac:dyDescent="0.25">
      <c r="A595" s="142" t="str">
        <f t="shared" si="49"/>
        <v>16SAM260</v>
      </c>
      <c r="B595" s="192">
        <v>260</v>
      </c>
      <c r="C595" s="142" t="s">
        <v>57</v>
      </c>
      <c r="D595" s="143" t="s">
        <v>40</v>
      </c>
      <c r="E595" s="124" t="s">
        <v>289</v>
      </c>
      <c r="F595" s="124" t="s">
        <v>873</v>
      </c>
      <c r="G595" s="251" t="s">
        <v>1094</v>
      </c>
      <c r="H595" s="34" t="s">
        <v>112</v>
      </c>
      <c r="I595" s="126" t="s">
        <v>1908</v>
      </c>
      <c r="J595" s="47" t="s">
        <v>105</v>
      </c>
      <c r="K595" s="126">
        <v>1197.3499999999999</v>
      </c>
      <c r="L595" s="126">
        <v>1843</v>
      </c>
      <c r="M595" s="104" t="s">
        <v>876</v>
      </c>
      <c r="N595" s="265">
        <v>42711</v>
      </c>
      <c r="O595" s="260">
        <v>42711</v>
      </c>
      <c r="P595" s="106" t="s">
        <v>194</v>
      </c>
      <c r="Q595" s="107" t="s">
        <v>1091</v>
      </c>
      <c r="R595" s="290">
        <v>0.79</v>
      </c>
      <c r="S595" s="37">
        <v>0</v>
      </c>
      <c r="T595" s="36" t="str">
        <f t="shared" ca="1" si="50"/>
        <v>Empty</v>
      </c>
      <c r="U595" s="37" t="s">
        <v>1929</v>
      </c>
      <c r="V595" s="37"/>
      <c r="W595" s="38">
        <v>42711</v>
      </c>
      <c r="X595" s="39" t="s">
        <v>50</v>
      </c>
      <c r="Y595" s="150" t="s">
        <v>2001</v>
      </c>
      <c r="Z595" s="40" t="s">
        <v>49</v>
      </c>
      <c r="AA595" s="136">
        <f t="shared" ca="1" si="51"/>
        <v>657</v>
      </c>
      <c r="AB595" s="40"/>
      <c r="AC595" s="116"/>
      <c r="AD595" s="116"/>
      <c r="AE595" s="40"/>
      <c r="AF595" s="136" t="str">
        <f t="shared" ca="1" si="52"/>
        <v/>
      </c>
      <c r="AG595" s="127"/>
      <c r="AH595" s="127"/>
      <c r="AI595" s="127"/>
      <c r="AJ595" s="128"/>
      <c r="AK595" s="128"/>
      <c r="AL595" s="129"/>
    </row>
    <row r="596" spans="1:38" s="294" customFormat="1" ht="24.95" customHeight="1" x14ac:dyDescent="0.25">
      <c r="A596" s="142" t="str">
        <f t="shared" si="49"/>
        <v>16SAM261</v>
      </c>
      <c r="B596" s="192">
        <v>261</v>
      </c>
      <c r="C596" s="142" t="s">
        <v>57</v>
      </c>
      <c r="D596" s="143" t="s">
        <v>40</v>
      </c>
      <c r="E596" s="124" t="s">
        <v>289</v>
      </c>
      <c r="F596" s="124" t="s">
        <v>873</v>
      </c>
      <c r="G596" s="251" t="s">
        <v>1094</v>
      </c>
      <c r="H596" s="34" t="s">
        <v>112</v>
      </c>
      <c r="I596" s="126" t="s">
        <v>1908</v>
      </c>
      <c r="J596" s="47" t="s">
        <v>105</v>
      </c>
      <c r="K596" s="126">
        <v>1197.3499999999999</v>
      </c>
      <c r="L596" s="126">
        <v>1843</v>
      </c>
      <c r="M596" s="104" t="s">
        <v>876</v>
      </c>
      <c r="N596" s="265">
        <v>42711</v>
      </c>
      <c r="O596" s="260">
        <v>42725</v>
      </c>
      <c r="P596" s="106" t="s">
        <v>194</v>
      </c>
      <c r="Q596" s="107" t="s">
        <v>1091</v>
      </c>
      <c r="R596" s="290">
        <v>0.79</v>
      </c>
      <c r="S596" s="37">
        <v>0</v>
      </c>
      <c r="T596" s="36" t="str">
        <f t="shared" ca="1" si="50"/>
        <v>Empty</v>
      </c>
      <c r="U596" s="37" t="s">
        <v>1929</v>
      </c>
      <c r="V596" s="37"/>
      <c r="W596" s="38">
        <v>42725</v>
      </c>
      <c r="X596" s="39" t="s">
        <v>50</v>
      </c>
      <c r="Y596" s="150" t="s">
        <v>2001</v>
      </c>
      <c r="Z596" s="40" t="s">
        <v>49</v>
      </c>
      <c r="AA596" s="136">
        <f t="shared" ca="1" si="51"/>
        <v>643</v>
      </c>
      <c r="AB596" s="40"/>
      <c r="AC596" s="116"/>
      <c r="AD596" s="116"/>
      <c r="AE596" s="40"/>
      <c r="AF596" s="136" t="str">
        <f t="shared" ca="1" si="52"/>
        <v/>
      </c>
      <c r="AG596" s="127"/>
      <c r="AH596" s="127"/>
      <c r="AI596" s="127"/>
      <c r="AJ596" s="128"/>
      <c r="AK596" s="128"/>
      <c r="AL596" s="129"/>
    </row>
    <row r="597" spans="1:38" s="294" customFormat="1" ht="24.95" customHeight="1" x14ac:dyDescent="0.25">
      <c r="A597" s="142" t="str">
        <f t="shared" si="49"/>
        <v>16SAM262</v>
      </c>
      <c r="B597" s="192">
        <v>262</v>
      </c>
      <c r="C597" s="142" t="s">
        <v>57</v>
      </c>
      <c r="D597" s="143" t="s">
        <v>40</v>
      </c>
      <c r="E597" s="124" t="s">
        <v>1373</v>
      </c>
      <c r="F597" s="124" t="s">
        <v>1987</v>
      </c>
      <c r="G597" s="251" t="s">
        <v>1988</v>
      </c>
      <c r="H597" s="34" t="s">
        <v>112</v>
      </c>
      <c r="I597" s="126" t="s">
        <v>1989</v>
      </c>
      <c r="J597" s="47" t="s">
        <v>180</v>
      </c>
      <c r="K597" s="126">
        <v>248.32</v>
      </c>
      <c r="L597" s="126">
        <v>610</v>
      </c>
      <c r="M597" s="104" t="s">
        <v>1990</v>
      </c>
      <c r="N597" s="265">
        <v>42711</v>
      </c>
      <c r="O597" s="260">
        <v>42713</v>
      </c>
      <c r="P597" s="106" t="s">
        <v>124</v>
      </c>
      <c r="Q597" s="107" t="s">
        <v>1991</v>
      </c>
      <c r="R597" s="289">
        <v>0.98199999999999998</v>
      </c>
      <c r="S597" s="37">
        <f>55.3-19</f>
        <v>36.299999999999997</v>
      </c>
      <c r="T597" s="36">
        <f t="shared" ca="1" si="50"/>
        <v>655</v>
      </c>
      <c r="U597" s="37" t="s">
        <v>1782</v>
      </c>
      <c r="V597" s="37"/>
      <c r="W597" s="38">
        <v>42731</v>
      </c>
      <c r="X597" s="39" t="s">
        <v>248</v>
      </c>
      <c r="Y597" s="150" t="s">
        <v>2009</v>
      </c>
      <c r="Z597" s="40" t="s">
        <v>212</v>
      </c>
      <c r="AA597" s="136">
        <f t="shared" ca="1" si="51"/>
        <v>637</v>
      </c>
      <c r="AB597" s="40"/>
      <c r="AC597" s="116"/>
      <c r="AD597" s="116"/>
      <c r="AE597" s="40"/>
      <c r="AF597" s="136" t="str">
        <f t="shared" ca="1" si="52"/>
        <v/>
      </c>
      <c r="AG597" s="127"/>
      <c r="AH597" s="127"/>
      <c r="AI597" s="127"/>
      <c r="AJ597" s="128"/>
      <c r="AK597" s="128"/>
      <c r="AL597" s="129"/>
    </row>
    <row r="598" spans="1:38" s="294" customFormat="1" ht="24.95" customHeight="1" x14ac:dyDescent="0.25">
      <c r="A598" s="142" t="str">
        <f t="shared" si="49"/>
        <v>16SAM263</v>
      </c>
      <c r="B598" s="192">
        <v>263</v>
      </c>
      <c r="C598" s="142" t="s">
        <v>57</v>
      </c>
      <c r="D598" s="143" t="s">
        <v>40</v>
      </c>
      <c r="E598" s="124" t="s">
        <v>230</v>
      </c>
      <c r="F598" s="124" t="s">
        <v>1992</v>
      </c>
      <c r="G598" s="251"/>
      <c r="H598" s="34" t="s">
        <v>60</v>
      </c>
      <c r="I598" s="126"/>
      <c r="J598" s="47" t="s">
        <v>45</v>
      </c>
      <c r="K598" s="126">
        <v>360.4</v>
      </c>
      <c r="L598" s="126" t="s">
        <v>61</v>
      </c>
      <c r="M598" s="104" t="s">
        <v>61</v>
      </c>
      <c r="N598" s="265">
        <v>42711</v>
      </c>
      <c r="O598" s="260">
        <v>42712</v>
      </c>
      <c r="P598" s="106" t="s">
        <v>86</v>
      </c>
      <c r="Q598" s="107" t="s">
        <v>1056</v>
      </c>
      <c r="R598" s="244"/>
      <c r="S598" s="37">
        <v>0</v>
      </c>
      <c r="T598" s="36" t="str">
        <f t="shared" ca="1" si="50"/>
        <v>Empty</v>
      </c>
      <c r="U598" s="37" t="s">
        <v>1866</v>
      </c>
      <c r="V598" s="37"/>
      <c r="W598" s="38">
        <v>42712</v>
      </c>
      <c r="X598" s="39" t="s">
        <v>248</v>
      </c>
      <c r="Y598" s="150" t="s">
        <v>2002</v>
      </c>
      <c r="Z598" s="40" t="s">
        <v>212</v>
      </c>
      <c r="AA598" s="136">
        <f t="shared" ca="1" si="51"/>
        <v>656</v>
      </c>
      <c r="AB598" s="38">
        <v>42712</v>
      </c>
      <c r="AC598" s="39" t="s">
        <v>248</v>
      </c>
      <c r="AD598" s="150" t="s">
        <v>1830</v>
      </c>
      <c r="AE598" s="40" t="s">
        <v>212</v>
      </c>
      <c r="AF598" s="136">
        <f t="shared" ca="1" si="52"/>
        <v>656</v>
      </c>
      <c r="AG598" s="127"/>
      <c r="AH598" s="127"/>
      <c r="AI598" s="127"/>
      <c r="AJ598" s="128"/>
      <c r="AK598" s="128"/>
      <c r="AL598" s="129"/>
    </row>
    <row r="599" spans="1:38" s="294" customFormat="1" ht="24.95" customHeight="1" x14ac:dyDescent="0.25">
      <c r="A599" s="142" t="str">
        <f t="shared" si="49"/>
        <v>16SAM264</v>
      </c>
      <c r="B599" s="192">
        <v>264</v>
      </c>
      <c r="C599" s="142" t="s">
        <v>57</v>
      </c>
      <c r="D599" s="143" t="s">
        <v>824</v>
      </c>
      <c r="E599" s="124" t="s">
        <v>289</v>
      </c>
      <c r="F599" s="124" t="s">
        <v>2010</v>
      </c>
      <c r="G599" s="251"/>
      <c r="H599" s="34" t="s">
        <v>43</v>
      </c>
      <c r="I599" s="126" t="s">
        <v>2011</v>
      </c>
      <c r="J599" s="47" t="s">
        <v>105</v>
      </c>
      <c r="K599" s="126">
        <v>480.9</v>
      </c>
      <c r="L599" s="126" t="s">
        <v>2012</v>
      </c>
      <c r="M599" s="104" t="s">
        <v>2013</v>
      </c>
      <c r="N599" s="265">
        <v>42716</v>
      </c>
      <c r="O599" s="260">
        <v>42716</v>
      </c>
      <c r="P599" s="106" t="s">
        <v>497</v>
      </c>
      <c r="Q599" s="107" t="s">
        <v>2014</v>
      </c>
      <c r="R599" s="244"/>
      <c r="S599" s="37" t="s">
        <v>2022</v>
      </c>
      <c r="T599" s="36">
        <f t="shared" ca="1" si="50"/>
        <v>652</v>
      </c>
      <c r="U599" s="37" t="s">
        <v>1958</v>
      </c>
      <c r="V599" s="37"/>
      <c r="W599" s="38">
        <v>42716</v>
      </c>
      <c r="X599" s="39" t="s">
        <v>2023</v>
      </c>
      <c r="Y599" s="150" t="s">
        <v>2020</v>
      </c>
      <c r="Z599" s="40" t="s">
        <v>49</v>
      </c>
      <c r="AA599" s="136">
        <f t="shared" ca="1" si="51"/>
        <v>652</v>
      </c>
      <c r="AB599" s="40"/>
      <c r="AC599" s="116"/>
      <c r="AD599" s="116"/>
      <c r="AE599" s="40"/>
      <c r="AF599" s="136" t="str">
        <f t="shared" ca="1" si="52"/>
        <v/>
      </c>
      <c r="AG599" s="127"/>
      <c r="AH599" s="127"/>
      <c r="AI599" s="127"/>
      <c r="AJ599" s="128"/>
      <c r="AK599" s="128"/>
      <c r="AL599" s="129"/>
    </row>
    <row r="600" spans="1:38" s="294" customFormat="1" ht="24.95" customHeight="1" x14ac:dyDescent="0.25">
      <c r="A600" s="140" t="str">
        <f t="shared" si="49"/>
        <v>16REF265</v>
      </c>
      <c r="B600" s="193">
        <v>265</v>
      </c>
      <c r="C600" s="140" t="s">
        <v>39</v>
      </c>
      <c r="D600" s="141" t="s">
        <v>824</v>
      </c>
      <c r="E600" s="124" t="s">
        <v>41</v>
      </c>
      <c r="F600" s="124" t="s">
        <v>2015</v>
      </c>
      <c r="G600" s="251"/>
      <c r="H600" s="34" t="s">
        <v>43</v>
      </c>
      <c r="I600" s="126" t="s">
        <v>2016</v>
      </c>
      <c r="J600" s="47" t="s">
        <v>45</v>
      </c>
      <c r="K600" s="126"/>
      <c r="L600" s="126" t="s">
        <v>2017</v>
      </c>
      <c r="M600" s="104" t="s">
        <v>2018</v>
      </c>
      <c r="N600" s="265">
        <v>42716</v>
      </c>
      <c r="O600" s="260">
        <v>42719</v>
      </c>
      <c r="P600" s="106" t="s">
        <v>2019</v>
      </c>
      <c r="Q600" s="107"/>
      <c r="R600" s="267">
        <v>0.997</v>
      </c>
      <c r="S600" s="37" t="s">
        <v>2024</v>
      </c>
      <c r="T600" s="36">
        <f t="shared" ca="1" si="50"/>
        <v>649</v>
      </c>
      <c r="U600" s="37" t="s">
        <v>1958</v>
      </c>
      <c r="V600" s="37"/>
      <c r="W600" s="38"/>
      <c r="X600" s="39"/>
      <c r="Y600" s="150"/>
      <c r="Z600" s="40"/>
      <c r="AA600" s="136" t="str">
        <f t="shared" ca="1" si="51"/>
        <v/>
      </c>
      <c r="AB600" s="40"/>
      <c r="AC600" s="116"/>
      <c r="AD600" s="116"/>
      <c r="AE600" s="40"/>
      <c r="AF600" s="136" t="str">
        <f t="shared" ca="1" si="52"/>
        <v/>
      </c>
      <c r="AG600" s="127"/>
      <c r="AH600" s="127"/>
      <c r="AI600" s="127"/>
      <c r="AJ600" s="128"/>
      <c r="AK600" s="128"/>
      <c r="AL600" s="129"/>
    </row>
    <row r="601" spans="1:38" s="294" customFormat="1" ht="24.95" customHeight="1" x14ac:dyDescent="0.25">
      <c r="A601" s="142" t="str">
        <f t="shared" si="49"/>
        <v>16SAM266</v>
      </c>
      <c r="B601" s="192">
        <v>266</v>
      </c>
      <c r="C601" s="142" t="s">
        <v>57</v>
      </c>
      <c r="D601" s="143" t="s">
        <v>40</v>
      </c>
      <c r="E601" s="124" t="s">
        <v>230</v>
      </c>
      <c r="F601" s="124" t="s">
        <v>2021</v>
      </c>
      <c r="G601" s="251"/>
      <c r="H601" s="34" t="s">
        <v>60</v>
      </c>
      <c r="I601" s="126" t="s">
        <v>61</v>
      </c>
      <c r="J601" s="47" t="s">
        <v>45</v>
      </c>
      <c r="K601" s="126">
        <v>416.64</v>
      </c>
      <c r="L601" s="126" t="s">
        <v>61</v>
      </c>
      <c r="M601" s="104" t="s">
        <v>61</v>
      </c>
      <c r="N601" s="265">
        <v>42723</v>
      </c>
      <c r="O601" s="260">
        <v>42726</v>
      </c>
      <c r="P601" s="106" t="s">
        <v>86</v>
      </c>
      <c r="Q601" s="107" t="s">
        <v>1056</v>
      </c>
      <c r="R601" s="244"/>
      <c r="S601" s="37">
        <v>0</v>
      </c>
      <c r="T601" s="36" t="str">
        <f t="shared" ca="1" si="50"/>
        <v>Empty</v>
      </c>
      <c r="U601" s="37" t="s">
        <v>1866</v>
      </c>
      <c r="V601" s="37"/>
      <c r="W601" s="38">
        <v>42726</v>
      </c>
      <c r="X601" s="39" t="s">
        <v>248</v>
      </c>
      <c r="Y601" s="150" t="s">
        <v>2026</v>
      </c>
      <c r="Z601" s="40" t="s">
        <v>212</v>
      </c>
      <c r="AA601" s="136">
        <f t="shared" ca="1" si="51"/>
        <v>642</v>
      </c>
      <c r="AB601" s="40"/>
      <c r="AC601" s="116"/>
      <c r="AD601" s="116"/>
      <c r="AE601" s="40"/>
      <c r="AF601" s="136" t="str">
        <f t="shared" ca="1" si="52"/>
        <v/>
      </c>
      <c r="AG601" s="127"/>
      <c r="AH601" s="127"/>
      <c r="AI601" s="127"/>
      <c r="AJ601" s="128"/>
      <c r="AK601" s="128"/>
      <c r="AL601" s="129"/>
    </row>
    <row r="602" spans="1:38" s="294" customFormat="1" ht="24.95" customHeight="1" x14ac:dyDescent="0.25">
      <c r="A602" s="142" t="str">
        <f t="shared" si="49"/>
        <v>16SAM267</v>
      </c>
      <c r="B602" s="192">
        <v>267</v>
      </c>
      <c r="C602" s="142" t="s">
        <v>57</v>
      </c>
      <c r="D602" s="143" t="s">
        <v>40</v>
      </c>
      <c r="E602" s="124" t="s">
        <v>289</v>
      </c>
      <c r="F602" s="124" t="s">
        <v>791</v>
      </c>
      <c r="G602" s="251"/>
      <c r="H602" s="34" t="s">
        <v>112</v>
      </c>
      <c r="I602" s="126" t="s">
        <v>1902</v>
      </c>
      <c r="J602" s="47" t="s">
        <v>105</v>
      </c>
      <c r="K602" s="126">
        <v>1019.24</v>
      </c>
      <c r="L602" s="126">
        <v>1818</v>
      </c>
      <c r="M602" s="104" t="s">
        <v>906</v>
      </c>
      <c r="N602" s="265">
        <v>42724</v>
      </c>
      <c r="O602" s="260">
        <v>42775</v>
      </c>
      <c r="P602" s="106" t="s">
        <v>194</v>
      </c>
      <c r="Q602" s="107" t="s">
        <v>2025</v>
      </c>
      <c r="R602" s="267">
        <v>0.86499999999999999</v>
      </c>
      <c r="S602" s="37">
        <v>0</v>
      </c>
      <c r="T602" s="36" t="str">
        <f t="shared" ca="1" si="50"/>
        <v>Empty</v>
      </c>
      <c r="U602" s="37" t="s">
        <v>1929</v>
      </c>
      <c r="V602" s="37"/>
      <c r="W602" s="38"/>
      <c r="X602" s="39"/>
      <c r="Y602" s="150"/>
      <c r="Z602" s="40"/>
      <c r="AA602" s="136" t="str">
        <f t="shared" ca="1" si="51"/>
        <v/>
      </c>
      <c r="AB602" s="40"/>
      <c r="AC602" s="116"/>
      <c r="AD602" s="116"/>
      <c r="AE602" s="40"/>
      <c r="AF602" s="136" t="str">
        <f t="shared" ca="1" si="52"/>
        <v/>
      </c>
      <c r="AG602" s="127"/>
      <c r="AH602" s="127"/>
      <c r="AI602" s="127"/>
      <c r="AJ602" s="128"/>
      <c r="AK602" s="128"/>
      <c r="AL602" s="129"/>
    </row>
    <row r="603" spans="1:38" s="294" customFormat="1" ht="24.95" customHeight="1" x14ac:dyDescent="0.25">
      <c r="A603" s="142" t="str">
        <f t="shared" si="49"/>
        <v>16SAM268</v>
      </c>
      <c r="B603" s="192">
        <v>268</v>
      </c>
      <c r="C603" s="142" t="s">
        <v>57</v>
      </c>
      <c r="D603" s="143" t="s">
        <v>40</v>
      </c>
      <c r="E603" s="124" t="s">
        <v>289</v>
      </c>
      <c r="F603" s="124" t="s">
        <v>791</v>
      </c>
      <c r="G603" s="251"/>
      <c r="H603" s="34" t="s">
        <v>112</v>
      </c>
      <c r="I603" s="126" t="s">
        <v>1902</v>
      </c>
      <c r="J603" s="47" t="s">
        <v>105</v>
      </c>
      <c r="K603" s="126">
        <v>1019.24</v>
      </c>
      <c r="L603" s="126">
        <v>1818</v>
      </c>
      <c r="M603" s="104" t="s">
        <v>906</v>
      </c>
      <c r="N603" s="265">
        <v>42724</v>
      </c>
      <c r="O603" s="260">
        <v>42852</v>
      </c>
      <c r="P603" s="106" t="s">
        <v>194</v>
      </c>
      <c r="Q603" s="107" t="s">
        <v>2025</v>
      </c>
      <c r="R603" s="267">
        <v>0.86499999999999999</v>
      </c>
      <c r="S603" s="37">
        <v>0</v>
      </c>
      <c r="T603" s="36" t="str">
        <f t="shared" ca="1" si="50"/>
        <v>Empty</v>
      </c>
      <c r="U603" s="37" t="s">
        <v>1929</v>
      </c>
      <c r="V603" s="37"/>
      <c r="W603" s="38"/>
      <c r="X603" s="39"/>
      <c r="Y603" s="150"/>
      <c r="Z603" s="40"/>
      <c r="AA603" s="136" t="str">
        <f t="shared" ca="1" si="51"/>
        <v/>
      </c>
      <c r="AB603" s="40"/>
      <c r="AC603" s="116"/>
      <c r="AD603" s="116"/>
      <c r="AE603" s="40"/>
      <c r="AF603" s="136" t="str">
        <f t="shared" ca="1" si="52"/>
        <v/>
      </c>
      <c r="AG603" s="127"/>
      <c r="AH603" s="127"/>
      <c r="AI603" s="127"/>
      <c r="AJ603" s="128"/>
      <c r="AK603" s="128"/>
      <c r="AL603" s="129"/>
    </row>
    <row r="604" spans="1:38" s="294" customFormat="1" ht="24.95" customHeight="1" x14ac:dyDescent="0.25">
      <c r="A604" s="142" t="str">
        <f t="shared" si="49"/>
        <v>16SAM269</v>
      </c>
      <c r="B604" s="192">
        <v>269</v>
      </c>
      <c r="C604" s="142" t="s">
        <v>57</v>
      </c>
      <c r="D604" s="143" t="s">
        <v>40</v>
      </c>
      <c r="E604" s="124" t="s">
        <v>289</v>
      </c>
      <c r="F604" s="124" t="s">
        <v>873</v>
      </c>
      <c r="G604" s="251"/>
      <c r="H604" s="34" t="s">
        <v>112</v>
      </c>
      <c r="I604" s="126" t="s">
        <v>1908</v>
      </c>
      <c r="J604" s="47" t="s">
        <v>105</v>
      </c>
      <c r="K604" s="126">
        <v>1197.3499999999999</v>
      </c>
      <c r="L604" s="126">
        <v>1843</v>
      </c>
      <c r="M604" s="104" t="s">
        <v>876</v>
      </c>
      <c r="N604" s="265">
        <v>42724</v>
      </c>
      <c r="O604" s="260">
        <v>42725</v>
      </c>
      <c r="P604" s="106" t="s">
        <v>194</v>
      </c>
      <c r="Q604" s="107" t="s">
        <v>1091</v>
      </c>
      <c r="R604" s="266">
        <v>0.79</v>
      </c>
      <c r="S604" s="37">
        <v>0</v>
      </c>
      <c r="T604" s="36" t="str">
        <f t="shared" ca="1" si="50"/>
        <v>Empty</v>
      </c>
      <c r="U604" s="37" t="s">
        <v>1929</v>
      </c>
      <c r="V604" s="37"/>
      <c r="W604" s="38">
        <v>42725</v>
      </c>
      <c r="X604" s="39" t="s">
        <v>50</v>
      </c>
      <c r="Y604" s="150" t="s">
        <v>2001</v>
      </c>
      <c r="Z604" s="40" t="s">
        <v>49</v>
      </c>
      <c r="AA604" s="136">
        <f t="shared" ca="1" si="51"/>
        <v>643</v>
      </c>
      <c r="AB604" s="40"/>
      <c r="AC604" s="116"/>
      <c r="AD604" s="116"/>
      <c r="AE604" s="40"/>
      <c r="AF604" s="136" t="str">
        <f t="shared" ca="1" si="52"/>
        <v/>
      </c>
      <c r="AG604" s="127"/>
      <c r="AH604" s="127"/>
      <c r="AI604" s="127"/>
      <c r="AJ604" s="128"/>
      <c r="AK604" s="128"/>
      <c r="AL604" s="129"/>
    </row>
    <row r="605" spans="1:38" s="294" customFormat="1" ht="24.95" customHeight="1" x14ac:dyDescent="0.25">
      <c r="A605" s="142" t="str">
        <f t="shared" si="49"/>
        <v>16SAM270</v>
      </c>
      <c r="B605" s="192">
        <v>270</v>
      </c>
      <c r="C605" s="142" t="s">
        <v>57</v>
      </c>
      <c r="D605" s="143" t="s">
        <v>40</v>
      </c>
      <c r="E605" s="124" t="s">
        <v>289</v>
      </c>
      <c r="F605" s="124" t="s">
        <v>873</v>
      </c>
      <c r="G605" s="251"/>
      <c r="H605" s="34" t="s">
        <v>112</v>
      </c>
      <c r="I605" s="126" t="s">
        <v>1908</v>
      </c>
      <c r="J605" s="47" t="s">
        <v>105</v>
      </c>
      <c r="K605" s="126">
        <v>1197.3499999999999</v>
      </c>
      <c r="L605" s="126">
        <v>1843</v>
      </c>
      <c r="M605" s="104" t="s">
        <v>876</v>
      </c>
      <c r="N605" s="265">
        <v>42727</v>
      </c>
      <c r="O605" s="260">
        <v>42730</v>
      </c>
      <c r="P605" s="106" t="s">
        <v>194</v>
      </c>
      <c r="Q605" s="107" t="s">
        <v>1091</v>
      </c>
      <c r="R605" s="266">
        <v>0.79</v>
      </c>
      <c r="S605" s="37">
        <v>0</v>
      </c>
      <c r="T605" s="36" t="str">
        <f t="shared" ca="1" si="50"/>
        <v>Empty</v>
      </c>
      <c r="U605" s="37" t="s">
        <v>1929</v>
      </c>
      <c r="V605" s="37"/>
      <c r="W605" s="38">
        <v>42730</v>
      </c>
      <c r="X605" s="39" t="s">
        <v>50</v>
      </c>
      <c r="Y605" s="116" t="s">
        <v>1217</v>
      </c>
      <c r="Z605" s="40" t="s">
        <v>49</v>
      </c>
      <c r="AA605" s="136">
        <f t="shared" ca="1" si="51"/>
        <v>638</v>
      </c>
      <c r="AB605" s="40"/>
      <c r="AC605" s="116"/>
      <c r="AD605" s="116"/>
      <c r="AE605" s="40"/>
      <c r="AF605" s="136" t="str">
        <f t="shared" ca="1" si="52"/>
        <v/>
      </c>
      <c r="AG605" s="127"/>
      <c r="AH605" s="127"/>
      <c r="AI605" s="127"/>
      <c r="AJ605" s="128"/>
      <c r="AK605" s="128"/>
      <c r="AL605" s="129"/>
    </row>
    <row r="606" spans="1:38" s="294" customFormat="1" ht="24.95" customHeight="1" x14ac:dyDescent="0.25">
      <c r="A606" s="142" t="str">
        <f t="shared" si="49"/>
        <v>16SAM271</v>
      </c>
      <c r="B606" s="192">
        <v>271</v>
      </c>
      <c r="C606" s="142" t="s">
        <v>57</v>
      </c>
      <c r="D606" s="143" t="s">
        <v>40</v>
      </c>
      <c r="E606" s="124" t="s">
        <v>289</v>
      </c>
      <c r="F606" s="124" t="s">
        <v>873</v>
      </c>
      <c r="G606" s="251"/>
      <c r="H606" s="34" t="s">
        <v>112</v>
      </c>
      <c r="I606" s="126" t="s">
        <v>1908</v>
      </c>
      <c r="J606" s="47" t="s">
        <v>105</v>
      </c>
      <c r="K606" s="126">
        <v>1197.3499999999999</v>
      </c>
      <c r="L606" s="126">
        <v>1843</v>
      </c>
      <c r="M606" s="104" t="s">
        <v>876</v>
      </c>
      <c r="N606" s="265">
        <v>42727</v>
      </c>
      <c r="O606" s="260"/>
      <c r="P606" s="106" t="s">
        <v>194</v>
      </c>
      <c r="Q606" s="107" t="s">
        <v>1091</v>
      </c>
      <c r="R606" s="266">
        <v>0.79</v>
      </c>
      <c r="S606" s="37"/>
      <c r="T606" s="36" t="str">
        <f t="shared" ca="1" si="50"/>
        <v/>
      </c>
      <c r="U606" s="37" t="s">
        <v>1929</v>
      </c>
      <c r="V606" s="37"/>
      <c r="W606" s="38"/>
      <c r="X606" s="39"/>
      <c r="Y606" s="150"/>
      <c r="Z606" s="40"/>
      <c r="AA606" s="136" t="str">
        <f t="shared" ca="1" si="51"/>
        <v/>
      </c>
      <c r="AB606" s="40"/>
      <c r="AC606" s="116"/>
      <c r="AD606" s="116"/>
      <c r="AE606" s="40"/>
      <c r="AF606" s="136" t="str">
        <f t="shared" ca="1" si="52"/>
        <v/>
      </c>
      <c r="AG606" s="127"/>
      <c r="AH606" s="127"/>
      <c r="AI606" s="127"/>
      <c r="AJ606" s="128"/>
      <c r="AK606" s="128"/>
      <c r="AL606" s="129"/>
    </row>
    <row r="607" spans="1:38" s="294" customFormat="1" ht="24.95" customHeight="1" x14ac:dyDescent="0.25">
      <c r="A607" s="142" t="str">
        <f t="shared" si="49"/>
        <v>16SAM272</v>
      </c>
      <c r="B607" s="192">
        <v>272</v>
      </c>
      <c r="C607" s="142" t="s">
        <v>57</v>
      </c>
      <c r="D607" s="143" t="s">
        <v>40</v>
      </c>
      <c r="E607" s="124" t="s">
        <v>289</v>
      </c>
      <c r="F607" s="124" t="s">
        <v>873</v>
      </c>
      <c r="G607" s="251"/>
      <c r="H607" s="34" t="s">
        <v>112</v>
      </c>
      <c r="I607" s="126" t="s">
        <v>1908</v>
      </c>
      <c r="J607" s="47" t="s">
        <v>105</v>
      </c>
      <c r="K607" s="126">
        <v>1197.3499999999999</v>
      </c>
      <c r="L607" s="126">
        <v>1843</v>
      </c>
      <c r="M607" s="104" t="s">
        <v>876</v>
      </c>
      <c r="N607" s="265">
        <v>42727</v>
      </c>
      <c r="O607" s="260"/>
      <c r="P607" s="106" t="s">
        <v>194</v>
      </c>
      <c r="Q607" s="107" t="s">
        <v>1091</v>
      </c>
      <c r="R607" s="266">
        <v>0.79</v>
      </c>
      <c r="S607" s="37"/>
      <c r="T607" s="36" t="str">
        <f t="shared" ca="1" si="50"/>
        <v/>
      </c>
      <c r="U607" s="37" t="s">
        <v>1929</v>
      </c>
      <c r="V607" s="37"/>
      <c r="W607" s="38"/>
      <c r="X607" s="39"/>
      <c r="Y607" s="150"/>
      <c r="Z607" s="40"/>
      <c r="AA607" s="136" t="str">
        <f t="shared" ca="1" si="51"/>
        <v/>
      </c>
      <c r="AB607" s="40"/>
      <c r="AC607" s="116"/>
      <c r="AD607" s="116"/>
      <c r="AE607" s="40"/>
      <c r="AF607" s="136" t="str">
        <f t="shared" ca="1" si="52"/>
        <v/>
      </c>
      <c r="AG607" s="127"/>
      <c r="AH607" s="127"/>
      <c r="AI607" s="127"/>
      <c r="AJ607" s="128"/>
      <c r="AK607" s="128"/>
      <c r="AL607" s="129"/>
    </row>
    <row r="608" spans="1:38" s="294" customFormat="1" ht="24.95" customHeight="1" x14ac:dyDescent="0.25">
      <c r="A608" s="142" t="str">
        <f t="shared" si="49"/>
        <v>16SAM273</v>
      </c>
      <c r="B608" s="192">
        <v>273</v>
      </c>
      <c r="C608" s="142" t="s">
        <v>57</v>
      </c>
      <c r="D608" s="143" t="s">
        <v>824</v>
      </c>
      <c r="E608" s="124" t="s">
        <v>289</v>
      </c>
      <c r="F608" s="124" t="s">
        <v>1966</v>
      </c>
      <c r="G608" s="251"/>
      <c r="H608" s="34" t="s">
        <v>43</v>
      </c>
      <c r="I608" s="126" t="s">
        <v>2027</v>
      </c>
      <c r="J608" s="47" t="s">
        <v>105</v>
      </c>
      <c r="K608" s="132" t="s">
        <v>61</v>
      </c>
      <c r="L608" s="126" t="s">
        <v>1968</v>
      </c>
      <c r="M608" s="105" t="s">
        <v>61</v>
      </c>
      <c r="N608" s="265">
        <v>42731</v>
      </c>
      <c r="O608" s="260">
        <v>42733</v>
      </c>
      <c r="P608" s="106" t="s">
        <v>945</v>
      </c>
      <c r="Q608" s="107" t="s">
        <v>61</v>
      </c>
      <c r="R608" s="244" t="s">
        <v>61</v>
      </c>
      <c r="S608" s="37"/>
      <c r="T608" s="36" t="str">
        <f t="shared" ca="1" si="50"/>
        <v/>
      </c>
      <c r="U608" s="37" t="s">
        <v>1958</v>
      </c>
      <c r="V608" s="37" t="s">
        <v>2029</v>
      </c>
      <c r="W608" s="38">
        <v>42733</v>
      </c>
      <c r="X608" s="39" t="s">
        <v>61</v>
      </c>
      <c r="Y608" s="116" t="s">
        <v>2030</v>
      </c>
      <c r="Z608" s="40" t="s">
        <v>61</v>
      </c>
      <c r="AA608" s="136">
        <f t="shared" ca="1" si="51"/>
        <v>635</v>
      </c>
      <c r="AB608" s="40"/>
      <c r="AC608" s="116"/>
      <c r="AD608" s="116"/>
      <c r="AE608" s="40"/>
      <c r="AF608" s="136" t="str">
        <f t="shared" ca="1" si="52"/>
        <v/>
      </c>
      <c r="AG608" s="127"/>
      <c r="AH608" s="127"/>
      <c r="AI608" s="127"/>
      <c r="AJ608" s="128"/>
      <c r="AK608" s="128"/>
      <c r="AL608" s="129"/>
    </row>
    <row r="609" spans="1:38" s="294" customFormat="1" ht="24.95" customHeight="1" thickBot="1" x14ac:dyDescent="0.3">
      <c r="A609" s="314" t="str">
        <f t="shared" si="49"/>
        <v>16REF274</v>
      </c>
      <c r="B609" s="313">
        <v>274</v>
      </c>
      <c r="C609" s="314" t="s">
        <v>39</v>
      </c>
      <c r="D609" s="315" t="s">
        <v>824</v>
      </c>
      <c r="E609" s="316" t="s">
        <v>41</v>
      </c>
      <c r="F609" s="316" t="s">
        <v>1380</v>
      </c>
      <c r="G609" s="317"/>
      <c r="H609" s="318" t="s">
        <v>43</v>
      </c>
      <c r="I609" s="319" t="s">
        <v>2028</v>
      </c>
      <c r="J609" s="341" t="s">
        <v>105</v>
      </c>
      <c r="K609" s="319"/>
      <c r="L609" s="319" t="s">
        <v>1383</v>
      </c>
      <c r="M609" s="320"/>
      <c r="N609" s="321">
        <v>42731</v>
      </c>
      <c r="O609" s="322">
        <v>42737</v>
      </c>
      <c r="P609" s="323" t="s">
        <v>194</v>
      </c>
      <c r="Q609" s="324" t="s">
        <v>3522</v>
      </c>
      <c r="R609" s="325" t="s">
        <v>61</v>
      </c>
      <c r="S609" s="326">
        <v>0</v>
      </c>
      <c r="T609" s="327" t="str">
        <f t="shared" ca="1" si="50"/>
        <v>Empty</v>
      </c>
      <c r="U609" s="326" t="s">
        <v>1493</v>
      </c>
      <c r="V609" s="326"/>
      <c r="W609" s="328">
        <v>42737</v>
      </c>
      <c r="X609" s="329" t="s">
        <v>2049</v>
      </c>
      <c r="Y609" s="330" t="s">
        <v>2041</v>
      </c>
      <c r="Z609" s="331" t="s">
        <v>2050</v>
      </c>
      <c r="AA609" s="332">
        <f t="shared" ca="1" si="51"/>
        <v>632</v>
      </c>
      <c r="AB609" s="331"/>
      <c r="AC609" s="329"/>
      <c r="AD609" s="329"/>
      <c r="AE609" s="331"/>
      <c r="AF609" s="332" t="str">
        <f t="shared" ca="1" si="52"/>
        <v/>
      </c>
      <c r="AG609" s="333"/>
      <c r="AH609" s="333"/>
      <c r="AI609" s="333"/>
      <c r="AJ609" s="334"/>
      <c r="AK609" s="334"/>
      <c r="AL609" s="335"/>
    </row>
    <row r="610" spans="1:38" s="388" customFormat="1" ht="24.95" customHeight="1" x14ac:dyDescent="0.25">
      <c r="A610" s="597"/>
      <c r="B610" s="598"/>
      <c r="C610" s="597"/>
      <c r="D610" s="599"/>
      <c r="E610" s="278"/>
      <c r="F610" s="278"/>
      <c r="G610" s="600"/>
      <c r="H610" s="218"/>
      <c r="I610" s="372"/>
      <c r="J610" s="601"/>
      <c r="K610" s="372"/>
      <c r="L610" s="372"/>
      <c r="M610" s="374"/>
      <c r="N610" s="602"/>
      <c r="O610" s="603"/>
      <c r="P610" s="375"/>
      <c r="Q610" s="297"/>
      <c r="R610" s="604"/>
      <c r="S610" s="237"/>
      <c r="T610" s="36"/>
      <c r="U610" s="237"/>
      <c r="V610" s="237"/>
      <c r="W610" s="399"/>
      <c r="X610" s="400"/>
      <c r="Y610" s="605"/>
      <c r="Z610" s="400"/>
      <c r="AA610" s="606"/>
      <c r="AB610" s="400"/>
      <c r="AC610" s="400"/>
      <c r="AD610" s="400"/>
      <c r="AE610" s="400"/>
      <c r="AF610" s="606"/>
      <c r="AG610" s="607"/>
      <c r="AH610" s="607"/>
      <c r="AI610" s="607"/>
      <c r="AJ610" s="608"/>
      <c r="AK610" s="608"/>
      <c r="AL610" s="609"/>
    </row>
    <row r="611" spans="1:38" s="294" customFormat="1" ht="24.95" customHeight="1" x14ac:dyDescent="0.25">
      <c r="A611" s="299" t="str">
        <f>IF(C611="","",CONCATENATE(17,MID(C611,1,3),IF(B611&lt;10,"00",0),B611))</f>
        <v>17SAM001</v>
      </c>
      <c r="B611" s="298">
        <v>1</v>
      </c>
      <c r="C611" s="299" t="s">
        <v>57</v>
      </c>
      <c r="D611" s="300" t="s">
        <v>40</v>
      </c>
      <c r="E611" s="301" t="s">
        <v>2032</v>
      </c>
      <c r="F611" s="301" t="s">
        <v>2039</v>
      </c>
      <c r="G611" s="302"/>
      <c r="H611" s="34" t="s">
        <v>60</v>
      </c>
      <c r="I611" s="303" t="s">
        <v>2034</v>
      </c>
      <c r="J611" s="47" t="s">
        <v>105</v>
      </c>
      <c r="K611" s="303">
        <v>203.17</v>
      </c>
      <c r="L611" s="303" t="s">
        <v>61</v>
      </c>
      <c r="M611" s="284" t="s">
        <v>61</v>
      </c>
      <c r="N611" s="304">
        <v>42744</v>
      </c>
      <c r="O611" s="305">
        <v>42746</v>
      </c>
      <c r="P611" s="306" t="s">
        <v>183</v>
      </c>
      <c r="Q611" s="307" t="s">
        <v>49</v>
      </c>
      <c r="R611" s="267">
        <v>0.97599999999999998</v>
      </c>
      <c r="S611" s="37">
        <v>0</v>
      </c>
      <c r="T611" s="36" t="str">
        <f t="shared" ca="1" si="50"/>
        <v>Empty</v>
      </c>
      <c r="U611" s="37" t="s">
        <v>2038</v>
      </c>
      <c r="V611" s="37" t="s">
        <v>2164</v>
      </c>
      <c r="W611" s="44"/>
      <c r="X611" s="40"/>
      <c r="Y611" s="308"/>
      <c r="Z611" s="40"/>
      <c r="AA611" s="309" t="str">
        <f t="shared" ca="1" si="51"/>
        <v/>
      </c>
      <c r="AB611" s="40"/>
      <c r="AC611" s="110"/>
      <c r="AD611" s="110"/>
      <c r="AE611" s="40"/>
      <c r="AF611" s="309" t="str">
        <f t="shared" ca="1" si="52"/>
        <v/>
      </c>
      <c r="AG611" s="310"/>
      <c r="AH611" s="310"/>
      <c r="AI611" s="310"/>
      <c r="AJ611" s="311"/>
      <c r="AK611" s="311"/>
      <c r="AL611" s="312"/>
    </row>
    <row r="612" spans="1:38" s="294" customFormat="1" ht="24.95" customHeight="1" x14ac:dyDescent="0.25">
      <c r="A612" s="299" t="str">
        <f t="shared" ref="A612:A675" si="53">IF(C612="","",CONCATENATE(17,MID(C612,1,3),IF(B612&lt;10,"00",0),B612))</f>
        <v>17SAM002</v>
      </c>
      <c r="B612" s="298">
        <v>2</v>
      </c>
      <c r="C612" s="299" t="s">
        <v>57</v>
      </c>
      <c r="D612" s="300" t="s">
        <v>40</v>
      </c>
      <c r="E612" s="124" t="s">
        <v>2032</v>
      </c>
      <c r="F612" s="124" t="s">
        <v>2033</v>
      </c>
      <c r="G612" s="251"/>
      <c r="H612" s="34" t="s">
        <v>330</v>
      </c>
      <c r="I612" s="126" t="s">
        <v>2035</v>
      </c>
      <c r="J612" s="47" t="s">
        <v>105</v>
      </c>
      <c r="K612" s="126">
        <v>442.38</v>
      </c>
      <c r="L612" s="126" t="s">
        <v>2036</v>
      </c>
      <c r="M612" s="104"/>
      <c r="N612" s="265">
        <v>42744</v>
      </c>
      <c r="O612" s="260">
        <v>42765</v>
      </c>
      <c r="P612" s="106" t="s">
        <v>86</v>
      </c>
      <c r="Q612" s="107" t="s">
        <v>2037</v>
      </c>
      <c r="R612" s="266">
        <v>0.99</v>
      </c>
      <c r="S612" s="37">
        <f>50-2.5-1.31</f>
        <v>46.19</v>
      </c>
      <c r="T612" s="36">
        <f t="shared" ref="T612:T675" ca="1" si="54">IF(S612="","",IF(S612=0,"Empty",IF(O612="","",IF(O612,DAYS360(O612,TODAY())))))</f>
        <v>604</v>
      </c>
      <c r="U612" s="37" t="s">
        <v>2038</v>
      </c>
      <c r="V612" s="37"/>
      <c r="W612" s="38"/>
      <c r="X612" s="39"/>
      <c r="Y612" s="150"/>
      <c r="Z612" s="40"/>
      <c r="AA612" s="136" t="str">
        <f t="shared" ref="AA612:AA675" ca="1" si="55">IF(W612="","",IF(W612,DAYS360(W612,TODAY())))</f>
        <v/>
      </c>
      <c r="AB612" s="40"/>
      <c r="AC612" s="116"/>
      <c r="AD612" s="116"/>
      <c r="AE612" s="40"/>
      <c r="AF612" s="136" t="str">
        <f t="shared" ref="AF612:AF675" ca="1" si="56">IF(AB612="","",IF(AB612,DAYS360(AB612,TODAY())))</f>
        <v/>
      </c>
      <c r="AG612" s="127"/>
      <c r="AH612" s="127"/>
      <c r="AI612" s="127"/>
      <c r="AJ612" s="128"/>
      <c r="AK612" s="128"/>
      <c r="AL612" s="129"/>
    </row>
    <row r="613" spans="1:38" s="294" customFormat="1" ht="24.95" customHeight="1" x14ac:dyDescent="0.25">
      <c r="A613" s="343" t="str">
        <f t="shared" si="53"/>
        <v>17REF003</v>
      </c>
      <c r="B613" s="342">
        <v>3</v>
      </c>
      <c r="C613" s="343" t="s">
        <v>39</v>
      </c>
      <c r="D613" s="344" t="s">
        <v>744</v>
      </c>
      <c r="E613" s="124" t="s">
        <v>41</v>
      </c>
      <c r="F613" s="124" t="s">
        <v>779</v>
      </c>
      <c r="G613" s="251"/>
      <c r="H613" s="34" t="s">
        <v>330</v>
      </c>
      <c r="I613" s="126" t="s">
        <v>1578</v>
      </c>
      <c r="J613" s="47" t="s">
        <v>180</v>
      </c>
      <c r="K613" s="126">
        <v>197.13</v>
      </c>
      <c r="L613" s="126" t="s">
        <v>781</v>
      </c>
      <c r="M613" s="104" t="s">
        <v>782</v>
      </c>
      <c r="N613" s="265">
        <v>42748</v>
      </c>
      <c r="O613" s="260">
        <v>42751</v>
      </c>
      <c r="P613" s="106" t="s">
        <v>183</v>
      </c>
      <c r="Q613" s="107" t="s">
        <v>510</v>
      </c>
      <c r="R613" s="266">
        <v>0.99</v>
      </c>
      <c r="S613" s="37">
        <v>0</v>
      </c>
      <c r="T613" s="36" t="str">
        <f t="shared" ca="1" si="54"/>
        <v>Empty</v>
      </c>
      <c r="U613" s="37"/>
      <c r="V613" s="37"/>
      <c r="W613" s="38"/>
      <c r="X613" s="39"/>
      <c r="Y613" s="150"/>
      <c r="Z613" s="40"/>
      <c r="AA613" s="136" t="str">
        <f t="shared" ca="1" si="55"/>
        <v/>
      </c>
      <c r="AB613" s="40"/>
      <c r="AC613" s="116"/>
      <c r="AD613" s="116"/>
      <c r="AE613" s="40"/>
      <c r="AF613" s="136" t="str">
        <f t="shared" ca="1" si="56"/>
        <v/>
      </c>
      <c r="AG613" s="127"/>
      <c r="AH613" s="127"/>
      <c r="AI613" s="127"/>
      <c r="AJ613" s="128"/>
      <c r="AK613" s="128"/>
      <c r="AL613" s="129"/>
    </row>
    <row r="614" spans="1:38" s="294" customFormat="1" ht="24.95" customHeight="1" x14ac:dyDescent="0.25">
      <c r="A614" s="343" t="str">
        <f t="shared" si="53"/>
        <v>17REF004</v>
      </c>
      <c r="B614" s="342">
        <v>4</v>
      </c>
      <c r="C614" s="343" t="s">
        <v>39</v>
      </c>
      <c r="D614" s="344" t="s">
        <v>744</v>
      </c>
      <c r="E614" s="124" t="s">
        <v>41</v>
      </c>
      <c r="F614" s="124" t="s">
        <v>860</v>
      </c>
      <c r="G614" s="251" t="s">
        <v>802</v>
      </c>
      <c r="H614" s="34" t="s">
        <v>330</v>
      </c>
      <c r="I614" s="126" t="s">
        <v>971</v>
      </c>
      <c r="J614" s="47" t="s">
        <v>180</v>
      </c>
      <c r="K614" s="126">
        <v>340.78</v>
      </c>
      <c r="L614" s="126" t="s">
        <v>862</v>
      </c>
      <c r="M614" s="104" t="s">
        <v>863</v>
      </c>
      <c r="N614" s="265">
        <v>42748</v>
      </c>
      <c r="O614" s="260">
        <v>42866</v>
      </c>
      <c r="P614" s="106" t="s">
        <v>183</v>
      </c>
      <c r="Q614" s="107" t="s">
        <v>2920</v>
      </c>
      <c r="R614" s="266">
        <v>0.99</v>
      </c>
      <c r="S614" s="37">
        <v>0</v>
      </c>
      <c r="T614" s="36" t="str">
        <f t="shared" ca="1" si="54"/>
        <v>Empty</v>
      </c>
      <c r="U614" s="37" t="s">
        <v>2229</v>
      </c>
      <c r="V614" s="37"/>
      <c r="W614" s="38">
        <v>42866</v>
      </c>
      <c r="X614" s="39" t="s">
        <v>2242</v>
      </c>
      <c r="Y614" s="116" t="s">
        <v>700</v>
      </c>
      <c r="Z614" s="40" t="s">
        <v>212</v>
      </c>
      <c r="AA614" s="136">
        <f t="shared" ca="1" si="55"/>
        <v>503</v>
      </c>
      <c r="AB614" s="40"/>
      <c r="AC614" s="116"/>
      <c r="AD614" s="116"/>
      <c r="AE614" s="40"/>
      <c r="AF614" s="136" t="str">
        <f t="shared" ca="1" si="56"/>
        <v/>
      </c>
      <c r="AG614" s="127"/>
      <c r="AH614" s="127"/>
      <c r="AI614" s="127"/>
      <c r="AJ614" s="128"/>
      <c r="AK614" s="128"/>
      <c r="AL614" s="129"/>
    </row>
    <row r="615" spans="1:38" s="294" customFormat="1" ht="24.95" customHeight="1" x14ac:dyDescent="0.25">
      <c r="A615" s="343" t="str">
        <f t="shared" si="53"/>
        <v>17REF005</v>
      </c>
      <c r="B615" s="342">
        <v>5</v>
      </c>
      <c r="C615" s="343" t="s">
        <v>39</v>
      </c>
      <c r="D615" s="344" t="s">
        <v>744</v>
      </c>
      <c r="E615" s="124" t="s">
        <v>41</v>
      </c>
      <c r="F615" s="124" t="s">
        <v>860</v>
      </c>
      <c r="G615" s="251" t="s">
        <v>802</v>
      </c>
      <c r="H615" s="34" t="s">
        <v>330</v>
      </c>
      <c r="I615" s="126" t="s">
        <v>971</v>
      </c>
      <c r="J615" s="47" t="s">
        <v>180</v>
      </c>
      <c r="K615" s="126">
        <v>340.78</v>
      </c>
      <c r="L615" s="126" t="s">
        <v>862</v>
      </c>
      <c r="M615" s="104" t="s">
        <v>863</v>
      </c>
      <c r="N615" s="265">
        <v>42748</v>
      </c>
      <c r="O615" s="260">
        <v>42878</v>
      </c>
      <c r="P615" s="106" t="s">
        <v>183</v>
      </c>
      <c r="Q615" s="107" t="s">
        <v>2920</v>
      </c>
      <c r="R615" s="266">
        <v>0.99</v>
      </c>
      <c r="S615" s="37">
        <v>0</v>
      </c>
      <c r="T615" s="36" t="str">
        <f t="shared" ref="T615" ca="1" si="57">IF(S615="","",IF(S615=0,"Empty",IF(O615="","",IF(O615,DAYS360(O615,TODAY())))))</f>
        <v>Empty</v>
      </c>
      <c r="U615" s="37" t="s">
        <v>2229</v>
      </c>
      <c r="V615" s="37"/>
      <c r="W615" s="38">
        <v>42878</v>
      </c>
      <c r="X615" s="39" t="s">
        <v>2258</v>
      </c>
      <c r="Y615" s="150" t="s">
        <v>2209</v>
      </c>
      <c r="Z615" s="40" t="s">
        <v>212</v>
      </c>
      <c r="AA615" s="136"/>
      <c r="AB615" s="40"/>
      <c r="AC615" s="116"/>
      <c r="AD615" s="116"/>
      <c r="AE615" s="40"/>
      <c r="AF615" s="136" t="str">
        <f t="shared" ca="1" si="56"/>
        <v/>
      </c>
      <c r="AG615" s="127"/>
      <c r="AH615" s="127"/>
      <c r="AI615" s="127"/>
      <c r="AJ615" s="128"/>
      <c r="AK615" s="128"/>
      <c r="AL615" s="129"/>
    </row>
    <row r="616" spans="1:38" ht="23.25" x14ac:dyDescent="0.25">
      <c r="A616" s="343" t="str">
        <f t="shared" si="53"/>
        <v>17REF006</v>
      </c>
      <c r="B616" s="342">
        <v>6</v>
      </c>
      <c r="C616" s="343" t="s">
        <v>39</v>
      </c>
      <c r="D616" s="344" t="s">
        <v>40</v>
      </c>
      <c r="E616" s="124" t="s">
        <v>41</v>
      </c>
      <c r="F616" s="124" t="s">
        <v>2043</v>
      </c>
      <c r="G616" s="251" t="s">
        <v>2044</v>
      </c>
      <c r="H616" s="34" t="s">
        <v>330</v>
      </c>
      <c r="I616" s="126" t="s">
        <v>2045</v>
      </c>
      <c r="J616" s="47" t="s">
        <v>180</v>
      </c>
      <c r="K616" s="126">
        <v>183.1</v>
      </c>
      <c r="L616" s="126" t="s">
        <v>2046</v>
      </c>
      <c r="M616" s="104" t="s">
        <v>2047</v>
      </c>
      <c r="N616" s="265">
        <v>42751</v>
      </c>
      <c r="O616" s="260">
        <v>42751</v>
      </c>
      <c r="P616" s="106" t="s">
        <v>86</v>
      </c>
      <c r="Q616" s="107" t="s">
        <v>510</v>
      </c>
      <c r="R616" s="266">
        <v>0.99</v>
      </c>
      <c r="S616" s="37">
        <v>0</v>
      </c>
      <c r="T616" s="36" t="str">
        <f t="shared" ca="1" si="54"/>
        <v>Empty</v>
      </c>
      <c r="U616" s="37" t="s">
        <v>2040</v>
      </c>
      <c r="V616" s="37"/>
      <c r="W616" s="38"/>
      <c r="X616" s="39"/>
      <c r="Y616" s="150"/>
      <c r="Z616" s="40"/>
      <c r="AA616" s="136" t="str">
        <f t="shared" ca="1" si="55"/>
        <v/>
      </c>
      <c r="AB616" s="40"/>
      <c r="AC616" s="116"/>
      <c r="AD616" s="116"/>
      <c r="AE616" s="40"/>
      <c r="AF616" s="136" t="str">
        <f t="shared" ca="1" si="56"/>
        <v/>
      </c>
      <c r="AG616" s="127"/>
      <c r="AH616" s="127"/>
      <c r="AI616" s="127"/>
      <c r="AJ616" s="128"/>
      <c r="AK616" s="128"/>
      <c r="AL616" s="129"/>
    </row>
    <row r="617" spans="1:38" ht="23.25" x14ac:dyDescent="0.25">
      <c r="A617" s="343" t="str">
        <f t="shared" si="53"/>
        <v>17REF007</v>
      </c>
      <c r="B617" s="342">
        <v>7</v>
      </c>
      <c r="C617" s="343" t="s">
        <v>39</v>
      </c>
      <c r="D617" s="344" t="s">
        <v>40</v>
      </c>
      <c r="E617" s="124" t="s">
        <v>41</v>
      </c>
      <c r="F617" s="124" t="s">
        <v>2043</v>
      </c>
      <c r="G617" s="251" t="s">
        <v>2044</v>
      </c>
      <c r="H617" s="34" t="s">
        <v>330</v>
      </c>
      <c r="I617" s="126" t="s">
        <v>2045</v>
      </c>
      <c r="J617" s="47" t="s">
        <v>180</v>
      </c>
      <c r="K617" s="126">
        <v>183.1</v>
      </c>
      <c r="L617" s="126" t="s">
        <v>2046</v>
      </c>
      <c r="M617" s="104" t="s">
        <v>2047</v>
      </c>
      <c r="N617" s="265">
        <v>42751</v>
      </c>
      <c r="O617" s="260">
        <v>42787</v>
      </c>
      <c r="P617" s="106" t="s">
        <v>86</v>
      </c>
      <c r="Q617" s="107" t="s">
        <v>510</v>
      </c>
      <c r="R617" s="266">
        <v>0.99</v>
      </c>
      <c r="S617" s="37">
        <v>0</v>
      </c>
      <c r="T617" s="36" t="str">
        <f t="shared" ca="1" si="54"/>
        <v>Empty</v>
      </c>
      <c r="U617" s="37"/>
      <c r="V617" s="37"/>
      <c r="W617" s="38">
        <v>42787</v>
      </c>
      <c r="X617" s="39" t="s">
        <v>248</v>
      </c>
      <c r="Y617" s="116" t="s">
        <v>142</v>
      </c>
      <c r="Z617" s="40" t="s">
        <v>49</v>
      </c>
      <c r="AA617" s="136">
        <f t="shared" ca="1" si="55"/>
        <v>583</v>
      </c>
      <c r="AB617" s="40"/>
      <c r="AC617" s="116"/>
      <c r="AD617" s="116"/>
      <c r="AE617" s="40"/>
      <c r="AF617" s="136" t="str">
        <f t="shared" ca="1" si="56"/>
        <v/>
      </c>
      <c r="AG617" s="127"/>
      <c r="AH617" s="127"/>
      <c r="AI617" s="127"/>
      <c r="AJ617" s="128"/>
      <c r="AK617" s="128"/>
      <c r="AL617" s="129"/>
    </row>
    <row r="618" spans="1:38" ht="23.25" x14ac:dyDescent="0.25">
      <c r="A618" s="343" t="str">
        <f t="shared" si="53"/>
        <v>17REF008</v>
      </c>
      <c r="B618" s="342">
        <v>8</v>
      </c>
      <c r="C618" s="343" t="s">
        <v>39</v>
      </c>
      <c r="D618" s="344" t="s">
        <v>40</v>
      </c>
      <c r="E618" s="124" t="s">
        <v>41</v>
      </c>
      <c r="F618" s="124" t="s">
        <v>2053</v>
      </c>
      <c r="G618" s="251" t="s">
        <v>2054</v>
      </c>
      <c r="H618" s="34" t="s">
        <v>112</v>
      </c>
      <c r="I618" s="126" t="s">
        <v>2055</v>
      </c>
      <c r="J618" s="47" t="s">
        <v>105</v>
      </c>
      <c r="K618" s="126">
        <v>203.15</v>
      </c>
      <c r="L618" s="126">
        <v>975</v>
      </c>
      <c r="M618" s="104" t="s">
        <v>2056</v>
      </c>
      <c r="N618" s="265">
        <v>42753</v>
      </c>
      <c r="O618" s="260">
        <v>42867</v>
      </c>
      <c r="P618" s="106" t="s">
        <v>86</v>
      </c>
      <c r="Q618" s="107" t="s">
        <v>2057</v>
      </c>
      <c r="R618" s="267">
        <v>0.99399999999999999</v>
      </c>
      <c r="S618" s="37">
        <v>0</v>
      </c>
      <c r="T618" s="36" t="str">
        <f t="shared" ca="1" si="54"/>
        <v>Empty</v>
      </c>
      <c r="U618" s="37" t="s">
        <v>2040</v>
      </c>
      <c r="V618" s="37"/>
      <c r="W618" s="38">
        <v>42867</v>
      </c>
      <c r="X618" s="39" t="s">
        <v>248</v>
      </c>
      <c r="Y618" s="150"/>
      <c r="Z618" s="40" t="s">
        <v>49</v>
      </c>
      <c r="AA618" s="136">
        <f t="shared" ca="1" si="55"/>
        <v>502</v>
      </c>
      <c r="AB618" s="40"/>
      <c r="AC618" s="116"/>
      <c r="AD618" s="116"/>
      <c r="AE618" s="40"/>
      <c r="AF618" s="136" t="str">
        <f t="shared" ca="1" si="56"/>
        <v/>
      </c>
      <c r="AG618" s="127"/>
      <c r="AH618" s="127"/>
      <c r="AI618" s="127"/>
      <c r="AJ618" s="128"/>
      <c r="AK618" s="128"/>
      <c r="AL618" s="129"/>
    </row>
    <row r="619" spans="1:38" ht="23.25" x14ac:dyDescent="0.25">
      <c r="A619" s="343" t="str">
        <f t="shared" si="53"/>
        <v>17REF009</v>
      </c>
      <c r="B619" s="342">
        <v>9</v>
      </c>
      <c r="C619" s="343" t="s">
        <v>39</v>
      </c>
      <c r="D619" s="344" t="s">
        <v>170</v>
      </c>
      <c r="E619" s="124" t="s">
        <v>41</v>
      </c>
      <c r="F619" s="124" t="s">
        <v>2058</v>
      </c>
      <c r="G619" s="251" t="s">
        <v>2059</v>
      </c>
      <c r="H619" s="34" t="s">
        <v>330</v>
      </c>
      <c r="I619" s="126" t="s">
        <v>2060</v>
      </c>
      <c r="J619" s="47" t="s">
        <v>105</v>
      </c>
      <c r="K619" s="126">
        <v>315.83999999999997</v>
      </c>
      <c r="L619" s="126" t="s">
        <v>2061</v>
      </c>
      <c r="M619" s="104">
        <v>5282253</v>
      </c>
      <c r="N619" s="265">
        <v>42753</v>
      </c>
      <c r="O619" s="260">
        <v>42754</v>
      </c>
      <c r="P619" s="106" t="s">
        <v>194</v>
      </c>
      <c r="Q619" s="107" t="s">
        <v>628</v>
      </c>
      <c r="R619" s="266">
        <v>0.99</v>
      </c>
      <c r="S619" s="37">
        <v>0</v>
      </c>
      <c r="T619" s="36" t="str">
        <f t="shared" ca="1" si="54"/>
        <v>Empty</v>
      </c>
      <c r="U619" s="37" t="s">
        <v>2088</v>
      </c>
      <c r="V619" s="37"/>
      <c r="W619" s="38">
        <v>42754</v>
      </c>
      <c r="X619" s="39" t="s">
        <v>1758</v>
      </c>
      <c r="Y619" s="150" t="s">
        <v>2041</v>
      </c>
      <c r="Z619" s="40" t="s">
        <v>49</v>
      </c>
      <c r="AA619" s="136">
        <f t="shared" ca="1" si="55"/>
        <v>615</v>
      </c>
      <c r="AB619" s="40"/>
      <c r="AC619" s="116"/>
      <c r="AD619" s="116"/>
      <c r="AE619" s="40"/>
      <c r="AF619" s="136" t="str">
        <f t="shared" ca="1" si="56"/>
        <v/>
      </c>
      <c r="AG619" s="127"/>
      <c r="AH619" s="127"/>
      <c r="AI619" s="127"/>
      <c r="AJ619" s="128"/>
      <c r="AK619" s="128"/>
      <c r="AL619" s="129"/>
    </row>
    <row r="620" spans="1:38" ht="23.25" x14ac:dyDescent="0.25">
      <c r="A620" s="343" t="str">
        <f t="shared" si="53"/>
        <v>17REF010</v>
      </c>
      <c r="B620" s="342">
        <v>10</v>
      </c>
      <c r="C620" s="343" t="s">
        <v>39</v>
      </c>
      <c r="D620" s="344" t="s">
        <v>170</v>
      </c>
      <c r="E620" s="124" t="s">
        <v>41</v>
      </c>
      <c r="F620" s="124" t="s">
        <v>1189</v>
      </c>
      <c r="G620" s="251" t="s">
        <v>2062</v>
      </c>
      <c r="H620" s="34" t="s">
        <v>330</v>
      </c>
      <c r="I620" s="126" t="s">
        <v>1191</v>
      </c>
      <c r="J620" s="47" t="s">
        <v>180</v>
      </c>
      <c r="K620" s="126">
        <v>429.39</v>
      </c>
      <c r="L620" s="126" t="s">
        <v>1192</v>
      </c>
      <c r="M620" s="104" t="s">
        <v>1193</v>
      </c>
      <c r="N620" s="265">
        <v>42753</v>
      </c>
      <c r="O620" s="260">
        <v>42986</v>
      </c>
      <c r="P620" s="106" t="s">
        <v>86</v>
      </c>
      <c r="Q620" s="107" t="s">
        <v>2063</v>
      </c>
      <c r="R620" s="266">
        <v>0.99</v>
      </c>
      <c r="S620" s="37">
        <v>0</v>
      </c>
      <c r="T620" s="36" t="str">
        <f t="shared" ca="1" si="54"/>
        <v>Empty</v>
      </c>
      <c r="U620" s="37" t="s">
        <v>2453</v>
      </c>
      <c r="V620" s="37"/>
      <c r="W620" s="38"/>
      <c r="X620" s="39"/>
      <c r="Y620" s="150"/>
      <c r="Z620" s="40"/>
      <c r="AA620" s="136" t="str">
        <f t="shared" ca="1" si="55"/>
        <v/>
      </c>
      <c r="AB620" s="40"/>
      <c r="AC620" s="116"/>
      <c r="AD620" s="116"/>
      <c r="AE620" s="40"/>
      <c r="AF620" s="136" t="str">
        <f t="shared" ca="1" si="56"/>
        <v/>
      </c>
      <c r="AG620" s="127"/>
      <c r="AH620" s="127"/>
      <c r="AI620" s="127"/>
      <c r="AJ620" s="128"/>
      <c r="AK620" s="128"/>
      <c r="AL620" s="129"/>
    </row>
    <row r="621" spans="1:38" ht="23.25" x14ac:dyDescent="0.25">
      <c r="A621" s="299" t="str">
        <f t="shared" si="53"/>
        <v>17SAM011</v>
      </c>
      <c r="B621" s="298">
        <v>11</v>
      </c>
      <c r="C621" s="299" t="s">
        <v>57</v>
      </c>
      <c r="D621" s="300" t="s">
        <v>40</v>
      </c>
      <c r="E621" s="124" t="s">
        <v>230</v>
      </c>
      <c r="F621" s="124" t="s">
        <v>2064</v>
      </c>
      <c r="G621" s="251"/>
      <c r="H621" s="34" t="s">
        <v>60</v>
      </c>
      <c r="I621" s="126" t="s">
        <v>2065</v>
      </c>
      <c r="J621" s="47" t="s">
        <v>45</v>
      </c>
      <c r="K621" s="126">
        <v>416.64</v>
      </c>
      <c r="L621" s="132" t="s">
        <v>61</v>
      </c>
      <c r="M621" s="105" t="s">
        <v>61</v>
      </c>
      <c r="N621" s="265">
        <v>42754</v>
      </c>
      <c r="O621" s="260">
        <v>42758</v>
      </c>
      <c r="P621" s="106" t="s">
        <v>215</v>
      </c>
      <c r="Q621" s="107" t="s">
        <v>212</v>
      </c>
      <c r="R621" s="244"/>
      <c r="S621" s="37">
        <f>22.1-1.21-12.8-3.8</f>
        <v>4.29</v>
      </c>
      <c r="T621" s="36">
        <f t="shared" ca="1" si="54"/>
        <v>611</v>
      </c>
      <c r="U621" s="37" t="s">
        <v>1866</v>
      </c>
      <c r="V621" s="37"/>
      <c r="W621" s="38">
        <v>42790</v>
      </c>
      <c r="X621" s="39" t="s">
        <v>248</v>
      </c>
      <c r="Y621" s="116" t="s">
        <v>2126</v>
      </c>
      <c r="Z621" s="40" t="s">
        <v>212</v>
      </c>
      <c r="AA621" s="136">
        <f t="shared" ca="1" si="55"/>
        <v>580</v>
      </c>
      <c r="AB621" s="40"/>
      <c r="AC621" s="116"/>
      <c r="AD621" s="116"/>
      <c r="AE621" s="40"/>
      <c r="AF621" s="136" t="str">
        <f t="shared" ca="1" si="56"/>
        <v/>
      </c>
      <c r="AG621" s="127"/>
      <c r="AH621" s="127"/>
      <c r="AI621" s="127"/>
      <c r="AJ621" s="128"/>
      <c r="AK621" s="128"/>
      <c r="AL621" s="129"/>
    </row>
    <row r="622" spans="1:38" ht="23.25" x14ac:dyDescent="0.25">
      <c r="A622" s="299" t="str">
        <f t="shared" si="53"/>
        <v>17SAM012</v>
      </c>
      <c r="B622" s="298">
        <v>12</v>
      </c>
      <c r="C622" s="299" t="s">
        <v>57</v>
      </c>
      <c r="D622" s="300" t="s">
        <v>170</v>
      </c>
      <c r="E622" s="124" t="s">
        <v>1373</v>
      </c>
      <c r="F622" s="124" t="s">
        <v>2066</v>
      </c>
      <c r="G622" s="251" t="s">
        <v>2067</v>
      </c>
      <c r="H622" s="34" t="s">
        <v>60</v>
      </c>
      <c r="I622" s="126" t="s">
        <v>2068</v>
      </c>
      <c r="J622" s="47" t="s">
        <v>45</v>
      </c>
      <c r="K622" s="126">
        <v>530.529</v>
      </c>
      <c r="L622" s="132" t="s">
        <v>61</v>
      </c>
      <c r="M622" s="105" t="s">
        <v>61</v>
      </c>
      <c r="N622" s="265">
        <v>42755</v>
      </c>
      <c r="O622" s="260">
        <v>42759</v>
      </c>
      <c r="P622" s="106" t="s">
        <v>2069</v>
      </c>
      <c r="Q622" s="107" t="s">
        <v>212</v>
      </c>
      <c r="R622" s="244"/>
      <c r="S622" s="37">
        <f>14.56-7.5</f>
        <v>7.0600000000000005</v>
      </c>
      <c r="T622" s="36">
        <f t="shared" ca="1" si="54"/>
        <v>610</v>
      </c>
      <c r="U622" s="37" t="s">
        <v>2070</v>
      </c>
      <c r="V622" s="37"/>
      <c r="W622" s="38">
        <v>42759</v>
      </c>
      <c r="X622" s="39" t="s">
        <v>248</v>
      </c>
      <c r="Y622" s="150" t="s">
        <v>1994</v>
      </c>
      <c r="Z622" s="40" t="s">
        <v>212</v>
      </c>
      <c r="AA622" s="136">
        <f t="shared" ca="1" si="55"/>
        <v>610</v>
      </c>
      <c r="AB622" s="40"/>
      <c r="AC622" s="116"/>
      <c r="AD622" s="116"/>
      <c r="AE622" s="40"/>
      <c r="AF622" s="136" t="str">
        <f t="shared" ca="1" si="56"/>
        <v/>
      </c>
      <c r="AG622" s="127"/>
      <c r="AH622" s="127"/>
      <c r="AI622" s="127"/>
      <c r="AJ622" s="128"/>
      <c r="AK622" s="128"/>
      <c r="AL622" s="129"/>
    </row>
    <row r="623" spans="1:38" ht="23.25" x14ac:dyDescent="0.25">
      <c r="A623" s="299" t="str">
        <f t="shared" si="53"/>
        <v>17SAM013</v>
      </c>
      <c r="B623" s="298">
        <v>13</v>
      </c>
      <c r="C623" s="299" t="s">
        <v>57</v>
      </c>
      <c r="D623" s="300" t="s">
        <v>824</v>
      </c>
      <c r="E623" s="124" t="s">
        <v>1796</v>
      </c>
      <c r="F623" s="124" t="s">
        <v>1797</v>
      </c>
      <c r="G623" s="251" t="s">
        <v>1798</v>
      </c>
      <c r="H623" s="34" t="s">
        <v>43</v>
      </c>
      <c r="I623" s="126" t="s">
        <v>1799</v>
      </c>
      <c r="J623" s="47" t="s">
        <v>105</v>
      </c>
      <c r="K623" s="126">
        <v>314.17</v>
      </c>
      <c r="L623" s="126" t="s">
        <v>1801</v>
      </c>
      <c r="M623" s="104" t="s">
        <v>2073</v>
      </c>
      <c r="N623" s="265">
        <v>42760</v>
      </c>
      <c r="O623" s="260">
        <v>42760</v>
      </c>
      <c r="P623" s="106" t="s">
        <v>497</v>
      </c>
      <c r="Q623" s="107" t="s">
        <v>1803</v>
      </c>
      <c r="R623" s="244"/>
      <c r="S623" s="37">
        <v>0</v>
      </c>
      <c r="T623" s="36" t="str">
        <f t="shared" ca="1" si="54"/>
        <v>Empty</v>
      </c>
      <c r="U623" s="37" t="s">
        <v>2077</v>
      </c>
      <c r="V623" s="37"/>
      <c r="W623" s="38">
        <v>42760</v>
      </c>
      <c r="X623" s="39" t="s">
        <v>1433</v>
      </c>
      <c r="Y623" s="150" t="s">
        <v>335</v>
      </c>
      <c r="Z623" s="40" t="s">
        <v>1571</v>
      </c>
      <c r="AA623" s="136">
        <f t="shared" ca="1" si="55"/>
        <v>609</v>
      </c>
      <c r="AB623" s="40"/>
      <c r="AC623" s="116"/>
      <c r="AD623" s="116"/>
      <c r="AE623" s="40"/>
      <c r="AF623" s="136" t="str">
        <f t="shared" ca="1" si="56"/>
        <v/>
      </c>
      <c r="AG623" s="127"/>
      <c r="AH623" s="127"/>
      <c r="AI623" s="127"/>
      <c r="AJ623" s="128"/>
      <c r="AK623" s="128"/>
      <c r="AL623" s="129"/>
    </row>
    <row r="624" spans="1:38" ht="23.25" x14ac:dyDescent="0.25">
      <c r="A624" s="299" t="str">
        <f t="shared" si="53"/>
        <v>17SAM014</v>
      </c>
      <c r="B624" s="298">
        <v>14</v>
      </c>
      <c r="C624" s="299" t="s">
        <v>57</v>
      </c>
      <c r="D624" s="300" t="s">
        <v>170</v>
      </c>
      <c r="E624" s="124" t="s">
        <v>1373</v>
      </c>
      <c r="F624" s="124" t="s">
        <v>52</v>
      </c>
      <c r="G624" s="251"/>
      <c r="H624" s="34" t="s">
        <v>43</v>
      </c>
      <c r="I624" s="126" t="s">
        <v>2074</v>
      </c>
      <c r="J624" s="47" t="s">
        <v>45</v>
      </c>
      <c r="K624" s="126">
        <v>189.64</v>
      </c>
      <c r="L624" s="126" t="s">
        <v>2075</v>
      </c>
      <c r="M624" s="104" t="s">
        <v>55</v>
      </c>
      <c r="N624" s="265">
        <v>42761</v>
      </c>
      <c r="O624" s="260">
        <v>42765</v>
      </c>
      <c r="P624" s="106" t="s">
        <v>160</v>
      </c>
      <c r="Q624" s="107" t="s">
        <v>49</v>
      </c>
      <c r="R624" s="267">
        <v>0.999</v>
      </c>
      <c r="S624" s="37">
        <f>1000-11.5-6-4.7-6.04-7.79-4.71-21.54-10.51-18.964-10.25-7.06-15.68-13.36-22.7</f>
        <v>839.19600000000014</v>
      </c>
      <c r="T624" s="36">
        <f t="shared" ca="1" si="54"/>
        <v>604</v>
      </c>
      <c r="U624" s="37"/>
      <c r="V624" s="345" t="s">
        <v>2076</v>
      </c>
      <c r="W624" s="38"/>
      <c r="X624" s="39"/>
      <c r="Y624" s="150"/>
      <c r="Z624" s="40"/>
      <c r="AA624" s="136" t="str">
        <f t="shared" ca="1" si="55"/>
        <v/>
      </c>
      <c r="AB624" s="40"/>
      <c r="AC624" s="116"/>
      <c r="AD624" s="116"/>
      <c r="AE624" s="40"/>
      <c r="AF624" s="136" t="str">
        <f t="shared" ca="1" si="56"/>
        <v/>
      </c>
      <c r="AG624" s="127"/>
      <c r="AH624" s="127"/>
      <c r="AI624" s="127"/>
      <c r="AJ624" s="128"/>
      <c r="AK624" s="128"/>
      <c r="AL624" s="129"/>
    </row>
    <row r="625" spans="1:38" ht="23.25" x14ac:dyDescent="0.25">
      <c r="A625" s="299" t="str">
        <f t="shared" si="53"/>
        <v>17SAM015</v>
      </c>
      <c r="B625" s="298">
        <v>15</v>
      </c>
      <c r="C625" s="299" t="s">
        <v>57</v>
      </c>
      <c r="D625" s="300" t="s">
        <v>40</v>
      </c>
      <c r="E625" s="124" t="s">
        <v>739</v>
      </c>
      <c r="F625" s="124" t="s">
        <v>2079</v>
      </c>
      <c r="G625" s="251" t="s">
        <v>2078</v>
      </c>
      <c r="H625" s="34" t="s">
        <v>60</v>
      </c>
      <c r="I625" s="132" t="s">
        <v>61</v>
      </c>
      <c r="J625" s="47" t="s">
        <v>180</v>
      </c>
      <c r="K625" s="126">
        <v>485.52600000000001</v>
      </c>
      <c r="L625" s="132" t="s">
        <v>61</v>
      </c>
      <c r="M625" s="105" t="s">
        <v>61</v>
      </c>
      <c r="N625" s="265">
        <v>42762</v>
      </c>
      <c r="O625" s="260"/>
      <c r="P625" s="106" t="s">
        <v>700</v>
      </c>
      <c r="Q625" s="107" t="s">
        <v>1056</v>
      </c>
      <c r="R625" s="244" t="s">
        <v>60</v>
      </c>
      <c r="S625" s="37"/>
      <c r="T625" s="36" t="str">
        <f t="shared" ca="1" si="54"/>
        <v/>
      </c>
      <c r="U625" s="37" t="s">
        <v>2080</v>
      </c>
      <c r="V625" s="37" t="s">
        <v>2081</v>
      </c>
      <c r="W625" s="38"/>
      <c r="X625" s="39"/>
      <c r="Y625" s="150"/>
      <c r="Z625" s="40"/>
      <c r="AA625" s="136" t="str">
        <f t="shared" ca="1" si="55"/>
        <v/>
      </c>
      <c r="AB625" s="40"/>
      <c r="AC625" s="116"/>
      <c r="AD625" s="116"/>
      <c r="AE625" s="40"/>
      <c r="AF625" s="136" t="str">
        <f t="shared" ca="1" si="56"/>
        <v/>
      </c>
      <c r="AG625" s="127"/>
      <c r="AH625" s="127"/>
      <c r="AI625" s="127"/>
      <c r="AJ625" s="128"/>
      <c r="AK625" s="128"/>
      <c r="AL625" s="129"/>
    </row>
    <row r="626" spans="1:38" ht="23.25" x14ac:dyDescent="0.25">
      <c r="A626" s="299" t="str">
        <f t="shared" si="53"/>
        <v>17SAM016</v>
      </c>
      <c r="B626" s="298">
        <v>16</v>
      </c>
      <c r="C626" s="299" t="s">
        <v>57</v>
      </c>
      <c r="D626" s="300" t="s">
        <v>40</v>
      </c>
      <c r="E626" s="124" t="s">
        <v>739</v>
      </c>
      <c r="F626" s="124" t="s">
        <v>2082</v>
      </c>
      <c r="G626" s="251" t="s">
        <v>2083</v>
      </c>
      <c r="H626" s="34" t="s">
        <v>60</v>
      </c>
      <c r="I626" s="132" t="s">
        <v>61</v>
      </c>
      <c r="J626" s="47" t="s">
        <v>180</v>
      </c>
      <c r="K626" s="126">
        <v>374.404</v>
      </c>
      <c r="L626" s="132" t="s">
        <v>61</v>
      </c>
      <c r="M626" s="105" t="s">
        <v>61</v>
      </c>
      <c r="N626" s="265">
        <v>42762</v>
      </c>
      <c r="O626" s="260"/>
      <c r="P626" s="106" t="s">
        <v>700</v>
      </c>
      <c r="Q626" s="107" t="s">
        <v>1056</v>
      </c>
      <c r="R626" s="244" t="s">
        <v>60</v>
      </c>
      <c r="S626" s="37"/>
      <c r="T626" s="36" t="str">
        <f t="shared" ca="1" si="54"/>
        <v/>
      </c>
      <c r="U626" s="37" t="s">
        <v>2080</v>
      </c>
      <c r="V626" s="37" t="s">
        <v>2081</v>
      </c>
      <c r="W626" s="38"/>
      <c r="X626" s="39"/>
      <c r="Y626" s="150"/>
      <c r="Z626" s="40"/>
      <c r="AA626" s="136" t="str">
        <f t="shared" ca="1" si="55"/>
        <v/>
      </c>
      <c r="AB626" s="40"/>
      <c r="AC626" s="116"/>
      <c r="AD626" s="116"/>
      <c r="AE626" s="40"/>
      <c r="AF626" s="136" t="str">
        <f t="shared" ca="1" si="56"/>
        <v/>
      </c>
      <c r="AG626" s="127"/>
      <c r="AH626" s="127"/>
      <c r="AI626" s="127"/>
      <c r="AJ626" s="128"/>
      <c r="AK626" s="128"/>
      <c r="AL626" s="129"/>
    </row>
    <row r="627" spans="1:38" ht="23.25" x14ac:dyDescent="0.25">
      <c r="A627" s="299" t="str">
        <f t="shared" si="53"/>
        <v>17SAM017</v>
      </c>
      <c r="B627" s="298">
        <v>17</v>
      </c>
      <c r="C627" s="299" t="s">
        <v>57</v>
      </c>
      <c r="D627" s="300" t="s">
        <v>40</v>
      </c>
      <c r="E627" s="124" t="s">
        <v>739</v>
      </c>
      <c r="F627" s="124" t="s">
        <v>2084</v>
      </c>
      <c r="G627" s="251" t="s">
        <v>2085</v>
      </c>
      <c r="H627" s="34" t="s">
        <v>60</v>
      </c>
      <c r="I627" s="132" t="s">
        <v>61</v>
      </c>
      <c r="J627" s="47" t="s">
        <v>180</v>
      </c>
      <c r="K627" s="126">
        <v>304.43400000000003</v>
      </c>
      <c r="L627" s="132" t="s">
        <v>61</v>
      </c>
      <c r="M627" s="105" t="s">
        <v>61</v>
      </c>
      <c r="N627" s="265">
        <v>42762</v>
      </c>
      <c r="O627" s="260"/>
      <c r="P627" s="106" t="s">
        <v>2086</v>
      </c>
      <c r="Q627" s="107" t="s">
        <v>1056</v>
      </c>
      <c r="R627" s="244" t="s">
        <v>60</v>
      </c>
      <c r="S627" s="37"/>
      <c r="T627" s="36" t="str">
        <f t="shared" ca="1" si="54"/>
        <v/>
      </c>
      <c r="U627" s="37" t="s">
        <v>2080</v>
      </c>
      <c r="V627" s="37" t="s">
        <v>2081</v>
      </c>
      <c r="W627" s="38"/>
      <c r="X627" s="39"/>
      <c r="Y627" s="150"/>
      <c r="Z627" s="40"/>
      <c r="AA627" s="136" t="str">
        <f t="shared" ca="1" si="55"/>
        <v/>
      </c>
      <c r="AB627" s="40"/>
      <c r="AC627" s="116"/>
      <c r="AD627" s="116"/>
      <c r="AE627" s="40"/>
      <c r="AF627" s="136" t="str">
        <f t="shared" ca="1" si="56"/>
        <v/>
      </c>
      <c r="AG627" s="127"/>
      <c r="AH627" s="127"/>
      <c r="AI627" s="127"/>
      <c r="AJ627" s="128"/>
      <c r="AK627" s="128"/>
      <c r="AL627" s="129"/>
    </row>
    <row r="628" spans="1:38" ht="23.25" x14ac:dyDescent="0.25">
      <c r="A628" s="299" t="str">
        <f t="shared" si="53"/>
        <v>17SAM018</v>
      </c>
      <c r="B628" s="298">
        <v>18</v>
      </c>
      <c r="C628" s="299" t="s">
        <v>57</v>
      </c>
      <c r="D628" s="300" t="s">
        <v>40</v>
      </c>
      <c r="E628" s="124" t="s">
        <v>739</v>
      </c>
      <c r="F628" s="124" t="s">
        <v>981</v>
      </c>
      <c r="G628" s="251" t="s">
        <v>1094</v>
      </c>
      <c r="H628" s="34" t="s">
        <v>112</v>
      </c>
      <c r="I628" s="126" t="s">
        <v>1753</v>
      </c>
      <c r="J628" s="47" t="s">
        <v>105</v>
      </c>
      <c r="K628" s="126">
        <v>599.55999999999995</v>
      </c>
      <c r="L628" s="126">
        <v>1979</v>
      </c>
      <c r="M628" s="104" t="s">
        <v>1754</v>
      </c>
      <c r="N628" s="265">
        <v>42768</v>
      </c>
      <c r="O628" s="260">
        <v>42768</v>
      </c>
      <c r="P628" s="106" t="s">
        <v>86</v>
      </c>
      <c r="Q628" s="107" t="s">
        <v>2905</v>
      </c>
      <c r="R628" s="267">
        <v>0.98299999999999998</v>
      </c>
      <c r="S628" s="37">
        <v>0</v>
      </c>
      <c r="T628" s="36" t="str">
        <f t="shared" ca="1" si="54"/>
        <v>Empty</v>
      </c>
      <c r="U628" s="37" t="s">
        <v>2080</v>
      </c>
      <c r="V628" s="37"/>
      <c r="W628" s="38">
        <v>42768</v>
      </c>
      <c r="X628" s="39" t="s">
        <v>2087</v>
      </c>
      <c r="Y628" s="150" t="s">
        <v>2114</v>
      </c>
      <c r="Z628" s="40" t="s">
        <v>212</v>
      </c>
      <c r="AA628" s="136">
        <f t="shared" ca="1" si="55"/>
        <v>602</v>
      </c>
      <c r="AB628" s="40"/>
      <c r="AC628" s="116"/>
      <c r="AD628" s="116"/>
      <c r="AE628" s="40"/>
      <c r="AF628" s="136" t="str">
        <f t="shared" ca="1" si="56"/>
        <v/>
      </c>
      <c r="AG628" s="127"/>
      <c r="AH628" s="127"/>
      <c r="AI628" s="127"/>
      <c r="AJ628" s="128"/>
      <c r="AK628" s="128"/>
      <c r="AL628" s="129"/>
    </row>
    <row r="629" spans="1:38" ht="23.25" x14ac:dyDescent="0.25">
      <c r="A629" s="299" t="str">
        <f t="shared" si="53"/>
        <v>17SAM019</v>
      </c>
      <c r="B629" s="298">
        <v>19</v>
      </c>
      <c r="C629" s="299" t="s">
        <v>57</v>
      </c>
      <c r="D629" s="300" t="s">
        <v>40</v>
      </c>
      <c r="E629" s="124" t="s">
        <v>289</v>
      </c>
      <c r="F629" s="124" t="s">
        <v>791</v>
      </c>
      <c r="G629" s="251"/>
      <c r="H629" s="34" t="s">
        <v>112</v>
      </c>
      <c r="I629" s="126" t="s">
        <v>1902</v>
      </c>
      <c r="J629" s="47" t="s">
        <v>105</v>
      </c>
      <c r="K629" s="126">
        <v>1019.24</v>
      </c>
      <c r="L629" s="126">
        <v>1818</v>
      </c>
      <c r="M629" s="104" t="s">
        <v>906</v>
      </c>
      <c r="N629" s="265">
        <v>42768</v>
      </c>
      <c r="O629" s="260">
        <v>42852</v>
      </c>
      <c r="P629" s="106" t="s">
        <v>194</v>
      </c>
      <c r="Q629" s="107" t="s">
        <v>2089</v>
      </c>
      <c r="R629" s="267">
        <v>0.86499999999999999</v>
      </c>
      <c r="S629" s="37">
        <v>0</v>
      </c>
      <c r="T629" s="36" t="str">
        <f t="shared" ca="1" si="54"/>
        <v>Empty</v>
      </c>
      <c r="U629" s="37" t="s">
        <v>2111</v>
      </c>
      <c r="V629" s="37"/>
      <c r="W629" s="38"/>
      <c r="X629" s="39"/>
      <c r="Y629" s="150"/>
      <c r="Z629" s="40"/>
      <c r="AA629" s="136" t="str">
        <f t="shared" ca="1" si="55"/>
        <v/>
      </c>
      <c r="AB629" s="40"/>
      <c r="AC629" s="116"/>
      <c r="AD629" s="116"/>
      <c r="AE629" s="40"/>
      <c r="AF629" s="136" t="str">
        <f t="shared" ca="1" si="56"/>
        <v/>
      </c>
      <c r="AG629" s="127"/>
      <c r="AH629" s="127"/>
      <c r="AI629" s="127"/>
      <c r="AJ629" s="128"/>
      <c r="AK629" s="128"/>
      <c r="AL629" s="129"/>
    </row>
    <row r="630" spans="1:38" ht="23.25" x14ac:dyDescent="0.25">
      <c r="A630" s="299" t="str">
        <f t="shared" si="53"/>
        <v>17SAM020</v>
      </c>
      <c r="B630" s="298">
        <v>20</v>
      </c>
      <c r="C630" s="299" t="s">
        <v>57</v>
      </c>
      <c r="D630" s="300" t="s">
        <v>40</v>
      </c>
      <c r="E630" s="124" t="s">
        <v>2091</v>
      </c>
      <c r="F630" s="124" t="s">
        <v>2092</v>
      </c>
      <c r="G630" s="251"/>
      <c r="H630" s="34" t="s">
        <v>60</v>
      </c>
      <c r="I630" s="126" t="s">
        <v>2093</v>
      </c>
      <c r="J630" s="47" t="s">
        <v>105</v>
      </c>
      <c r="K630" s="126" t="s">
        <v>2095</v>
      </c>
      <c r="L630" s="126" t="s">
        <v>2094</v>
      </c>
      <c r="M630" s="105" t="s">
        <v>61</v>
      </c>
      <c r="N630" s="265">
        <v>42769</v>
      </c>
      <c r="O630" s="260">
        <v>42772</v>
      </c>
      <c r="P630" s="106" t="s">
        <v>194</v>
      </c>
      <c r="Q630" s="348" t="s">
        <v>2104</v>
      </c>
      <c r="R630" s="266">
        <v>0.96</v>
      </c>
      <c r="S630" s="37">
        <v>0</v>
      </c>
      <c r="T630" s="36" t="str">
        <f t="shared" ca="1" si="54"/>
        <v>Empty</v>
      </c>
      <c r="U630" s="37" t="s">
        <v>2096</v>
      </c>
      <c r="V630" s="347" t="s">
        <v>2097</v>
      </c>
      <c r="W630" s="38">
        <v>42772</v>
      </c>
      <c r="X630" s="39" t="s">
        <v>2105</v>
      </c>
      <c r="Y630" s="150" t="s">
        <v>2106</v>
      </c>
      <c r="Z630" s="40" t="s">
        <v>49</v>
      </c>
      <c r="AA630" s="136">
        <f t="shared" ca="1" si="55"/>
        <v>598</v>
      </c>
      <c r="AB630" s="40"/>
      <c r="AC630" s="116"/>
      <c r="AD630" s="116"/>
      <c r="AE630" s="40"/>
      <c r="AF630" s="136" t="str">
        <f t="shared" ca="1" si="56"/>
        <v/>
      </c>
      <c r="AG630" s="127"/>
      <c r="AH630" s="127"/>
      <c r="AI630" s="127"/>
      <c r="AJ630" s="128"/>
      <c r="AK630" s="128"/>
      <c r="AL630" s="129"/>
    </row>
    <row r="631" spans="1:38" ht="23.25" x14ac:dyDescent="0.25">
      <c r="A631" s="299" t="str">
        <f t="shared" si="53"/>
        <v>17SAM021</v>
      </c>
      <c r="B631" s="298">
        <v>21</v>
      </c>
      <c r="C631" s="299" t="s">
        <v>57</v>
      </c>
      <c r="D631" s="300" t="s">
        <v>40</v>
      </c>
      <c r="E631" s="124" t="s">
        <v>2091</v>
      </c>
      <c r="F631" s="124" t="s">
        <v>2092</v>
      </c>
      <c r="G631" s="251"/>
      <c r="H631" s="34" t="s">
        <v>60</v>
      </c>
      <c r="I631" s="126" t="s">
        <v>2093</v>
      </c>
      <c r="J631" s="47" t="s">
        <v>105</v>
      </c>
      <c r="K631" s="126" t="s">
        <v>2095</v>
      </c>
      <c r="L631" s="126" t="s">
        <v>2094</v>
      </c>
      <c r="M631" s="105" t="s">
        <v>61</v>
      </c>
      <c r="N631" s="265">
        <v>42769</v>
      </c>
      <c r="O631" s="260"/>
      <c r="P631" s="106" t="s">
        <v>194</v>
      </c>
      <c r="Q631" s="348" t="s">
        <v>2104</v>
      </c>
      <c r="R631" s="266">
        <v>0.96</v>
      </c>
      <c r="S631" s="37"/>
      <c r="T631" s="36" t="str">
        <f t="shared" ca="1" si="54"/>
        <v/>
      </c>
      <c r="U631" s="37" t="s">
        <v>2096</v>
      </c>
      <c r="V631" s="37"/>
      <c r="W631" s="38"/>
      <c r="X631" s="39"/>
      <c r="Y631" s="150"/>
      <c r="Z631" s="40"/>
      <c r="AA631" s="136" t="str">
        <f t="shared" ca="1" si="55"/>
        <v/>
      </c>
      <c r="AB631" s="40"/>
      <c r="AC631" s="116"/>
      <c r="AD631" s="116"/>
      <c r="AE631" s="40"/>
      <c r="AF631" s="136" t="str">
        <f t="shared" ca="1" si="56"/>
        <v/>
      </c>
      <c r="AG631" s="127"/>
      <c r="AH631" s="127"/>
      <c r="AI631" s="127"/>
      <c r="AJ631" s="128"/>
      <c r="AK631" s="128"/>
      <c r="AL631" s="129"/>
    </row>
    <row r="632" spans="1:38" ht="23.25" x14ac:dyDescent="0.25">
      <c r="A632" s="299" t="str">
        <f t="shared" si="53"/>
        <v>17SAM022</v>
      </c>
      <c r="B632" s="298">
        <v>22</v>
      </c>
      <c r="C632" s="299" t="s">
        <v>57</v>
      </c>
      <c r="D632" s="300" t="s">
        <v>40</v>
      </c>
      <c r="E632" s="124" t="s">
        <v>739</v>
      </c>
      <c r="F632" s="124" t="s">
        <v>2082</v>
      </c>
      <c r="G632" s="251" t="s">
        <v>2098</v>
      </c>
      <c r="H632" s="34" t="s">
        <v>60</v>
      </c>
      <c r="I632" s="132" t="s">
        <v>61</v>
      </c>
      <c r="J632" s="47" t="s">
        <v>45</v>
      </c>
      <c r="K632" s="126">
        <v>374.404</v>
      </c>
      <c r="L632" s="132" t="s">
        <v>61</v>
      </c>
      <c r="M632" s="105" t="s">
        <v>61</v>
      </c>
      <c r="N632" s="265">
        <v>42769</v>
      </c>
      <c r="O632" s="262">
        <v>42787</v>
      </c>
      <c r="P632" s="106" t="s">
        <v>2100</v>
      </c>
      <c r="Q632" s="107" t="s">
        <v>2103</v>
      </c>
      <c r="R632" s="244" t="s">
        <v>60</v>
      </c>
      <c r="S632" s="37">
        <v>0</v>
      </c>
      <c r="T632" s="36" t="str">
        <f t="shared" ca="1" si="54"/>
        <v>Empty</v>
      </c>
      <c r="U632" s="37" t="s">
        <v>2080</v>
      </c>
      <c r="V632" s="37"/>
      <c r="W632" s="38"/>
      <c r="X632" s="39"/>
      <c r="Y632" s="150"/>
      <c r="Z632" s="40"/>
      <c r="AA632" s="136" t="str">
        <f t="shared" ca="1" si="55"/>
        <v/>
      </c>
      <c r="AB632" s="40"/>
      <c r="AC632" s="116"/>
      <c r="AD632" s="116"/>
      <c r="AE632" s="40"/>
      <c r="AF632" s="136" t="str">
        <f t="shared" ca="1" si="56"/>
        <v/>
      </c>
      <c r="AG632" s="127"/>
      <c r="AH632" s="127"/>
      <c r="AI632" s="127"/>
      <c r="AJ632" s="128"/>
      <c r="AK632" s="128"/>
      <c r="AL632" s="129"/>
    </row>
    <row r="633" spans="1:38" ht="23.25" x14ac:dyDescent="0.25">
      <c r="A633" s="299" t="str">
        <f t="shared" si="53"/>
        <v>17SAM023</v>
      </c>
      <c r="B633" s="298">
        <v>23</v>
      </c>
      <c r="C633" s="299" t="s">
        <v>57</v>
      </c>
      <c r="D633" s="300" t="s">
        <v>40</v>
      </c>
      <c r="E633" s="124" t="s">
        <v>739</v>
      </c>
      <c r="F633" s="124" t="s">
        <v>2084</v>
      </c>
      <c r="G633" s="251" t="s">
        <v>2099</v>
      </c>
      <c r="H633" s="34" t="s">
        <v>60</v>
      </c>
      <c r="I633" s="132" t="s">
        <v>61</v>
      </c>
      <c r="J633" s="47" t="s">
        <v>45</v>
      </c>
      <c r="K633" s="126">
        <v>304.43400000000003</v>
      </c>
      <c r="L633" s="132" t="s">
        <v>61</v>
      </c>
      <c r="M633" s="105" t="s">
        <v>61</v>
      </c>
      <c r="N633" s="265">
        <v>42769</v>
      </c>
      <c r="O633" s="260">
        <v>42787</v>
      </c>
      <c r="P633" s="106" t="s">
        <v>2101</v>
      </c>
      <c r="Q633" s="107" t="s">
        <v>2102</v>
      </c>
      <c r="R633" s="244" t="s">
        <v>60</v>
      </c>
      <c r="S633" s="37">
        <v>0</v>
      </c>
      <c r="T633" s="36" t="str">
        <f t="shared" ca="1" si="54"/>
        <v>Empty</v>
      </c>
      <c r="U633" s="37" t="s">
        <v>2080</v>
      </c>
      <c r="V633" s="37"/>
      <c r="W633" s="38"/>
      <c r="X633" s="39"/>
      <c r="Y633" s="116"/>
      <c r="Z633" s="116"/>
      <c r="AA633" s="136" t="str">
        <f t="shared" ca="1" si="55"/>
        <v/>
      </c>
      <c r="AB633" s="40"/>
      <c r="AC633" s="116"/>
      <c r="AD633" s="116"/>
      <c r="AE633" s="40"/>
      <c r="AF633" s="136" t="str">
        <f t="shared" ca="1" si="56"/>
        <v/>
      </c>
      <c r="AG633" s="127"/>
      <c r="AH633" s="127"/>
      <c r="AI633" s="127"/>
      <c r="AJ633" s="128"/>
      <c r="AK633" s="128"/>
      <c r="AL633" s="129"/>
    </row>
    <row r="634" spans="1:38" ht="23.25" x14ac:dyDescent="0.25">
      <c r="A634" s="299" t="str">
        <f t="shared" si="53"/>
        <v>17SAM024</v>
      </c>
      <c r="B634" s="298">
        <v>24</v>
      </c>
      <c r="C634" s="299" t="s">
        <v>57</v>
      </c>
      <c r="D634" s="300" t="s">
        <v>40</v>
      </c>
      <c r="E634" s="124" t="s">
        <v>289</v>
      </c>
      <c r="F634" s="124" t="s">
        <v>2107</v>
      </c>
      <c r="G634" s="251" t="s">
        <v>2112</v>
      </c>
      <c r="H634" s="34" t="s">
        <v>60</v>
      </c>
      <c r="I634" s="126" t="s">
        <v>2108</v>
      </c>
      <c r="J634" s="47" t="s">
        <v>45</v>
      </c>
      <c r="K634" s="126">
        <v>442.34399999999999</v>
      </c>
      <c r="L634" s="132" t="s">
        <v>61</v>
      </c>
      <c r="M634" s="105" t="s">
        <v>61</v>
      </c>
      <c r="N634" s="265">
        <v>42772</v>
      </c>
      <c r="O634" s="260">
        <v>42775</v>
      </c>
      <c r="P634" s="106" t="s">
        <v>2109</v>
      </c>
      <c r="Q634" s="107" t="s">
        <v>2110</v>
      </c>
      <c r="R634" s="244" t="s">
        <v>60</v>
      </c>
      <c r="S634" s="37">
        <v>0</v>
      </c>
      <c r="T634" s="36" t="str">
        <f t="shared" ca="1" si="54"/>
        <v>Empty</v>
      </c>
      <c r="U634" s="37" t="s">
        <v>2111</v>
      </c>
      <c r="V634" s="37"/>
      <c r="W634" s="38">
        <v>42775</v>
      </c>
      <c r="X634" s="39" t="s">
        <v>248</v>
      </c>
      <c r="Y634" s="116" t="s">
        <v>453</v>
      </c>
      <c r="Z634" s="40" t="s">
        <v>212</v>
      </c>
      <c r="AA634" s="136">
        <f t="shared" ca="1" si="55"/>
        <v>595</v>
      </c>
      <c r="AB634" s="40"/>
      <c r="AC634" s="116"/>
      <c r="AD634" s="116"/>
      <c r="AE634" s="40"/>
      <c r="AF634" s="136" t="str">
        <f t="shared" ca="1" si="56"/>
        <v/>
      </c>
      <c r="AG634" s="127"/>
      <c r="AH634" s="127"/>
      <c r="AI634" s="127"/>
      <c r="AJ634" s="128"/>
      <c r="AK634" s="128"/>
      <c r="AL634" s="129"/>
    </row>
    <row r="635" spans="1:38" ht="37.5" x14ac:dyDescent="0.25">
      <c r="A635" s="299" t="str">
        <f t="shared" si="53"/>
        <v>17SAM025</v>
      </c>
      <c r="B635" s="298">
        <v>25</v>
      </c>
      <c r="C635" s="299" t="s">
        <v>57</v>
      </c>
      <c r="D635" s="300" t="s">
        <v>40</v>
      </c>
      <c r="E635" s="124" t="s">
        <v>1730</v>
      </c>
      <c r="F635" s="124" t="s">
        <v>2115</v>
      </c>
      <c r="G635" s="251"/>
      <c r="H635" s="34" t="s">
        <v>60</v>
      </c>
      <c r="I635" s="132" t="s">
        <v>61</v>
      </c>
      <c r="J635" s="47" t="s">
        <v>180</v>
      </c>
      <c r="K635" s="126">
        <v>307.44</v>
      </c>
      <c r="L635" s="132" t="s">
        <v>61</v>
      </c>
      <c r="M635" s="105" t="s">
        <v>61</v>
      </c>
      <c r="N635" s="265">
        <v>42775</v>
      </c>
      <c r="O635" s="260">
        <v>42781</v>
      </c>
      <c r="P635" s="106" t="s">
        <v>2117</v>
      </c>
      <c r="Q635" s="107" t="s">
        <v>212</v>
      </c>
      <c r="R635" s="244" t="s">
        <v>60</v>
      </c>
      <c r="S635" s="37">
        <v>0</v>
      </c>
      <c r="T635" s="36" t="str">
        <f t="shared" ca="1" si="54"/>
        <v>Empty</v>
      </c>
      <c r="U635" s="37" t="s">
        <v>2119</v>
      </c>
      <c r="V635" s="349" t="s">
        <v>2166</v>
      </c>
      <c r="W635" s="38"/>
      <c r="X635" s="39"/>
      <c r="Y635" s="150"/>
      <c r="Z635" s="40"/>
      <c r="AA635" s="136" t="str">
        <f t="shared" ca="1" si="55"/>
        <v/>
      </c>
      <c r="AB635" s="40"/>
      <c r="AC635" s="116"/>
      <c r="AD635" s="116"/>
      <c r="AE635" s="40"/>
      <c r="AF635" s="136" t="str">
        <f t="shared" ca="1" si="56"/>
        <v/>
      </c>
      <c r="AG635" s="127"/>
      <c r="AH635" s="127"/>
      <c r="AI635" s="127"/>
      <c r="AJ635" s="128"/>
      <c r="AK635" s="128"/>
      <c r="AL635" s="129"/>
    </row>
    <row r="636" spans="1:38" ht="23.25" x14ac:dyDescent="0.25">
      <c r="A636" s="299" t="str">
        <f t="shared" si="53"/>
        <v>17SAM026</v>
      </c>
      <c r="B636" s="298">
        <v>26</v>
      </c>
      <c r="C636" s="299" t="s">
        <v>57</v>
      </c>
      <c r="D636" s="300" t="s">
        <v>40</v>
      </c>
      <c r="E636" s="124" t="s">
        <v>1730</v>
      </c>
      <c r="F636" s="124" t="s">
        <v>2116</v>
      </c>
      <c r="G636" s="251"/>
      <c r="H636" s="34" t="s">
        <v>60</v>
      </c>
      <c r="I636" s="132" t="s">
        <v>61</v>
      </c>
      <c r="J636" s="47" t="s">
        <v>180</v>
      </c>
      <c r="K636" s="126">
        <v>329.4</v>
      </c>
      <c r="L636" s="132" t="s">
        <v>61</v>
      </c>
      <c r="M636" s="105" t="s">
        <v>61</v>
      </c>
      <c r="N636" s="265">
        <v>42775</v>
      </c>
      <c r="O636" s="260">
        <v>42781</v>
      </c>
      <c r="P636" s="106" t="s">
        <v>2118</v>
      </c>
      <c r="Q636" s="107" t="s">
        <v>212</v>
      </c>
      <c r="R636" s="244" t="s">
        <v>60</v>
      </c>
      <c r="S636" s="37">
        <f>61.26-28.2</f>
        <v>33.06</v>
      </c>
      <c r="T636" s="36">
        <f t="shared" ca="1" si="54"/>
        <v>589</v>
      </c>
      <c r="U636" s="37" t="s">
        <v>2119</v>
      </c>
      <c r="V636" s="349" t="s">
        <v>2120</v>
      </c>
      <c r="W636" s="38"/>
      <c r="X636" s="39"/>
      <c r="Y636" s="150"/>
      <c r="Z636" s="40"/>
      <c r="AA636" s="136" t="str">
        <f t="shared" ca="1" si="55"/>
        <v/>
      </c>
      <c r="AB636" s="40"/>
      <c r="AC636" s="116"/>
      <c r="AD636" s="116"/>
      <c r="AE636" s="40"/>
      <c r="AF636" s="136" t="str">
        <f t="shared" ca="1" si="56"/>
        <v/>
      </c>
      <c r="AG636" s="127"/>
      <c r="AH636" s="127"/>
      <c r="AI636" s="127"/>
      <c r="AJ636" s="128"/>
      <c r="AK636" s="128"/>
      <c r="AL636" s="129"/>
    </row>
    <row r="637" spans="1:38" ht="23.25" x14ac:dyDescent="0.25">
      <c r="A637" s="299" t="str">
        <f t="shared" si="53"/>
        <v>17SAM027</v>
      </c>
      <c r="B637" s="298">
        <v>27</v>
      </c>
      <c r="C637" s="299" t="s">
        <v>57</v>
      </c>
      <c r="D637" s="300" t="s">
        <v>170</v>
      </c>
      <c r="E637" s="124" t="s">
        <v>846</v>
      </c>
      <c r="F637" s="124" t="s">
        <v>2125</v>
      </c>
      <c r="G637" s="251"/>
      <c r="H637" s="34" t="s">
        <v>60</v>
      </c>
      <c r="I637" s="132" t="s">
        <v>61</v>
      </c>
      <c r="J637" s="47" t="s">
        <v>180</v>
      </c>
      <c r="K637" s="126">
        <v>407.48200000000003</v>
      </c>
      <c r="L637" s="132" t="s">
        <v>61</v>
      </c>
      <c r="M637" s="105" t="s">
        <v>61</v>
      </c>
      <c r="N637" s="265">
        <v>42789</v>
      </c>
      <c r="O637" s="260">
        <v>42790</v>
      </c>
      <c r="P637" s="106" t="s">
        <v>86</v>
      </c>
      <c r="Q637" s="107" t="s">
        <v>212</v>
      </c>
      <c r="R637" s="266">
        <v>0.99</v>
      </c>
      <c r="S637" s="37">
        <v>0</v>
      </c>
      <c r="T637" s="36" t="str">
        <f t="shared" ca="1" si="54"/>
        <v>Empty</v>
      </c>
      <c r="U637" s="37" t="s">
        <v>2048</v>
      </c>
      <c r="V637" s="37"/>
      <c r="W637" s="38">
        <v>42787</v>
      </c>
      <c r="X637" s="39" t="s">
        <v>50</v>
      </c>
      <c r="Y637" s="116" t="s">
        <v>2090</v>
      </c>
      <c r="Z637" s="40" t="s">
        <v>212</v>
      </c>
      <c r="AA637" s="136">
        <f t="shared" ca="1" si="55"/>
        <v>583</v>
      </c>
      <c r="AB637" s="40"/>
      <c r="AC637" s="116"/>
      <c r="AD637" s="116"/>
      <c r="AE637" s="40"/>
      <c r="AF637" s="136" t="str">
        <f t="shared" ca="1" si="56"/>
        <v/>
      </c>
      <c r="AG637" s="127"/>
      <c r="AH637" s="127"/>
      <c r="AI637" s="127"/>
      <c r="AJ637" s="128"/>
      <c r="AK637" s="128"/>
      <c r="AL637" s="129"/>
    </row>
    <row r="638" spans="1:38" ht="23.25" x14ac:dyDescent="0.25">
      <c r="A638" s="343" t="str">
        <f t="shared" si="53"/>
        <v>17REF028</v>
      </c>
      <c r="B638" s="342">
        <v>28</v>
      </c>
      <c r="C638" s="343" t="s">
        <v>39</v>
      </c>
      <c r="D638" s="344" t="s">
        <v>40</v>
      </c>
      <c r="E638" s="124" t="s">
        <v>41</v>
      </c>
      <c r="F638" s="124" t="s">
        <v>2127</v>
      </c>
      <c r="G638" s="251"/>
      <c r="H638" s="34" t="s">
        <v>2128</v>
      </c>
      <c r="I638" s="126" t="s">
        <v>2129</v>
      </c>
      <c r="J638" s="47" t="s">
        <v>105</v>
      </c>
      <c r="K638" s="126" t="s">
        <v>2130</v>
      </c>
      <c r="L638" s="126" t="s">
        <v>2131</v>
      </c>
      <c r="M638" s="104" t="s">
        <v>2132</v>
      </c>
      <c r="N638" s="265">
        <v>42794</v>
      </c>
      <c r="O638" s="260">
        <v>42796</v>
      </c>
      <c r="P638" s="106" t="s">
        <v>124</v>
      </c>
      <c r="Q638" s="107" t="s">
        <v>212</v>
      </c>
      <c r="R638" s="266">
        <v>0.98</v>
      </c>
      <c r="S638" s="37">
        <f>100-17.3</f>
        <v>82.7</v>
      </c>
      <c r="T638" s="36">
        <f t="shared" ca="1" si="54"/>
        <v>572</v>
      </c>
      <c r="U638" s="37" t="s">
        <v>2071</v>
      </c>
      <c r="V638" s="350" t="s">
        <v>2133</v>
      </c>
      <c r="W638" s="38">
        <v>42796</v>
      </c>
      <c r="X638" s="39" t="s">
        <v>248</v>
      </c>
      <c r="Y638" s="116" t="s">
        <v>2135</v>
      </c>
      <c r="Z638" s="40" t="s">
        <v>212</v>
      </c>
      <c r="AA638" s="136">
        <f t="shared" ca="1" si="55"/>
        <v>572</v>
      </c>
      <c r="AB638" s="40"/>
      <c r="AC638" s="116"/>
      <c r="AD638" s="116"/>
      <c r="AE638" s="40"/>
      <c r="AF638" s="136" t="str">
        <f t="shared" ca="1" si="56"/>
        <v/>
      </c>
      <c r="AG638" s="127"/>
      <c r="AH638" s="127"/>
      <c r="AI638" s="127"/>
      <c r="AJ638" s="128"/>
      <c r="AK638" s="128"/>
      <c r="AL638" s="129"/>
    </row>
    <row r="639" spans="1:38" ht="23.25" x14ac:dyDescent="0.25">
      <c r="A639" s="299" t="str">
        <f t="shared" si="53"/>
        <v>17SAM029</v>
      </c>
      <c r="B639" s="298">
        <v>29</v>
      </c>
      <c r="C639" s="299" t="s">
        <v>57</v>
      </c>
      <c r="D639" s="300" t="s">
        <v>40</v>
      </c>
      <c r="E639" s="124" t="s">
        <v>230</v>
      </c>
      <c r="F639" s="124" t="s">
        <v>2136</v>
      </c>
      <c r="G639" s="251" t="s">
        <v>2138</v>
      </c>
      <c r="H639" s="34" t="s">
        <v>60</v>
      </c>
      <c r="I639" s="132" t="s">
        <v>61</v>
      </c>
      <c r="J639" s="47" t="s">
        <v>45</v>
      </c>
      <c r="K639" s="126">
        <v>420.67</v>
      </c>
      <c r="L639" s="132" t="s">
        <v>61</v>
      </c>
      <c r="M639" s="105" t="s">
        <v>61</v>
      </c>
      <c r="N639" s="265">
        <v>42803</v>
      </c>
      <c r="O639" s="260">
        <v>42808</v>
      </c>
      <c r="P639" s="106" t="s">
        <v>891</v>
      </c>
      <c r="Q639" s="107" t="s">
        <v>1056</v>
      </c>
      <c r="R639" s="244" t="s">
        <v>60</v>
      </c>
      <c r="S639" s="37">
        <v>0</v>
      </c>
      <c r="T639" s="36" t="str">
        <f t="shared" ca="1" si="54"/>
        <v>Empty</v>
      </c>
      <c r="U639" s="37" t="s">
        <v>2137</v>
      </c>
      <c r="V639" s="37"/>
      <c r="W639" s="38">
        <v>42808</v>
      </c>
      <c r="X639" s="39" t="s">
        <v>2087</v>
      </c>
      <c r="Y639" s="116" t="s">
        <v>2141</v>
      </c>
      <c r="Z639" s="40" t="s">
        <v>212</v>
      </c>
      <c r="AA639" s="136">
        <f t="shared" ca="1" si="55"/>
        <v>560</v>
      </c>
      <c r="AB639" s="40"/>
      <c r="AC639" s="116"/>
      <c r="AD639" s="116"/>
      <c r="AE639" s="40"/>
      <c r="AF639" s="136" t="str">
        <f t="shared" ca="1" si="56"/>
        <v/>
      </c>
      <c r="AG639" s="127"/>
      <c r="AH639" s="127"/>
      <c r="AI639" s="127"/>
      <c r="AJ639" s="128"/>
      <c r="AK639" s="128"/>
      <c r="AL639" s="129"/>
    </row>
    <row r="640" spans="1:38" ht="23.25" x14ac:dyDescent="0.25">
      <c r="A640" s="343" t="str">
        <f t="shared" si="53"/>
        <v>17REF030</v>
      </c>
      <c r="B640" s="342">
        <v>30</v>
      </c>
      <c r="C640" s="343" t="s">
        <v>39</v>
      </c>
      <c r="D640" s="344" t="s">
        <v>824</v>
      </c>
      <c r="E640" s="124" t="s">
        <v>41</v>
      </c>
      <c r="F640" s="124" t="s">
        <v>3512</v>
      </c>
      <c r="G640" s="251" t="s">
        <v>61</v>
      </c>
      <c r="H640" s="443" t="s">
        <v>3513</v>
      </c>
      <c r="I640" s="126">
        <v>1824316</v>
      </c>
      <c r="J640" s="47" t="s">
        <v>105</v>
      </c>
      <c r="K640" s="132" t="s">
        <v>61</v>
      </c>
      <c r="L640" s="126">
        <v>11568876</v>
      </c>
      <c r="M640" s="105" t="s">
        <v>61</v>
      </c>
      <c r="N640" s="265">
        <v>42804</v>
      </c>
      <c r="O640" s="260">
        <v>42807</v>
      </c>
      <c r="P640" s="106" t="s">
        <v>2139</v>
      </c>
      <c r="Q640" s="107"/>
      <c r="R640" s="244"/>
      <c r="S640" s="37">
        <v>0</v>
      </c>
      <c r="T640" s="36" t="str">
        <f t="shared" ca="1" si="54"/>
        <v>Empty</v>
      </c>
      <c r="U640" s="37" t="s">
        <v>2150</v>
      </c>
      <c r="V640" s="350" t="s">
        <v>2140</v>
      </c>
      <c r="W640" s="38"/>
      <c r="X640" s="39"/>
      <c r="Y640" s="150"/>
      <c r="Z640" s="40"/>
      <c r="AA640" s="136" t="str">
        <f t="shared" ca="1" si="55"/>
        <v/>
      </c>
      <c r="AB640" s="40"/>
      <c r="AC640" s="116"/>
      <c r="AD640" s="116"/>
      <c r="AE640" s="40"/>
      <c r="AF640" s="136" t="str">
        <f t="shared" ca="1" si="56"/>
        <v/>
      </c>
      <c r="AG640" s="127"/>
      <c r="AH640" s="127"/>
      <c r="AI640" s="127"/>
      <c r="AJ640" s="128"/>
      <c r="AK640" s="128"/>
      <c r="AL640" s="129"/>
    </row>
    <row r="641" spans="1:38" ht="23.25" x14ac:dyDescent="0.25">
      <c r="A641" s="343" t="str">
        <f t="shared" si="53"/>
        <v>17REF031</v>
      </c>
      <c r="B641" s="342">
        <v>31</v>
      </c>
      <c r="C641" s="343" t="s">
        <v>39</v>
      </c>
      <c r="D641" s="344" t="s">
        <v>40</v>
      </c>
      <c r="E641" s="124" t="s">
        <v>41</v>
      </c>
      <c r="F641" s="124" t="s">
        <v>2043</v>
      </c>
      <c r="G641" s="251" t="s">
        <v>2044</v>
      </c>
      <c r="H641" s="34" t="s">
        <v>330</v>
      </c>
      <c r="I641" s="126" t="s">
        <v>2045</v>
      </c>
      <c r="J641" s="34" t="s">
        <v>180</v>
      </c>
      <c r="K641" s="126">
        <v>183.1</v>
      </c>
      <c r="L641" s="126" t="s">
        <v>2046</v>
      </c>
      <c r="M641" s="104" t="s">
        <v>2047</v>
      </c>
      <c r="N641" s="265">
        <v>42809</v>
      </c>
      <c r="O641" s="260">
        <v>42866</v>
      </c>
      <c r="P641" s="106" t="s">
        <v>86</v>
      </c>
      <c r="Q641" s="107" t="s">
        <v>2146</v>
      </c>
      <c r="R641" s="266">
        <v>0.99</v>
      </c>
      <c r="S641" s="37">
        <v>0</v>
      </c>
      <c r="T641" s="36" t="str">
        <f t="shared" ca="1" si="54"/>
        <v>Empty</v>
      </c>
      <c r="U641" s="37" t="s">
        <v>2040</v>
      </c>
      <c r="V641" s="37"/>
      <c r="W641" s="38">
        <v>42866</v>
      </c>
      <c r="X641" s="39" t="s">
        <v>248</v>
      </c>
      <c r="Y641" s="116" t="s">
        <v>1217</v>
      </c>
      <c r="Z641" s="40" t="s">
        <v>49</v>
      </c>
      <c r="AA641" s="136">
        <f t="shared" ca="1" si="55"/>
        <v>503</v>
      </c>
      <c r="AB641" s="40"/>
      <c r="AC641" s="116"/>
      <c r="AD641" s="116"/>
      <c r="AE641" s="40"/>
      <c r="AF641" s="136" t="str">
        <f t="shared" ca="1" si="56"/>
        <v/>
      </c>
      <c r="AG641" s="127"/>
      <c r="AH641" s="127"/>
      <c r="AI641" s="127"/>
      <c r="AJ641" s="128"/>
      <c r="AK641" s="128"/>
      <c r="AL641" s="129"/>
    </row>
    <row r="642" spans="1:38" ht="23.25" x14ac:dyDescent="0.25">
      <c r="A642" s="343" t="str">
        <f t="shared" si="53"/>
        <v>17REF032</v>
      </c>
      <c r="B642" s="342">
        <v>32</v>
      </c>
      <c r="C642" s="343" t="s">
        <v>39</v>
      </c>
      <c r="D642" s="344" t="s">
        <v>40</v>
      </c>
      <c r="E642" s="124" t="s">
        <v>41</v>
      </c>
      <c r="F642" s="124" t="s">
        <v>2142</v>
      </c>
      <c r="G642" s="251" t="s">
        <v>2148</v>
      </c>
      <c r="H642" s="34" t="s">
        <v>330</v>
      </c>
      <c r="I642" s="126" t="s">
        <v>2143</v>
      </c>
      <c r="J642" s="34" t="s">
        <v>180</v>
      </c>
      <c r="K642" s="126">
        <v>346.34</v>
      </c>
      <c r="L642" s="126" t="s">
        <v>2144</v>
      </c>
      <c r="M642" s="104" t="s">
        <v>2147</v>
      </c>
      <c r="N642" s="265">
        <v>42809</v>
      </c>
      <c r="O642" s="260">
        <v>42810</v>
      </c>
      <c r="P642" s="106" t="s">
        <v>776</v>
      </c>
      <c r="Q642" s="107" t="s">
        <v>2145</v>
      </c>
      <c r="R642" s="266">
        <v>0.99</v>
      </c>
      <c r="S642" s="37">
        <f>250-13.4</f>
        <v>236.6</v>
      </c>
      <c r="T642" s="36">
        <f t="shared" ca="1" si="54"/>
        <v>558</v>
      </c>
      <c r="U642" s="37" t="s">
        <v>2149</v>
      </c>
      <c r="V642" s="37"/>
      <c r="W642" s="38">
        <v>42810</v>
      </c>
      <c r="X642" s="39" t="s">
        <v>248</v>
      </c>
      <c r="Y642" s="116" t="s">
        <v>1217</v>
      </c>
      <c r="Z642" s="40" t="s">
        <v>212</v>
      </c>
      <c r="AA642" s="136">
        <f t="shared" ca="1" si="55"/>
        <v>558</v>
      </c>
      <c r="AB642" s="40"/>
      <c r="AC642" s="116"/>
      <c r="AD642" s="116"/>
      <c r="AE642" s="40"/>
      <c r="AF642" s="136" t="str">
        <f t="shared" ca="1" si="56"/>
        <v/>
      </c>
      <c r="AG642" s="127"/>
      <c r="AH642" s="127"/>
      <c r="AI642" s="127"/>
      <c r="AJ642" s="128"/>
      <c r="AK642" s="128"/>
      <c r="AL642" s="129"/>
    </row>
    <row r="643" spans="1:38" ht="23.25" x14ac:dyDescent="0.25">
      <c r="A643" s="343" t="str">
        <f t="shared" si="53"/>
        <v>17REF033</v>
      </c>
      <c r="B643" s="342">
        <v>33</v>
      </c>
      <c r="C643" s="343" t="s">
        <v>39</v>
      </c>
      <c r="D643" s="344" t="s">
        <v>40</v>
      </c>
      <c r="E643" s="124" t="s">
        <v>41</v>
      </c>
      <c r="F643" s="124" t="s">
        <v>779</v>
      </c>
      <c r="G643" s="251" t="s">
        <v>1126</v>
      </c>
      <c r="H643" s="34" t="s">
        <v>330</v>
      </c>
      <c r="I643" s="126" t="s">
        <v>1578</v>
      </c>
      <c r="J643" s="47" t="s">
        <v>180</v>
      </c>
      <c r="K643" s="126">
        <v>197.13</v>
      </c>
      <c r="L643" s="126" t="s">
        <v>781</v>
      </c>
      <c r="M643" s="104" t="s">
        <v>782</v>
      </c>
      <c r="N643" s="265">
        <v>42814</v>
      </c>
      <c r="O643" s="260">
        <v>42814</v>
      </c>
      <c r="P643" s="106" t="s">
        <v>183</v>
      </c>
      <c r="Q643" s="107" t="s">
        <v>2146</v>
      </c>
      <c r="R643" s="266">
        <v>0.99</v>
      </c>
      <c r="S643" s="37">
        <v>0</v>
      </c>
      <c r="T643" s="36" t="str">
        <f t="shared" ca="1" si="54"/>
        <v>Empty</v>
      </c>
      <c r="U643" s="37"/>
      <c r="V643" s="37"/>
      <c r="W643" s="38">
        <v>42921</v>
      </c>
      <c r="X643" s="39" t="s">
        <v>728</v>
      </c>
      <c r="Y643" s="116" t="s">
        <v>1485</v>
      </c>
      <c r="Z643" s="40" t="s">
        <v>49</v>
      </c>
      <c r="AA643" s="136">
        <f t="shared" ca="1" si="55"/>
        <v>449</v>
      </c>
      <c r="AB643" s="40"/>
      <c r="AC643" s="116"/>
      <c r="AD643" s="116"/>
      <c r="AE643" s="40"/>
      <c r="AF643" s="136" t="str">
        <f t="shared" ca="1" si="56"/>
        <v/>
      </c>
      <c r="AG643" s="127"/>
      <c r="AH643" s="127"/>
      <c r="AI643" s="127"/>
      <c r="AJ643" s="128"/>
      <c r="AK643" s="128"/>
      <c r="AL643" s="129"/>
    </row>
    <row r="644" spans="1:38" ht="23.25" x14ac:dyDescent="0.25">
      <c r="A644" s="343" t="str">
        <f t="shared" si="53"/>
        <v>17REF034</v>
      </c>
      <c r="B644" s="342">
        <v>34</v>
      </c>
      <c r="C644" s="343" t="s">
        <v>39</v>
      </c>
      <c r="D644" s="344" t="s">
        <v>40</v>
      </c>
      <c r="E644" s="124" t="s">
        <v>41</v>
      </c>
      <c r="F644" s="124" t="s">
        <v>779</v>
      </c>
      <c r="G644" s="251" t="s">
        <v>1126</v>
      </c>
      <c r="H644" s="34" t="s">
        <v>330</v>
      </c>
      <c r="I644" s="126" t="s">
        <v>1578</v>
      </c>
      <c r="J644" s="47" t="s">
        <v>180</v>
      </c>
      <c r="K644" s="126">
        <v>197.13</v>
      </c>
      <c r="L644" s="126" t="s">
        <v>781</v>
      </c>
      <c r="M644" s="104" t="s">
        <v>782</v>
      </c>
      <c r="N644" s="265">
        <v>42814</v>
      </c>
      <c r="O644" s="260">
        <v>42935</v>
      </c>
      <c r="P644" s="106" t="s">
        <v>183</v>
      </c>
      <c r="Q644" s="107" t="s">
        <v>2146</v>
      </c>
      <c r="R644" s="266">
        <v>0.99</v>
      </c>
      <c r="S644" s="37">
        <v>0</v>
      </c>
      <c r="T644" s="36" t="str">
        <f t="shared" ca="1" si="54"/>
        <v>Empty</v>
      </c>
      <c r="U644" s="37"/>
      <c r="V644" s="37"/>
      <c r="W644" s="38">
        <v>42935</v>
      </c>
      <c r="X644" s="39" t="s">
        <v>728</v>
      </c>
      <c r="Y644" s="116" t="s">
        <v>1485</v>
      </c>
      <c r="Z644" s="40" t="s">
        <v>49</v>
      </c>
      <c r="AA644" s="136">
        <f t="shared" ca="1" si="55"/>
        <v>435</v>
      </c>
      <c r="AB644" s="40"/>
      <c r="AC644" s="116"/>
      <c r="AD644" s="116"/>
      <c r="AE644" s="40"/>
      <c r="AF644" s="136" t="str">
        <f t="shared" ca="1" si="56"/>
        <v/>
      </c>
      <c r="AG644" s="127"/>
      <c r="AH644" s="127"/>
      <c r="AI644" s="127"/>
      <c r="AJ644" s="128"/>
      <c r="AK644" s="128"/>
      <c r="AL644" s="129"/>
    </row>
    <row r="645" spans="1:38" ht="23.25" x14ac:dyDescent="0.25">
      <c r="A645" s="343" t="str">
        <f t="shared" si="53"/>
        <v>17REF035</v>
      </c>
      <c r="B645" s="342">
        <v>35</v>
      </c>
      <c r="C645" s="343" t="s">
        <v>39</v>
      </c>
      <c r="D645" s="344" t="s">
        <v>40</v>
      </c>
      <c r="E645" s="124" t="s">
        <v>41</v>
      </c>
      <c r="F645" s="124" t="s">
        <v>2152</v>
      </c>
      <c r="G645" s="251" t="s">
        <v>2154</v>
      </c>
      <c r="H645" s="34" t="s">
        <v>112</v>
      </c>
      <c r="I645" s="126" t="s">
        <v>2155</v>
      </c>
      <c r="J645" s="47" t="s">
        <v>45</v>
      </c>
      <c r="K645" s="126">
        <v>173.17</v>
      </c>
      <c r="L645" s="132" t="s">
        <v>2160</v>
      </c>
      <c r="M645" s="104" t="s">
        <v>2156</v>
      </c>
      <c r="N645" s="265">
        <v>42815</v>
      </c>
      <c r="O645" s="260">
        <v>42816</v>
      </c>
      <c r="P645" s="106" t="s">
        <v>86</v>
      </c>
      <c r="Q645" s="107" t="s">
        <v>2157</v>
      </c>
      <c r="R645" s="267">
        <v>0.99199999999999999</v>
      </c>
      <c r="S645" s="37">
        <v>0</v>
      </c>
      <c r="T645" s="36" t="str">
        <f t="shared" ca="1" si="54"/>
        <v>Empty</v>
      </c>
      <c r="U645" s="37"/>
      <c r="V645" s="37"/>
      <c r="W645" s="38"/>
      <c r="X645" s="39"/>
      <c r="Y645" s="150"/>
      <c r="Z645" s="40"/>
      <c r="AA645" s="136" t="str">
        <f t="shared" ca="1" si="55"/>
        <v/>
      </c>
      <c r="AB645" s="40"/>
      <c r="AC645" s="116"/>
      <c r="AD645" s="116"/>
      <c r="AE645" s="40"/>
      <c r="AF645" s="136" t="str">
        <f t="shared" ca="1" si="56"/>
        <v/>
      </c>
      <c r="AG645" s="127"/>
      <c r="AH645" s="127"/>
      <c r="AI645" s="127"/>
      <c r="AJ645" s="128"/>
      <c r="AK645" s="128"/>
      <c r="AL645" s="129"/>
    </row>
    <row r="646" spans="1:38" ht="23.25" x14ac:dyDescent="0.25">
      <c r="A646" s="343" t="str">
        <f t="shared" si="53"/>
        <v>17REF036</v>
      </c>
      <c r="B646" s="342">
        <v>36</v>
      </c>
      <c r="C646" s="343" t="s">
        <v>39</v>
      </c>
      <c r="D646" s="344" t="s">
        <v>40</v>
      </c>
      <c r="E646" s="124" t="s">
        <v>41</v>
      </c>
      <c r="F646" s="124" t="s">
        <v>2153</v>
      </c>
      <c r="G646" s="251" t="s">
        <v>2158</v>
      </c>
      <c r="H646" s="34" t="s">
        <v>112</v>
      </c>
      <c r="I646" s="126" t="s">
        <v>2159</v>
      </c>
      <c r="J646" s="47" t="s">
        <v>45</v>
      </c>
      <c r="K646" s="126">
        <v>333.69</v>
      </c>
      <c r="L646" s="126">
        <v>2254</v>
      </c>
      <c r="M646" s="104" t="s">
        <v>2161</v>
      </c>
      <c r="N646" s="265">
        <v>42815</v>
      </c>
      <c r="O646" s="260"/>
      <c r="P646" s="106" t="s">
        <v>86</v>
      </c>
      <c r="Q646" s="107" t="s">
        <v>504</v>
      </c>
      <c r="R646" s="266">
        <v>1</v>
      </c>
      <c r="S646" s="37"/>
      <c r="T646" s="36" t="str">
        <f t="shared" ca="1" si="54"/>
        <v/>
      </c>
      <c r="U646" s="37"/>
      <c r="V646" s="37"/>
      <c r="W646" s="38"/>
      <c r="X646" s="39"/>
      <c r="Y646" s="150"/>
      <c r="Z646" s="40"/>
      <c r="AA646" s="136" t="str">
        <f t="shared" ca="1" si="55"/>
        <v/>
      </c>
      <c r="AB646" s="40"/>
      <c r="AC646" s="116"/>
      <c r="AD646" s="116"/>
      <c r="AE646" s="40"/>
      <c r="AF646" s="136" t="str">
        <f t="shared" ca="1" si="56"/>
        <v/>
      </c>
      <c r="AG646" s="127"/>
      <c r="AH646" s="127"/>
      <c r="AI646" s="127"/>
      <c r="AJ646" s="128"/>
      <c r="AK646" s="128"/>
      <c r="AL646" s="129"/>
    </row>
    <row r="647" spans="1:38" ht="21.75" customHeight="1" x14ac:dyDescent="0.25">
      <c r="A647" s="343" t="str">
        <f t="shared" si="53"/>
        <v>17REF037</v>
      </c>
      <c r="B647" s="342">
        <v>37</v>
      </c>
      <c r="C647" s="343" t="s">
        <v>39</v>
      </c>
      <c r="D647" s="344" t="s">
        <v>744</v>
      </c>
      <c r="E647" s="124" t="s">
        <v>41</v>
      </c>
      <c r="F647" s="124" t="s">
        <v>2954</v>
      </c>
      <c r="G647" s="251"/>
      <c r="H647" s="34" t="s">
        <v>1703</v>
      </c>
      <c r="I647" s="126">
        <v>612.15099999999995</v>
      </c>
      <c r="J647" s="47" t="s">
        <v>180</v>
      </c>
      <c r="K647" s="126">
        <v>319.27999999999997</v>
      </c>
      <c r="L647" s="126" t="s">
        <v>1704</v>
      </c>
      <c r="M647" s="104" t="s">
        <v>2162</v>
      </c>
      <c r="N647" s="265">
        <v>42816</v>
      </c>
      <c r="O647" s="260">
        <v>43178</v>
      </c>
      <c r="P647" s="106" t="s">
        <v>2163</v>
      </c>
      <c r="Q647" s="107" t="s">
        <v>1706</v>
      </c>
      <c r="R647" s="266">
        <v>0.99</v>
      </c>
      <c r="S647" s="37">
        <v>0</v>
      </c>
      <c r="T647" s="36" t="str">
        <f t="shared" ca="1" si="54"/>
        <v>Empty</v>
      </c>
      <c r="U647" s="37"/>
      <c r="V647" s="37"/>
      <c r="W647" s="38"/>
      <c r="X647" s="39"/>
      <c r="Y647" s="150"/>
      <c r="Z647" s="40"/>
      <c r="AA647" s="136" t="str">
        <f t="shared" ca="1" si="55"/>
        <v/>
      </c>
      <c r="AB647" s="40"/>
      <c r="AC647" s="116"/>
      <c r="AD647" s="116"/>
      <c r="AE647" s="40"/>
      <c r="AF647" s="136" t="str">
        <f t="shared" ca="1" si="56"/>
        <v/>
      </c>
      <c r="AG647" s="127"/>
      <c r="AH647" s="127"/>
      <c r="AI647" s="127"/>
      <c r="AJ647" s="128"/>
      <c r="AK647" s="128"/>
      <c r="AL647" s="129"/>
    </row>
    <row r="648" spans="1:38" ht="22.5" customHeight="1" x14ac:dyDescent="0.25">
      <c r="A648" s="343" t="str">
        <f t="shared" si="53"/>
        <v>17REF038</v>
      </c>
      <c r="B648" s="342">
        <v>38</v>
      </c>
      <c r="C648" s="343" t="s">
        <v>39</v>
      </c>
      <c r="D648" s="344" t="s">
        <v>744</v>
      </c>
      <c r="E648" s="124" t="s">
        <v>41</v>
      </c>
      <c r="F648" s="124" t="s">
        <v>2954</v>
      </c>
      <c r="G648" s="251"/>
      <c r="H648" s="34" t="s">
        <v>1703</v>
      </c>
      <c r="I648" s="126">
        <v>612.15099999999995</v>
      </c>
      <c r="J648" s="47" t="s">
        <v>180</v>
      </c>
      <c r="K648" s="126">
        <v>319.27999999999997</v>
      </c>
      <c r="L648" s="126" t="s">
        <v>1704</v>
      </c>
      <c r="M648" s="104" t="s">
        <v>2162</v>
      </c>
      <c r="N648" s="265">
        <v>42816</v>
      </c>
      <c r="O648" s="260">
        <v>43119</v>
      </c>
      <c r="P648" s="106" t="s">
        <v>2163</v>
      </c>
      <c r="Q648" s="107" t="s">
        <v>1706</v>
      </c>
      <c r="R648" s="266">
        <v>0.99</v>
      </c>
      <c r="S648" s="37">
        <v>0</v>
      </c>
      <c r="T648" s="36" t="str">
        <f t="shared" ca="1" si="54"/>
        <v>Empty</v>
      </c>
      <c r="U648" s="37"/>
      <c r="V648" s="37"/>
      <c r="W648" s="38"/>
      <c r="X648" s="39"/>
      <c r="Y648" s="150"/>
      <c r="Z648" s="40"/>
      <c r="AA648" s="136" t="str">
        <f t="shared" ca="1" si="55"/>
        <v/>
      </c>
      <c r="AB648" s="40"/>
      <c r="AC648" s="116"/>
      <c r="AD648" s="116"/>
      <c r="AE648" s="40"/>
      <c r="AF648" s="136" t="str">
        <f t="shared" ca="1" si="56"/>
        <v/>
      </c>
      <c r="AG648" s="127"/>
      <c r="AH648" s="127"/>
      <c r="AI648" s="127"/>
      <c r="AJ648" s="128"/>
      <c r="AK648" s="128"/>
      <c r="AL648" s="129"/>
    </row>
    <row r="649" spans="1:38" ht="27.75" customHeight="1" x14ac:dyDescent="0.25">
      <c r="A649" s="299" t="str">
        <f t="shared" si="53"/>
        <v>17SAM039</v>
      </c>
      <c r="B649" s="298">
        <v>39</v>
      </c>
      <c r="C649" s="299" t="s">
        <v>57</v>
      </c>
      <c r="D649" s="300" t="s">
        <v>744</v>
      </c>
      <c r="E649" s="124" t="s">
        <v>305</v>
      </c>
      <c r="F649" s="124" t="s">
        <v>2167</v>
      </c>
      <c r="G649" s="251" t="s">
        <v>2169</v>
      </c>
      <c r="H649" s="34" t="s">
        <v>60</v>
      </c>
      <c r="I649" s="126" t="s">
        <v>2168</v>
      </c>
      <c r="J649" s="47" t="s">
        <v>45</v>
      </c>
      <c r="K649" s="126">
        <v>393.86</v>
      </c>
      <c r="L649" s="132" t="s">
        <v>61</v>
      </c>
      <c r="M649" s="105" t="s">
        <v>61</v>
      </c>
      <c r="N649" s="265">
        <v>42821</v>
      </c>
      <c r="O649" s="260">
        <v>42823</v>
      </c>
      <c r="P649" s="106" t="s">
        <v>2100</v>
      </c>
      <c r="Q649" s="107" t="s">
        <v>212</v>
      </c>
      <c r="R649" s="267">
        <v>0.99780000000000002</v>
      </c>
      <c r="S649" s="37">
        <f>20.2-1.16-4.44-2.3-2.15-2.67-2.75</f>
        <v>4.7299999999999969</v>
      </c>
      <c r="T649" s="36">
        <f t="shared" ca="1" si="54"/>
        <v>545</v>
      </c>
      <c r="U649" s="37" t="s">
        <v>2151</v>
      </c>
      <c r="V649" s="37"/>
      <c r="W649" s="38">
        <v>42844</v>
      </c>
      <c r="X649" s="39" t="s">
        <v>1758</v>
      </c>
      <c r="Y649" s="116" t="s">
        <v>453</v>
      </c>
      <c r="Z649" s="40" t="s">
        <v>212</v>
      </c>
      <c r="AA649" s="136">
        <f t="shared" ca="1" si="55"/>
        <v>525</v>
      </c>
      <c r="AB649" s="40"/>
      <c r="AC649" s="116"/>
      <c r="AD649" s="116"/>
      <c r="AE649" s="40"/>
      <c r="AF649" s="136" t="str">
        <f t="shared" ca="1" si="56"/>
        <v/>
      </c>
      <c r="AG649" s="127"/>
      <c r="AH649" s="127"/>
      <c r="AI649" s="127"/>
      <c r="AJ649" s="128"/>
      <c r="AK649" s="128"/>
      <c r="AL649" s="129"/>
    </row>
    <row r="650" spans="1:38" ht="25.5" customHeight="1" x14ac:dyDescent="0.25">
      <c r="A650" s="299" t="str">
        <f t="shared" si="53"/>
        <v>17SAM040</v>
      </c>
      <c r="B650" s="298">
        <v>40</v>
      </c>
      <c r="C650" s="299" t="s">
        <v>57</v>
      </c>
      <c r="D650" s="300" t="s">
        <v>744</v>
      </c>
      <c r="E650" s="124" t="s">
        <v>305</v>
      </c>
      <c r="F650" s="124" t="s">
        <v>2170</v>
      </c>
      <c r="G650" s="251" t="s">
        <v>2171</v>
      </c>
      <c r="H650" s="34" t="s">
        <v>60</v>
      </c>
      <c r="I650" s="126" t="s">
        <v>2172</v>
      </c>
      <c r="J650" s="47" t="s">
        <v>45</v>
      </c>
      <c r="K650" s="126">
        <v>427.42</v>
      </c>
      <c r="L650" s="132" t="s">
        <v>61</v>
      </c>
      <c r="M650" s="105" t="s">
        <v>61</v>
      </c>
      <c r="N650" s="265">
        <v>42821</v>
      </c>
      <c r="O650" s="260">
        <v>42825</v>
      </c>
      <c r="P650" s="106" t="s">
        <v>406</v>
      </c>
      <c r="Q650" s="107" t="s">
        <v>212</v>
      </c>
      <c r="R650" s="267">
        <v>0.99009999999999998</v>
      </c>
      <c r="S650" s="37">
        <f>20.1-3.46-1.29-1.4-2.75-2.12</f>
        <v>9.0800000000000018</v>
      </c>
      <c r="T650" s="36">
        <f t="shared" ca="1" si="54"/>
        <v>544</v>
      </c>
      <c r="U650" s="37" t="s">
        <v>2151</v>
      </c>
      <c r="V650" s="37"/>
      <c r="W650" s="38"/>
      <c r="X650" s="39"/>
      <c r="Y650" s="150"/>
      <c r="Z650" s="40"/>
      <c r="AA650" s="136" t="str">
        <f t="shared" ca="1" si="55"/>
        <v/>
      </c>
      <c r="AB650" s="40"/>
      <c r="AC650" s="116"/>
      <c r="AD650" s="116"/>
      <c r="AE650" s="40"/>
      <c r="AF650" s="136" t="str">
        <f t="shared" ca="1" si="56"/>
        <v/>
      </c>
      <c r="AG650" s="127"/>
      <c r="AH650" s="127"/>
      <c r="AI650" s="127"/>
      <c r="AJ650" s="128"/>
      <c r="AK650" s="128"/>
      <c r="AL650" s="129"/>
    </row>
    <row r="651" spans="1:38" ht="20.25" customHeight="1" x14ac:dyDescent="0.25">
      <c r="A651" s="299" t="str">
        <f t="shared" si="53"/>
        <v>17SAM041</v>
      </c>
      <c r="B651" s="298">
        <v>41</v>
      </c>
      <c r="C651" s="299" t="s">
        <v>57</v>
      </c>
      <c r="D651" s="300" t="s">
        <v>744</v>
      </c>
      <c r="E651" s="124" t="s">
        <v>305</v>
      </c>
      <c r="F651" s="124" t="s">
        <v>2173</v>
      </c>
      <c r="G651" s="251" t="s">
        <v>2174</v>
      </c>
      <c r="H651" s="34" t="s">
        <v>60</v>
      </c>
      <c r="I651" s="126" t="s">
        <v>2175</v>
      </c>
      <c r="J651" s="47" t="s">
        <v>45</v>
      </c>
      <c r="K651" s="126">
        <v>431.46</v>
      </c>
      <c r="L651" s="132" t="s">
        <v>61</v>
      </c>
      <c r="M651" s="105" t="s">
        <v>61</v>
      </c>
      <c r="N651" s="265">
        <v>42821</v>
      </c>
      <c r="O651" s="260">
        <v>42846</v>
      </c>
      <c r="P651" s="106" t="s">
        <v>2176</v>
      </c>
      <c r="Q651" s="107" t="s">
        <v>212</v>
      </c>
      <c r="R651" s="267">
        <v>0.99760000000000004</v>
      </c>
      <c r="S651" s="37">
        <f>20.5-2.05-1.34-1.72-3.55</f>
        <v>11.84</v>
      </c>
      <c r="T651" s="36">
        <f t="shared" ca="1" si="54"/>
        <v>523</v>
      </c>
      <c r="U651" s="37" t="s">
        <v>2151</v>
      </c>
      <c r="V651" s="37"/>
      <c r="W651" s="38"/>
      <c r="X651" s="39"/>
      <c r="Y651" s="150"/>
      <c r="Z651" s="40"/>
      <c r="AA651" s="136" t="str">
        <f t="shared" ca="1" si="55"/>
        <v/>
      </c>
      <c r="AB651" s="40"/>
      <c r="AC651" s="116"/>
      <c r="AD651" s="116"/>
      <c r="AE651" s="40"/>
      <c r="AF651" s="136" t="str">
        <f t="shared" ca="1" si="56"/>
        <v/>
      </c>
      <c r="AG651" s="127"/>
      <c r="AH651" s="127"/>
      <c r="AI651" s="127"/>
      <c r="AJ651" s="128"/>
      <c r="AK651" s="128"/>
      <c r="AL651" s="129"/>
    </row>
    <row r="652" spans="1:38" ht="27" customHeight="1" x14ac:dyDescent="0.25">
      <c r="A652" s="299" t="str">
        <f t="shared" si="53"/>
        <v>17SAM042</v>
      </c>
      <c r="B652" s="298">
        <v>42</v>
      </c>
      <c r="C652" s="299" t="s">
        <v>57</v>
      </c>
      <c r="D652" s="300" t="s">
        <v>744</v>
      </c>
      <c r="E652" s="124" t="s">
        <v>305</v>
      </c>
      <c r="F652" s="124" t="s">
        <v>2177</v>
      </c>
      <c r="G652" s="251" t="s">
        <v>2179</v>
      </c>
      <c r="H652" s="34" t="s">
        <v>60</v>
      </c>
      <c r="I652" s="126" t="s">
        <v>2178</v>
      </c>
      <c r="J652" s="47" t="s">
        <v>45</v>
      </c>
      <c r="K652" s="126">
        <v>411.45</v>
      </c>
      <c r="L652" s="132" t="s">
        <v>61</v>
      </c>
      <c r="M652" s="105" t="s">
        <v>61</v>
      </c>
      <c r="N652" s="265">
        <v>42821</v>
      </c>
      <c r="O652" s="260">
        <v>42849</v>
      </c>
      <c r="P652" s="106" t="s">
        <v>2176</v>
      </c>
      <c r="Q652" s="107" t="s">
        <v>212</v>
      </c>
      <c r="R652" s="267">
        <v>0.99560000000000004</v>
      </c>
      <c r="S652" s="37">
        <f>20.5-2.78-1.65-2.22-1.62-1.99-6.81</f>
        <v>3.4300000000000006</v>
      </c>
      <c r="T652" s="36">
        <f t="shared" ca="1" si="54"/>
        <v>520</v>
      </c>
      <c r="U652" s="37" t="s">
        <v>2151</v>
      </c>
      <c r="V652" s="37"/>
      <c r="W652" s="38"/>
      <c r="X652" s="39"/>
      <c r="Y652" s="150"/>
      <c r="Z652" s="40"/>
      <c r="AA652" s="136" t="str">
        <f t="shared" ca="1" si="55"/>
        <v/>
      </c>
      <c r="AB652" s="40"/>
      <c r="AC652" s="116"/>
      <c r="AD652" s="116"/>
      <c r="AE652" s="40"/>
      <c r="AF652" s="136" t="str">
        <f t="shared" ca="1" si="56"/>
        <v/>
      </c>
      <c r="AG652" s="127"/>
      <c r="AH652" s="127"/>
      <c r="AI652" s="127"/>
      <c r="AJ652" s="128"/>
      <c r="AK652" s="128"/>
      <c r="AL652" s="129"/>
    </row>
    <row r="653" spans="1:38" ht="23.25" x14ac:dyDescent="0.25">
      <c r="A653" s="299" t="str">
        <f t="shared" si="53"/>
        <v>17SAM043</v>
      </c>
      <c r="B653" s="298">
        <v>43</v>
      </c>
      <c r="C653" s="299" t="s">
        <v>57</v>
      </c>
      <c r="D653" s="300" t="s">
        <v>40</v>
      </c>
      <c r="E653" s="124" t="s">
        <v>230</v>
      </c>
      <c r="F653" s="124" t="s">
        <v>2136</v>
      </c>
      <c r="G653" s="351" t="s">
        <v>2189</v>
      </c>
      <c r="H653" s="34" t="s">
        <v>60</v>
      </c>
      <c r="I653" s="251" t="s">
        <v>2188</v>
      </c>
      <c r="J653" s="47" t="s">
        <v>45</v>
      </c>
      <c r="K653" s="126">
        <v>420.67</v>
      </c>
      <c r="L653" s="132" t="s">
        <v>61</v>
      </c>
      <c r="M653" s="105" t="s">
        <v>61</v>
      </c>
      <c r="N653" s="265">
        <v>42832</v>
      </c>
      <c r="O653" s="260">
        <v>42832</v>
      </c>
      <c r="P653" s="106" t="s">
        <v>280</v>
      </c>
      <c r="Q653" s="107" t="s">
        <v>2185</v>
      </c>
      <c r="R653" s="244" t="s">
        <v>60</v>
      </c>
      <c r="S653" s="37">
        <v>0</v>
      </c>
      <c r="T653" s="36" t="str">
        <f t="shared" ca="1" si="54"/>
        <v>Empty</v>
      </c>
      <c r="U653" s="37" t="s">
        <v>2183</v>
      </c>
      <c r="V653" s="37"/>
      <c r="W653" s="38"/>
      <c r="X653" s="39"/>
      <c r="Y653" s="150"/>
      <c r="Z653" s="40"/>
      <c r="AA653" s="136" t="str">
        <f t="shared" ca="1" si="55"/>
        <v/>
      </c>
      <c r="AB653" s="40"/>
      <c r="AC653" s="116"/>
      <c r="AD653" s="116"/>
      <c r="AE653" s="40"/>
      <c r="AF653" s="136" t="str">
        <f t="shared" ca="1" si="56"/>
        <v/>
      </c>
      <c r="AG653" s="127"/>
      <c r="AH653" s="127"/>
      <c r="AI653" s="127"/>
      <c r="AJ653" s="128"/>
      <c r="AK653" s="128"/>
      <c r="AL653" s="129"/>
    </row>
    <row r="654" spans="1:38" ht="23.25" x14ac:dyDescent="0.25">
      <c r="A654" s="299" t="str">
        <f t="shared" si="53"/>
        <v>17SAM044</v>
      </c>
      <c r="B654" s="298">
        <v>44</v>
      </c>
      <c r="C654" s="299" t="s">
        <v>57</v>
      </c>
      <c r="D654" s="300" t="s">
        <v>40</v>
      </c>
      <c r="E654" s="124" t="s">
        <v>1640</v>
      </c>
      <c r="F654" s="124" t="s">
        <v>1689</v>
      </c>
      <c r="G654" s="251" t="s">
        <v>2184</v>
      </c>
      <c r="H654" s="34" t="s">
        <v>60</v>
      </c>
      <c r="I654" s="132" t="s">
        <v>61</v>
      </c>
      <c r="J654" s="47" t="s">
        <v>180</v>
      </c>
      <c r="K654" s="126">
        <v>378.42</v>
      </c>
      <c r="L654" s="132" t="s">
        <v>61</v>
      </c>
      <c r="M654" s="105" t="s">
        <v>61</v>
      </c>
      <c r="N654" s="265">
        <v>42832</v>
      </c>
      <c r="O654" s="260">
        <v>42844</v>
      </c>
      <c r="P654" s="106" t="s">
        <v>1718</v>
      </c>
      <c r="Q654" s="107" t="s">
        <v>2185</v>
      </c>
      <c r="R654" s="244" t="s">
        <v>60</v>
      </c>
      <c r="S654" s="37">
        <v>0</v>
      </c>
      <c r="T654" s="36" t="str">
        <f t="shared" ca="1" si="54"/>
        <v>Empty</v>
      </c>
      <c r="U654" s="37" t="s">
        <v>2186</v>
      </c>
      <c r="V654" s="37"/>
      <c r="W654" s="38">
        <v>42844</v>
      </c>
      <c r="X654" s="39" t="s">
        <v>2087</v>
      </c>
      <c r="Y654" s="116" t="s">
        <v>2207</v>
      </c>
      <c r="Z654" s="40" t="s">
        <v>212</v>
      </c>
      <c r="AA654" s="136">
        <f t="shared" ca="1" si="55"/>
        <v>525</v>
      </c>
      <c r="AB654" s="40"/>
      <c r="AC654" s="116"/>
      <c r="AD654" s="116"/>
      <c r="AE654" s="40"/>
      <c r="AF654" s="136" t="str">
        <f t="shared" ca="1" si="56"/>
        <v/>
      </c>
      <c r="AG654" s="127"/>
      <c r="AH654" s="127"/>
      <c r="AI654" s="127"/>
      <c r="AJ654" s="128"/>
      <c r="AK654" s="128"/>
      <c r="AL654" s="129"/>
    </row>
    <row r="655" spans="1:38" ht="23.25" x14ac:dyDescent="0.25">
      <c r="A655" s="299" t="str">
        <f t="shared" si="53"/>
        <v>17SAM045</v>
      </c>
      <c r="B655" s="298">
        <v>45</v>
      </c>
      <c r="C655" s="299" t="s">
        <v>57</v>
      </c>
      <c r="D655" s="300" t="s">
        <v>40</v>
      </c>
      <c r="E655" s="124" t="s">
        <v>739</v>
      </c>
      <c r="F655" s="124" t="s">
        <v>2190</v>
      </c>
      <c r="G655" s="251" t="s">
        <v>2192</v>
      </c>
      <c r="H655" s="34" t="s">
        <v>60</v>
      </c>
      <c r="I655" s="132" t="s">
        <v>61</v>
      </c>
      <c r="J655" s="47" t="s">
        <v>45</v>
      </c>
      <c r="K655" s="126">
        <v>324.85000000000002</v>
      </c>
      <c r="L655" s="132" t="s">
        <v>61</v>
      </c>
      <c r="M655" s="105" t="s">
        <v>61</v>
      </c>
      <c r="N655" s="265">
        <v>42836</v>
      </c>
      <c r="O655" s="260">
        <v>42839</v>
      </c>
      <c r="P655" s="106" t="s">
        <v>2194</v>
      </c>
      <c r="Q655" s="107" t="s">
        <v>212</v>
      </c>
      <c r="R655" s="244" t="s">
        <v>60</v>
      </c>
      <c r="S655" s="37">
        <f>35.44-14-1.41-1.43-2.23</f>
        <v>16.369999999999997</v>
      </c>
      <c r="T655" s="36">
        <f t="shared" ca="1" si="54"/>
        <v>530</v>
      </c>
      <c r="U655" s="37" t="s">
        <v>2196</v>
      </c>
      <c r="V655" s="37"/>
      <c r="W655" s="38">
        <v>42839</v>
      </c>
      <c r="X655" s="39" t="s">
        <v>722</v>
      </c>
      <c r="Y655" s="116" t="s">
        <v>2114</v>
      </c>
      <c r="Z655" s="40" t="s">
        <v>212</v>
      </c>
      <c r="AA655" s="136">
        <f t="shared" ca="1" si="55"/>
        <v>530</v>
      </c>
      <c r="AB655" s="271">
        <v>43035</v>
      </c>
      <c r="AC655" s="116" t="s">
        <v>50</v>
      </c>
      <c r="AD655" s="116" t="s">
        <v>1217</v>
      </c>
      <c r="AE655" s="40" t="s">
        <v>212</v>
      </c>
      <c r="AF655" s="136">
        <f t="shared" ca="1" si="56"/>
        <v>337</v>
      </c>
      <c r="AG655" s="127"/>
      <c r="AH655" s="127"/>
      <c r="AI655" s="127"/>
      <c r="AJ655" s="128"/>
      <c r="AK655" s="128"/>
      <c r="AL655" s="129"/>
    </row>
    <row r="656" spans="1:38" ht="23.25" x14ac:dyDescent="0.25">
      <c r="A656" s="299" t="str">
        <f t="shared" si="53"/>
        <v>17SAM046</v>
      </c>
      <c r="B656" s="298">
        <v>46</v>
      </c>
      <c r="C656" s="299" t="s">
        <v>57</v>
      </c>
      <c r="D656" s="300" t="s">
        <v>40</v>
      </c>
      <c r="E656" s="124" t="s">
        <v>739</v>
      </c>
      <c r="F656" s="124" t="s">
        <v>2191</v>
      </c>
      <c r="G656" s="251" t="s">
        <v>2193</v>
      </c>
      <c r="H656" s="34" t="s">
        <v>60</v>
      </c>
      <c r="I656" s="132" t="s">
        <v>61</v>
      </c>
      <c r="J656" s="47" t="s">
        <v>45</v>
      </c>
      <c r="K656" s="126">
        <v>389.42</v>
      </c>
      <c r="L656" s="132" t="s">
        <v>61</v>
      </c>
      <c r="M656" s="105" t="s">
        <v>61</v>
      </c>
      <c r="N656" s="265">
        <v>42836</v>
      </c>
      <c r="O656" s="260">
        <v>42839</v>
      </c>
      <c r="P656" s="106" t="s">
        <v>2195</v>
      </c>
      <c r="Q656" s="107" t="s">
        <v>212</v>
      </c>
      <c r="R656" s="244" t="s">
        <v>60</v>
      </c>
      <c r="S656" s="37">
        <f>35.56-12.2-4.98</f>
        <v>18.380000000000003</v>
      </c>
      <c r="T656" s="36">
        <f t="shared" ca="1" si="54"/>
        <v>530</v>
      </c>
      <c r="U656" s="37" t="s">
        <v>2196</v>
      </c>
      <c r="V656" s="37"/>
      <c r="W656" s="38">
        <v>42839</v>
      </c>
      <c r="X656" s="39" t="s">
        <v>722</v>
      </c>
      <c r="Y656" s="116" t="s">
        <v>2114</v>
      </c>
      <c r="Z656" s="40" t="s">
        <v>212</v>
      </c>
      <c r="AA656" s="136">
        <f t="shared" ca="1" si="55"/>
        <v>530</v>
      </c>
      <c r="AB656" s="40"/>
      <c r="AC656" s="116"/>
      <c r="AD656" s="116"/>
      <c r="AE656" s="40"/>
      <c r="AF656" s="136" t="str">
        <f t="shared" ca="1" si="56"/>
        <v/>
      </c>
      <c r="AG656" s="127"/>
      <c r="AH656" s="127"/>
      <c r="AI656" s="127"/>
      <c r="AJ656" s="128"/>
      <c r="AK656" s="128"/>
      <c r="AL656" s="129"/>
    </row>
    <row r="657" spans="1:38" ht="23.25" x14ac:dyDescent="0.25">
      <c r="A657" s="343" t="str">
        <f t="shared" si="53"/>
        <v>17REF047</v>
      </c>
      <c r="B657" s="342">
        <v>47</v>
      </c>
      <c r="C657" s="343" t="s">
        <v>39</v>
      </c>
      <c r="D657" s="344" t="s">
        <v>824</v>
      </c>
      <c r="E657" s="124" t="s">
        <v>41</v>
      </c>
      <c r="F657" s="124" t="s">
        <v>1840</v>
      </c>
      <c r="G657" s="251"/>
      <c r="H657" s="34" t="s">
        <v>43</v>
      </c>
      <c r="I657" s="126" t="s">
        <v>2197</v>
      </c>
      <c r="J657" s="47" t="s">
        <v>45</v>
      </c>
      <c r="K657" s="126">
        <v>238.3</v>
      </c>
      <c r="L657" s="126" t="s">
        <v>1842</v>
      </c>
      <c r="M657" s="104" t="s">
        <v>2198</v>
      </c>
      <c r="N657" s="265">
        <v>42844</v>
      </c>
      <c r="O657" s="260"/>
      <c r="P657" s="106" t="s">
        <v>1875</v>
      </c>
      <c r="Q657" s="107" t="s">
        <v>2991</v>
      </c>
      <c r="R657" s="266">
        <v>1</v>
      </c>
      <c r="S657" s="37"/>
      <c r="T657" s="36" t="str">
        <f t="shared" ca="1" si="54"/>
        <v/>
      </c>
      <c r="U657" s="37"/>
      <c r="V657" s="37"/>
      <c r="W657" s="38"/>
      <c r="X657" s="39"/>
      <c r="Y657" s="150"/>
      <c r="Z657" s="40"/>
      <c r="AA657" s="136" t="str">
        <f t="shared" ca="1" si="55"/>
        <v/>
      </c>
      <c r="AB657" s="40"/>
      <c r="AC657" s="116"/>
      <c r="AD657" s="116"/>
      <c r="AE657" s="40"/>
      <c r="AF657" s="136" t="str">
        <f t="shared" ca="1" si="56"/>
        <v/>
      </c>
      <c r="AG657" s="127"/>
      <c r="AH657" s="127"/>
      <c r="AI657" s="127"/>
      <c r="AJ657" s="128"/>
      <c r="AK657" s="128"/>
      <c r="AL657" s="129"/>
    </row>
    <row r="658" spans="1:38" ht="30" x14ac:dyDescent="0.25">
      <c r="A658" s="343" t="str">
        <f t="shared" si="53"/>
        <v>17REF048</v>
      </c>
      <c r="B658" s="342">
        <v>48</v>
      </c>
      <c r="C658" s="343" t="s">
        <v>39</v>
      </c>
      <c r="D658" s="344" t="s">
        <v>170</v>
      </c>
      <c r="E658" s="124" t="s">
        <v>41</v>
      </c>
      <c r="F658" s="124" t="s">
        <v>878</v>
      </c>
      <c r="G658" s="251" t="s">
        <v>3225</v>
      </c>
      <c r="H658" s="34" t="s">
        <v>43</v>
      </c>
      <c r="I658" s="126" t="s">
        <v>2199</v>
      </c>
      <c r="J658" s="47" t="s">
        <v>45</v>
      </c>
      <c r="K658" s="126">
        <v>189.17</v>
      </c>
      <c r="L658" s="126" t="s">
        <v>880</v>
      </c>
      <c r="M658" s="104" t="s">
        <v>881</v>
      </c>
      <c r="N658" s="265">
        <v>42844</v>
      </c>
      <c r="O658" s="260">
        <v>43019</v>
      </c>
      <c r="P658" s="106" t="s">
        <v>56</v>
      </c>
      <c r="Q658" s="107"/>
      <c r="R658" s="266">
        <v>1</v>
      </c>
      <c r="S658" s="37">
        <v>0</v>
      </c>
      <c r="T658" s="36" t="str">
        <f t="shared" ca="1" si="54"/>
        <v>Empty</v>
      </c>
      <c r="U658" s="37"/>
      <c r="V658" s="37"/>
      <c r="W658" s="38"/>
      <c r="X658" s="39"/>
      <c r="Y658" s="150"/>
      <c r="Z658" s="40"/>
      <c r="AA658" s="136" t="str">
        <f t="shared" ca="1" si="55"/>
        <v/>
      </c>
      <c r="AB658" s="40"/>
      <c r="AC658" s="116"/>
      <c r="AD658" s="116"/>
      <c r="AE658" s="40"/>
      <c r="AF658" s="136" t="str">
        <f t="shared" ca="1" si="56"/>
        <v/>
      </c>
      <c r="AG658" s="127"/>
      <c r="AH658" s="127"/>
      <c r="AI658" s="127"/>
      <c r="AJ658" s="128"/>
      <c r="AK658" s="128"/>
      <c r="AL658" s="129"/>
    </row>
    <row r="659" spans="1:38" ht="30" x14ac:dyDescent="0.25">
      <c r="A659" s="343" t="str">
        <f t="shared" si="53"/>
        <v>17REF049</v>
      </c>
      <c r="B659" s="342">
        <v>49</v>
      </c>
      <c r="C659" s="343" t="s">
        <v>39</v>
      </c>
      <c r="D659" s="344" t="s">
        <v>170</v>
      </c>
      <c r="E659" s="124" t="s">
        <v>41</v>
      </c>
      <c r="F659" s="124" t="s">
        <v>878</v>
      </c>
      <c r="G659" s="251" t="s">
        <v>3225</v>
      </c>
      <c r="H659" s="34" t="s">
        <v>43</v>
      </c>
      <c r="I659" s="126" t="s">
        <v>2199</v>
      </c>
      <c r="J659" s="47" t="s">
        <v>45</v>
      </c>
      <c r="K659" s="126">
        <v>189.17</v>
      </c>
      <c r="L659" s="126" t="s">
        <v>880</v>
      </c>
      <c r="M659" s="104" t="s">
        <v>881</v>
      </c>
      <c r="N659" s="265">
        <v>42844</v>
      </c>
      <c r="O659" s="260">
        <v>43115</v>
      </c>
      <c r="P659" s="106" t="s">
        <v>56</v>
      </c>
      <c r="Q659" s="107"/>
      <c r="R659" s="266">
        <v>1</v>
      </c>
      <c r="S659" s="37">
        <v>0</v>
      </c>
      <c r="T659" s="36" t="str">
        <f t="shared" ca="1" si="54"/>
        <v>Empty</v>
      </c>
      <c r="U659" s="37"/>
      <c r="V659" s="37"/>
      <c r="W659" s="38"/>
      <c r="X659" s="39"/>
      <c r="Y659" s="150"/>
      <c r="Z659" s="40"/>
      <c r="AA659" s="136" t="str">
        <f t="shared" ca="1" si="55"/>
        <v/>
      </c>
      <c r="AB659" s="40"/>
      <c r="AC659" s="116"/>
      <c r="AD659" s="116"/>
      <c r="AE659" s="40"/>
      <c r="AF659" s="136" t="str">
        <f t="shared" ca="1" si="56"/>
        <v/>
      </c>
      <c r="AG659" s="127"/>
      <c r="AH659" s="127"/>
      <c r="AI659" s="127"/>
      <c r="AJ659" s="128"/>
      <c r="AK659" s="128"/>
      <c r="AL659" s="129"/>
    </row>
    <row r="660" spans="1:38" ht="26.25" customHeight="1" x14ac:dyDescent="0.25">
      <c r="A660" s="343" t="str">
        <f t="shared" si="53"/>
        <v>17REF050</v>
      </c>
      <c r="B660" s="342">
        <v>50</v>
      </c>
      <c r="C660" s="343" t="s">
        <v>39</v>
      </c>
      <c r="D660" s="344" t="s">
        <v>744</v>
      </c>
      <c r="E660" s="124" t="s">
        <v>41</v>
      </c>
      <c r="F660" s="124" t="s">
        <v>3188</v>
      </c>
      <c r="G660" s="251" t="s">
        <v>2201</v>
      </c>
      <c r="H660" s="34" t="s">
        <v>43</v>
      </c>
      <c r="I660" s="126" t="s">
        <v>807</v>
      </c>
      <c r="J660" s="47" t="s">
        <v>180</v>
      </c>
      <c r="K660" s="126">
        <v>509.29</v>
      </c>
      <c r="L660" s="126">
        <v>14343</v>
      </c>
      <c r="M660" s="104" t="s">
        <v>808</v>
      </c>
      <c r="N660" s="265">
        <v>42844</v>
      </c>
      <c r="O660" s="260">
        <v>42899</v>
      </c>
      <c r="P660" s="106" t="s">
        <v>183</v>
      </c>
      <c r="Q660" s="107" t="s">
        <v>2200</v>
      </c>
      <c r="R660" s="267">
        <v>0.95599999999999996</v>
      </c>
      <c r="S660" s="37">
        <v>0</v>
      </c>
      <c r="T660" s="36" t="str">
        <f t="shared" ca="1" si="54"/>
        <v>Empty</v>
      </c>
      <c r="U660" s="37" t="s">
        <v>2289</v>
      </c>
      <c r="V660" s="37"/>
      <c r="W660" s="38">
        <v>42899</v>
      </c>
      <c r="X660" s="39" t="s">
        <v>248</v>
      </c>
      <c r="Y660" s="150" t="s">
        <v>2310</v>
      </c>
      <c r="Z660" s="40" t="s">
        <v>49</v>
      </c>
      <c r="AA660" s="136">
        <f t="shared" ca="1" si="55"/>
        <v>471</v>
      </c>
      <c r="AB660" s="40"/>
      <c r="AC660" s="116"/>
      <c r="AD660" s="116"/>
      <c r="AE660" s="40"/>
      <c r="AF660" s="136" t="str">
        <f t="shared" ca="1" si="56"/>
        <v/>
      </c>
      <c r="AG660" s="127"/>
      <c r="AH660" s="127"/>
      <c r="AI660" s="127"/>
      <c r="AJ660" s="128"/>
      <c r="AK660" s="128"/>
      <c r="AL660" s="129"/>
    </row>
    <row r="661" spans="1:38" ht="23.25" x14ac:dyDescent="0.25">
      <c r="A661" s="299" t="str">
        <f t="shared" si="53"/>
        <v>17SAM051</v>
      </c>
      <c r="B661" s="298">
        <v>51</v>
      </c>
      <c r="C661" s="299" t="s">
        <v>57</v>
      </c>
      <c r="D661" s="300" t="s">
        <v>40</v>
      </c>
      <c r="E661" s="124" t="s">
        <v>289</v>
      </c>
      <c r="F661" s="124" t="s">
        <v>2202</v>
      </c>
      <c r="G661" s="251" t="s">
        <v>2203</v>
      </c>
      <c r="H661" s="34" t="s">
        <v>60</v>
      </c>
      <c r="I661" s="126" t="s">
        <v>2204</v>
      </c>
      <c r="J661" s="34" t="s">
        <v>45</v>
      </c>
      <c r="K661" s="126">
        <v>432.45699999999999</v>
      </c>
      <c r="L661" s="132" t="s">
        <v>61</v>
      </c>
      <c r="M661" s="105" t="s">
        <v>61</v>
      </c>
      <c r="N661" s="265">
        <v>42846</v>
      </c>
      <c r="O661" s="260">
        <v>42851</v>
      </c>
      <c r="P661" s="106" t="s">
        <v>2205</v>
      </c>
      <c r="Q661" s="107" t="s">
        <v>212</v>
      </c>
      <c r="R661" s="244" t="s">
        <v>60</v>
      </c>
      <c r="S661" s="37">
        <v>0</v>
      </c>
      <c r="T661" s="36" t="str">
        <f t="shared" ca="1" si="54"/>
        <v>Empty</v>
      </c>
      <c r="U661" s="37" t="s">
        <v>2206</v>
      </c>
      <c r="V661" s="37"/>
      <c r="W661" s="38"/>
      <c r="X661" s="39"/>
      <c r="Y661" s="150"/>
      <c r="Z661" s="40"/>
      <c r="AA661" s="136" t="str">
        <f t="shared" ca="1" si="55"/>
        <v/>
      </c>
      <c r="AB661" s="40"/>
      <c r="AC661" s="116"/>
      <c r="AD661" s="116"/>
      <c r="AE661" s="40"/>
      <c r="AF661" s="136" t="str">
        <f t="shared" ca="1" si="56"/>
        <v/>
      </c>
      <c r="AG661" s="127"/>
      <c r="AH661" s="127"/>
      <c r="AI661" s="127"/>
      <c r="AJ661" s="128"/>
      <c r="AK661" s="128"/>
      <c r="AL661" s="129"/>
    </row>
    <row r="662" spans="1:38" ht="23.25" x14ac:dyDescent="0.25">
      <c r="A662" s="343" t="str">
        <f t="shared" si="53"/>
        <v>17REF052</v>
      </c>
      <c r="B662" s="342">
        <v>52</v>
      </c>
      <c r="C662" s="343" t="s">
        <v>39</v>
      </c>
      <c r="D662" s="344" t="s">
        <v>824</v>
      </c>
      <c r="E662" s="124" t="s">
        <v>41</v>
      </c>
      <c r="F662" s="124" t="s">
        <v>1763</v>
      </c>
      <c r="G662" s="251"/>
      <c r="H662" s="34" t="s">
        <v>43</v>
      </c>
      <c r="I662" s="126" t="s">
        <v>2211</v>
      </c>
      <c r="J662" s="47" t="s">
        <v>105</v>
      </c>
      <c r="K662" s="126"/>
      <c r="L662" s="126" t="s">
        <v>1765</v>
      </c>
      <c r="M662" s="104" t="s">
        <v>1766</v>
      </c>
      <c r="N662" s="265">
        <v>42852</v>
      </c>
      <c r="O662" s="260">
        <v>43136</v>
      </c>
      <c r="P662" s="106" t="s">
        <v>497</v>
      </c>
      <c r="Q662" s="107"/>
      <c r="R662" s="244"/>
      <c r="S662" s="37">
        <v>0</v>
      </c>
      <c r="T662" s="36" t="str">
        <f t="shared" ca="1" si="54"/>
        <v>Empty</v>
      </c>
      <c r="U662" s="37"/>
      <c r="V662" s="37"/>
      <c r="W662" s="38"/>
      <c r="X662" s="39"/>
      <c r="Y662" s="150"/>
      <c r="Z662" s="40"/>
      <c r="AA662" s="136" t="str">
        <f t="shared" ca="1" si="55"/>
        <v/>
      </c>
      <c r="AB662" s="40"/>
      <c r="AC662" s="116"/>
      <c r="AD662" s="116"/>
      <c r="AE662" s="40"/>
      <c r="AF662" s="136" t="str">
        <f t="shared" ca="1" si="56"/>
        <v/>
      </c>
      <c r="AG662" s="127"/>
      <c r="AH662" s="127"/>
      <c r="AI662" s="127"/>
      <c r="AJ662" s="128"/>
      <c r="AK662" s="128"/>
      <c r="AL662" s="129"/>
    </row>
    <row r="663" spans="1:38" ht="23.25" x14ac:dyDescent="0.25">
      <c r="A663" s="299" t="str">
        <f t="shared" si="53"/>
        <v>17SAM053</v>
      </c>
      <c r="B663" s="298">
        <v>53</v>
      </c>
      <c r="C663" s="299" t="s">
        <v>57</v>
      </c>
      <c r="D663" s="300" t="s">
        <v>40</v>
      </c>
      <c r="E663" s="124" t="s">
        <v>2212</v>
      </c>
      <c r="F663" s="124" t="s">
        <v>2213</v>
      </c>
      <c r="G663" s="251"/>
      <c r="H663" s="34" t="s">
        <v>60</v>
      </c>
      <c r="I663" s="132" t="s">
        <v>61</v>
      </c>
      <c r="J663" s="47" t="s">
        <v>2214</v>
      </c>
      <c r="K663" s="126" t="s">
        <v>60</v>
      </c>
      <c r="L663" s="132" t="s">
        <v>61</v>
      </c>
      <c r="M663" s="105" t="s">
        <v>61</v>
      </c>
      <c r="N663" s="265">
        <v>42852</v>
      </c>
      <c r="O663" s="260">
        <v>42853</v>
      </c>
      <c r="P663" s="106" t="s">
        <v>2215</v>
      </c>
      <c r="Q663" s="107" t="s">
        <v>212</v>
      </c>
      <c r="R663" s="244" t="s">
        <v>60</v>
      </c>
      <c r="S663" s="37" t="s">
        <v>2245</v>
      </c>
      <c r="T663" s="36">
        <f t="shared" ca="1" si="54"/>
        <v>516</v>
      </c>
      <c r="U663" s="37" t="s">
        <v>2216</v>
      </c>
      <c r="V663" s="37" t="s">
        <v>2217</v>
      </c>
      <c r="W663" s="38"/>
      <c r="X663" s="39"/>
      <c r="Y663" s="150"/>
      <c r="Z663" s="40"/>
      <c r="AA663" s="136" t="str">
        <f t="shared" ca="1" si="55"/>
        <v/>
      </c>
      <c r="AB663" s="40"/>
      <c r="AC663" s="116"/>
      <c r="AD663" s="116"/>
      <c r="AE663" s="40"/>
      <c r="AF663" s="136" t="str">
        <f t="shared" ca="1" si="56"/>
        <v/>
      </c>
      <c r="AG663" s="127"/>
      <c r="AH663" s="127"/>
      <c r="AI663" s="127"/>
      <c r="AJ663" s="128"/>
      <c r="AK663" s="128"/>
      <c r="AL663" s="129"/>
    </row>
    <row r="664" spans="1:38" ht="23.25" x14ac:dyDescent="0.25">
      <c r="A664" s="343" t="str">
        <f t="shared" si="53"/>
        <v>17REF054</v>
      </c>
      <c r="B664" s="342">
        <v>54</v>
      </c>
      <c r="C664" s="343" t="s">
        <v>39</v>
      </c>
      <c r="D664" s="344" t="s">
        <v>824</v>
      </c>
      <c r="E664" s="124" t="s">
        <v>41</v>
      </c>
      <c r="F664" s="124" t="s">
        <v>828</v>
      </c>
      <c r="G664" s="251"/>
      <c r="H664" s="443" t="s">
        <v>3513</v>
      </c>
      <c r="I664" s="126">
        <v>1854707</v>
      </c>
      <c r="J664" s="47" t="s">
        <v>180</v>
      </c>
      <c r="K664" s="126" t="s">
        <v>60</v>
      </c>
      <c r="L664" s="126">
        <v>10888022</v>
      </c>
      <c r="M664" s="105" t="s">
        <v>61</v>
      </c>
      <c r="N664" s="265">
        <v>42858</v>
      </c>
      <c r="O664" s="260">
        <v>42859</v>
      </c>
      <c r="P664" s="106" t="s">
        <v>2219</v>
      </c>
      <c r="Q664" s="107"/>
      <c r="R664" s="244"/>
      <c r="S664" s="37">
        <v>0</v>
      </c>
      <c r="T664" s="36" t="str">
        <f t="shared" ca="1" si="54"/>
        <v>Empty</v>
      </c>
      <c r="U664" s="37" t="s">
        <v>2151</v>
      </c>
      <c r="V664" s="353" t="s">
        <v>2220</v>
      </c>
      <c r="W664" s="38">
        <v>42859</v>
      </c>
      <c r="X664" s="39"/>
      <c r="Y664" s="116" t="s">
        <v>2219</v>
      </c>
      <c r="Z664" s="40"/>
      <c r="AA664" s="136">
        <f t="shared" ca="1" si="55"/>
        <v>510</v>
      </c>
      <c r="AB664" s="40"/>
      <c r="AC664" s="116"/>
      <c r="AD664" s="116"/>
      <c r="AE664" s="40"/>
      <c r="AF664" s="136" t="str">
        <f t="shared" ca="1" si="56"/>
        <v/>
      </c>
      <c r="AG664" s="127"/>
      <c r="AH664" s="127"/>
      <c r="AI664" s="127"/>
      <c r="AJ664" s="128"/>
      <c r="AK664" s="128"/>
      <c r="AL664" s="129"/>
    </row>
    <row r="665" spans="1:38" ht="23.25" x14ac:dyDescent="0.25">
      <c r="A665" s="343" t="str">
        <f t="shared" si="53"/>
        <v>17REF055</v>
      </c>
      <c r="B665" s="342">
        <v>55</v>
      </c>
      <c r="C665" s="343" t="s">
        <v>39</v>
      </c>
      <c r="D665" s="344" t="s">
        <v>824</v>
      </c>
      <c r="E665" s="124" t="s">
        <v>41</v>
      </c>
      <c r="F665" s="124" t="s">
        <v>828</v>
      </c>
      <c r="G665" s="251"/>
      <c r="H665" s="443" t="s">
        <v>3513</v>
      </c>
      <c r="I665" s="126">
        <v>1854707</v>
      </c>
      <c r="J665" s="47" t="s">
        <v>180</v>
      </c>
      <c r="K665" s="126" t="s">
        <v>60</v>
      </c>
      <c r="L665" s="126">
        <v>10888022</v>
      </c>
      <c r="M665" s="105" t="s">
        <v>61</v>
      </c>
      <c r="N665" s="265">
        <v>42858</v>
      </c>
      <c r="O665" s="260">
        <v>43179</v>
      </c>
      <c r="P665" s="106" t="s">
        <v>2219</v>
      </c>
      <c r="Q665" s="107"/>
      <c r="R665" s="244"/>
      <c r="S665" s="37"/>
      <c r="T665" s="36" t="str">
        <f t="shared" ca="1" si="54"/>
        <v/>
      </c>
      <c r="U665" s="37"/>
      <c r="V665" s="353" t="s">
        <v>2220</v>
      </c>
      <c r="W665" s="38"/>
      <c r="X665" s="39"/>
      <c r="Y665" s="150"/>
      <c r="Z665" s="40"/>
      <c r="AA665" s="136" t="str">
        <f t="shared" ca="1" si="55"/>
        <v/>
      </c>
      <c r="AB665" s="40"/>
      <c r="AC665" s="116"/>
      <c r="AD665" s="116"/>
      <c r="AE665" s="40"/>
      <c r="AF665" s="136" t="str">
        <f t="shared" ca="1" si="56"/>
        <v/>
      </c>
      <c r="AG665" s="127"/>
      <c r="AH665" s="127"/>
      <c r="AI665" s="127"/>
      <c r="AJ665" s="128"/>
      <c r="AK665" s="128"/>
      <c r="AL665" s="129"/>
    </row>
    <row r="666" spans="1:38" ht="23.25" x14ac:dyDescent="0.25">
      <c r="A666" s="343" t="str">
        <f t="shared" si="53"/>
        <v>17REF056</v>
      </c>
      <c r="B666" s="342">
        <v>56</v>
      </c>
      <c r="C666" s="343" t="s">
        <v>39</v>
      </c>
      <c r="D666" s="344" t="s">
        <v>824</v>
      </c>
      <c r="E666" s="124" t="s">
        <v>41</v>
      </c>
      <c r="F666" s="124" t="s">
        <v>828</v>
      </c>
      <c r="G666" s="251"/>
      <c r="H666" s="443" t="s">
        <v>3513</v>
      </c>
      <c r="I666" s="126">
        <v>1854707</v>
      </c>
      <c r="J666" s="47" t="s">
        <v>180</v>
      </c>
      <c r="K666" s="126" t="s">
        <v>60</v>
      </c>
      <c r="L666" s="126">
        <v>10888022</v>
      </c>
      <c r="M666" s="105" t="s">
        <v>61</v>
      </c>
      <c r="N666" s="265">
        <v>42858</v>
      </c>
      <c r="O666" s="260"/>
      <c r="P666" s="106" t="s">
        <v>2219</v>
      </c>
      <c r="Q666" s="107"/>
      <c r="R666" s="244"/>
      <c r="S666" s="37"/>
      <c r="T666" s="36" t="str">
        <f t="shared" ca="1" si="54"/>
        <v/>
      </c>
      <c r="U666" s="37"/>
      <c r="V666" s="353" t="s">
        <v>2220</v>
      </c>
      <c r="W666" s="38"/>
      <c r="X666" s="39"/>
      <c r="Y666" s="150"/>
      <c r="Z666" s="40"/>
      <c r="AA666" s="136" t="str">
        <f t="shared" ca="1" si="55"/>
        <v/>
      </c>
      <c r="AB666" s="40"/>
      <c r="AC666" s="116"/>
      <c r="AD666" s="116"/>
      <c r="AE666" s="40"/>
      <c r="AF666" s="136" t="str">
        <f t="shared" ca="1" si="56"/>
        <v/>
      </c>
      <c r="AG666" s="127"/>
      <c r="AH666" s="127"/>
      <c r="AI666" s="127"/>
      <c r="AJ666" s="128"/>
      <c r="AK666" s="128"/>
      <c r="AL666" s="129"/>
    </row>
    <row r="667" spans="1:38" ht="23.25" x14ac:dyDescent="0.25">
      <c r="A667" s="343" t="str">
        <f t="shared" si="53"/>
        <v>17REF057</v>
      </c>
      <c r="B667" s="342">
        <v>57</v>
      </c>
      <c r="C667" s="343" t="s">
        <v>39</v>
      </c>
      <c r="D667" s="344" t="s">
        <v>824</v>
      </c>
      <c r="E667" s="124" t="s">
        <v>41</v>
      </c>
      <c r="F667" s="124" t="s">
        <v>3512</v>
      </c>
      <c r="G667" s="251" t="s">
        <v>61</v>
      </c>
      <c r="H667" s="443" t="s">
        <v>3513</v>
      </c>
      <c r="I667" s="126">
        <v>1824316</v>
      </c>
      <c r="J667" s="47" t="s">
        <v>105</v>
      </c>
      <c r="K667" s="126" t="s">
        <v>1962</v>
      </c>
      <c r="L667" s="126">
        <v>11568876</v>
      </c>
      <c r="M667" s="105" t="s">
        <v>61</v>
      </c>
      <c r="N667" s="265">
        <v>42858</v>
      </c>
      <c r="O667" s="260" t="s">
        <v>168</v>
      </c>
      <c r="P667" s="106" t="s">
        <v>2139</v>
      </c>
      <c r="Q667" s="107"/>
      <c r="R667" s="244"/>
      <c r="S667" s="37">
        <v>0</v>
      </c>
      <c r="T667" s="36" t="str">
        <f t="shared" ca="1" si="54"/>
        <v>Empty</v>
      </c>
      <c r="U667" s="37"/>
      <c r="V667" s="353" t="s">
        <v>2220</v>
      </c>
      <c r="W667" s="38"/>
      <c r="X667" s="39"/>
      <c r="Y667" s="150"/>
      <c r="Z667" s="40"/>
      <c r="AA667" s="136" t="str">
        <f t="shared" ca="1" si="55"/>
        <v/>
      </c>
      <c r="AB667" s="40"/>
      <c r="AC667" s="116"/>
      <c r="AD667" s="116"/>
      <c r="AE667" s="40"/>
      <c r="AF667" s="136" t="str">
        <f t="shared" ca="1" si="56"/>
        <v/>
      </c>
      <c r="AG667" s="127"/>
      <c r="AH667" s="127"/>
      <c r="AI667" s="127"/>
      <c r="AJ667" s="128"/>
      <c r="AK667" s="128"/>
      <c r="AL667" s="129"/>
    </row>
    <row r="668" spans="1:38" ht="23.25" x14ac:dyDescent="0.25">
      <c r="A668" s="343" t="str">
        <f t="shared" si="53"/>
        <v>17REF058</v>
      </c>
      <c r="B668" s="342">
        <v>58</v>
      </c>
      <c r="C668" s="343" t="s">
        <v>39</v>
      </c>
      <c r="D668" s="344" t="s">
        <v>824</v>
      </c>
      <c r="E668" s="124" t="s">
        <v>41</v>
      </c>
      <c r="F668" s="124" t="s">
        <v>2893</v>
      </c>
      <c r="G668" s="251"/>
      <c r="H668" s="443" t="s">
        <v>3513</v>
      </c>
      <c r="I668" s="126">
        <v>1865349</v>
      </c>
      <c r="J668" s="47" t="s">
        <v>105</v>
      </c>
      <c r="K668" s="126" t="s">
        <v>1811</v>
      </c>
      <c r="L668" s="126">
        <v>17504044</v>
      </c>
      <c r="M668" s="105" t="s">
        <v>61</v>
      </c>
      <c r="N668" s="265">
        <v>42858</v>
      </c>
      <c r="O668" s="260"/>
      <c r="P668" s="106" t="s">
        <v>786</v>
      </c>
      <c r="Q668" s="107"/>
      <c r="R668" s="244"/>
      <c r="S668" s="37"/>
      <c r="T668" s="36" t="str">
        <f t="shared" ca="1" si="54"/>
        <v/>
      </c>
      <c r="U668" s="37"/>
      <c r="V668" s="353" t="s">
        <v>2220</v>
      </c>
      <c r="W668" s="38"/>
      <c r="X668" s="39"/>
      <c r="Y668" s="150"/>
      <c r="Z668" s="40"/>
      <c r="AA668" s="136" t="str">
        <f t="shared" ca="1" si="55"/>
        <v/>
      </c>
      <c r="AB668" s="40"/>
      <c r="AC668" s="116"/>
      <c r="AD668" s="116"/>
      <c r="AE668" s="40"/>
      <c r="AF668" s="136" t="str">
        <f t="shared" ca="1" si="56"/>
        <v/>
      </c>
      <c r="AG668" s="127"/>
      <c r="AH668" s="127"/>
      <c r="AI668" s="127"/>
      <c r="AJ668" s="128"/>
      <c r="AK668" s="128"/>
      <c r="AL668" s="129"/>
    </row>
    <row r="669" spans="1:38" ht="23.25" x14ac:dyDescent="0.25">
      <c r="A669" s="343" t="str">
        <f t="shared" si="53"/>
        <v>17REF059</v>
      </c>
      <c r="B669" s="298">
        <v>59</v>
      </c>
      <c r="C669" s="343" t="s">
        <v>39</v>
      </c>
      <c r="D669" s="344" t="s">
        <v>824</v>
      </c>
      <c r="E669" s="124" t="s">
        <v>41</v>
      </c>
      <c r="F669" s="124" t="s">
        <v>2221</v>
      </c>
      <c r="G669" s="251"/>
      <c r="H669" s="443" t="s">
        <v>3513</v>
      </c>
      <c r="I669" s="126">
        <v>1816801</v>
      </c>
      <c r="J669" s="47" t="s">
        <v>105</v>
      </c>
      <c r="K669" s="126" t="s">
        <v>1962</v>
      </c>
      <c r="L669" s="126">
        <v>25030149</v>
      </c>
      <c r="M669" s="105" t="s">
        <v>61</v>
      </c>
      <c r="N669" s="265">
        <v>42858</v>
      </c>
      <c r="O669" s="260">
        <v>43143</v>
      </c>
      <c r="P669" s="106" t="s">
        <v>2139</v>
      </c>
      <c r="Q669" s="107"/>
      <c r="R669" s="244"/>
      <c r="S669" s="37">
        <v>0</v>
      </c>
      <c r="T669" s="36" t="str">
        <f t="shared" ca="1" si="54"/>
        <v>Empty</v>
      </c>
      <c r="U669" s="37"/>
      <c r="V669" s="353" t="s">
        <v>2220</v>
      </c>
      <c r="W669" s="38"/>
      <c r="X669" s="39"/>
      <c r="Y669" s="150"/>
      <c r="Z669" s="40"/>
      <c r="AA669" s="136" t="str">
        <f t="shared" ca="1" si="55"/>
        <v/>
      </c>
      <c r="AB669" s="40"/>
      <c r="AC669" s="116"/>
      <c r="AD669" s="116"/>
      <c r="AE669" s="40"/>
      <c r="AF669" s="136" t="str">
        <f t="shared" ca="1" si="56"/>
        <v/>
      </c>
      <c r="AG669" s="127"/>
      <c r="AH669" s="127"/>
      <c r="AI669" s="127"/>
      <c r="AJ669" s="128"/>
      <c r="AK669" s="128"/>
      <c r="AL669" s="129"/>
    </row>
    <row r="670" spans="1:38" ht="23.25" x14ac:dyDescent="0.25">
      <c r="A670" s="343" t="str">
        <f t="shared" si="53"/>
        <v>17REF060</v>
      </c>
      <c r="B670" s="298">
        <v>60</v>
      </c>
      <c r="C670" s="343" t="s">
        <v>39</v>
      </c>
      <c r="D670" s="344" t="s">
        <v>824</v>
      </c>
      <c r="E670" s="124" t="s">
        <v>41</v>
      </c>
      <c r="F670" s="124" t="s">
        <v>2222</v>
      </c>
      <c r="G670" s="251"/>
      <c r="H670" s="443" t="s">
        <v>3513</v>
      </c>
      <c r="I670" s="126">
        <v>1839880</v>
      </c>
      <c r="J670" s="47" t="s">
        <v>45</v>
      </c>
      <c r="K670" s="126" t="s">
        <v>2223</v>
      </c>
      <c r="L670" s="126">
        <v>14185045</v>
      </c>
      <c r="M670" s="105" t="s">
        <v>61</v>
      </c>
      <c r="N670" s="265">
        <v>42858</v>
      </c>
      <c r="O670" s="260">
        <v>43143</v>
      </c>
      <c r="P670" s="106" t="s">
        <v>2219</v>
      </c>
      <c r="Q670" s="107"/>
      <c r="R670" s="244"/>
      <c r="S670" s="37">
        <v>0</v>
      </c>
      <c r="T670" s="36" t="str">
        <f t="shared" ca="1" si="54"/>
        <v>Empty</v>
      </c>
      <c r="U670" s="37"/>
      <c r="V670" s="37"/>
      <c r="W670" s="38"/>
      <c r="X670" s="39"/>
      <c r="Y670" s="150"/>
      <c r="Z670" s="40"/>
      <c r="AA670" s="136" t="str">
        <f t="shared" ca="1" si="55"/>
        <v/>
      </c>
      <c r="AB670" s="40"/>
      <c r="AC670" s="116"/>
      <c r="AD670" s="116"/>
      <c r="AE670" s="40"/>
      <c r="AF670" s="136" t="str">
        <f t="shared" ca="1" si="56"/>
        <v/>
      </c>
      <c r="AG670" s="127"/>
      <c r="AH670" s="127"/>
      <c r="AI670" s="127"/>
      <c r="AJ670" s="128"/>
      <c r="AK670" s="128"/>
      <c r="AL670" s="129"/>
    </row>
    <row r="671" spans="1:38" ht="23.25" x14ac:dyDescent="0.25">
      <c r="A671" s="299" t="str">
        <f t="shared" si="53"/>
        <v>17SAM061</v>
      </c>
      <c r="B671" s="298">
        <v>61</v>
      </c>
      <c r="C671" s="299" t="s">
        <v>57</v>
      </c>
      <c r="D671" s="300" t="s">
        <v>170</v>
      </c>
      <c r="E671" s="124" t="s">
        <v>79</v>
      </c>
      <c r="F671" s="124" t="s">
        <v>2224</v>
      </c>
      <c r="G671" s="251" t="s">
        <v>2226</v>
      </c>
      <c r="H671" s="34" t="s">
        <v>60</v>
      </c>
      <c r="I671" s="126">
        <v>45074701</v>
      </c>
      <c r="J671" s="47" t="s">
        <v>45</v>
      </c>
      <c r="K671" s="126">
        <v>327.8</v>
      </c>
      <c r="L671" s="132" t="s">
        <v>61</v>
      </c>
      <c r="M671" s="105" t="s">
        <v>61</v>
      </c>
      <c r="N671" s="265">
        <v>42859</v>
      </c>
      <c r="O671" s="260">
        <v>42860</v>
      </c>
      <c r="P671" s="106" t="s">
        <v>2228</v>
      </c>
      <c r="Q671" s="107" t="s">
        <v>1056</v>
      </c>
      <c r="R671" s="244"/>
      <c r="S671" s="37">
        <v>0</v>
      </c>
      <c r="T671" s="36" t="str">
        <f t="shared" ca="1" si="54"/>
        <v>Empty</v>
      </c>
      <c r="U671" s="37" t="s">
        <v>2229</v>
      </c>
      <c r="V671" s="37" t="s">
        <v>2232</v>
      </c>
      <c r="W671" s="38">
        <v>42860</v>
      </c>
      <c r="X671" s="39" t="s">
        <v>248</v>
      </c>
      <c r="Y671" s="116" t="s">
        <v>2233</v>
      </c>
      <c r="Z671" s="40" t="s">
        <v>212</v>
      </c>
      <c r="AA671" s="136">
        <f t="shared" ca="1" si="55"/>
        <v>509</v>
      </c>
      <c r="AB671" s="40"/>
      <c r="AC671" s="116"/>
      <c r="AD671" s="116"/>
      <c r="AE671" s="40"/>
      <c r="AF671" s="136" t="str">
        <f t="shared" ca="1" si="56"/>
        <v/>
      </c>
      <c r="AG671" s="127"/>
      <c r="AH671" s="127"/>
      <c r="AI671" s="127"/>
      <c r="AJ671" s="128"/>
      <c r="AK671" s="128"/>
      <c r="AL671" s="129"/>
    </row>
    <row r="672" spans="1:38" ht="23.25" x14ac:dyDescent="0.25">
      <c r="A672" s="299" t="str">
        <f t="shared" si="53"/>
        <v>17SAM062</v>
      </c>
      <c r="B672" s="298">
        <v>62</v>
      </c>
      <c r="C672" s="299" t="s">
        <v>57</v>
      </c>
      <c r="D672" s="300" t="s">
        <v>170</v>
      </c>
      <c r="E672" s="124" t="s">
        <v>79</v>
      </c>
      <c r="F672" s="124" t="s">
        <v>2225</v>
      </c>
      <c r="G672" s="251" t="s">
        <v>2227</v>
      </c>
      <c r="H672" s="34" t="s">
        <v>60</v>
      </c>
      <c r="I672" s="126">
        <v>31193330</v>
      </c>
      <c r="J672" s="47" t="s">
        <v>45</v>
      </c>
      <c r="K672" s="126">
        <v>407.7</v>
      </c>
      <c r="L672" s="132" t="s">
        <v>61</v>
      </c>
      <c r="M672" s="105" t="s">
        <v>61</v>
      </c>
      <c r="N672" s="265">
        <v>42859</v>
      </c>
      <c r="O672" s="260">
        <v>42878</v>
      </c>
      <c r="P672" s="106" t="s">
        <v>2231</v>
      </c>
      <c r="Q672" s="107" t="s">
        <v>1056</v>
      </c>
      <c r="R672" s="244"/>
      <c r="S672" s="37">
        <v>0</v>
      </c>
      <c r="T672" s="36" t="str">
        <f t="shared" ca="1" si="54"/>
        <v>Empty</v>
      </c>
      <c r="U672" s="37" t="s">
        <v>2229</v>
      </c>
      <c r="V672" s="37" t="s">
        <v>2230</v>
      </c>
      <c r="W672" s="38">
        <v>42878</v>
      </c>
      <c r="X672" s="39" t="s">
        <v>248</v>
      </c>
      <c r="Y672" s="116" t="s">
        <v>2249</v>
      </c>
      <c r="Z672" s="40" t="s">
        <v>212</v>
      </c>
      <c r="AA672" s="136">
        <f t="shared" ca="1" si="55"/>
        <v>491</v>
      </c>
      <c r="AB672" s="40"/>
      <c r="AC672" s="116"/>
      <c r="AD672" s="116"/>
      <c r="AE672" s="40"/>
      <c r="AF672" s="136" t="str">
        <f t="shared" ca="1" si="56"/>
        <v/>
      </c>
      <c r="AG672" s="127"/>
      <c r="AH672" s="127"/>
      <c r="AI672" s="127"/>
      <c r="AJ672" s="128"/>
      <c r="AK672" s="128"/>
      <c r="AL672" s="129"/>
    </row>
    <row r="673" spans="1:38" ht="23.25" x14ac:dyDescent="0.25">
      <c r="A673" s="299" t="str">
        <f t="shared" si="53"/>
        <v>17SAM063</v>
      </c>
      <c r="B673" s="298">
        <v>63</v>
      </c>
      <c r="C673" s="299" t="s">
        <v>57</v>
      </c>
      <c r="D673" s="300" t="s">
        <v>40</v>
      </c>
      <c r="E673" s="124" t="s">
        <v>305</v>
      </c>
      <c r="F673" s="124" t="s">
        <v>2167</v>
      </c>
      <c r="G673" s="251" t="s">
        <v>2234</v>
      </c>
      <c r="H673" s="34" t="s">
        <v>60</v>
      </c>
      <c r="I673" s="126" t="s">
        <v>2168</v>
      </c>
      <c r="J673" s="47" t="s">
        <v>45</v>
      </c>
      <c r="K673" s="126">
        <v>393.86</v>
      </c>
      <c r="L673" s="132" t="s">
        <v>61</v>
      </c>
      <c r="M673" s="105" t="s">
        <v>61</v>
      </c>
      <c r="N673" s="265">
        <v>42865</v>
      </c>
      <c r="O673" s="260"/>
      <c r="P673" s="106" t="s">
        <v>2235</v>
      </c>
      <c r="Q673" s="107" t="s">
        <v>212</v>
      </c>
      <c r="R673" s="267">
        <v>0.99780000000000002</v>
      </c>
      <c r="S673" s="37"/>
      <c r="T673" s="36" t="str">
        <f t="shared" ca="1" si="54"/>
        <v/>
      </c>
      <c r="U673" s="37" t="s">
        <v>2151</v>
      </c>
      <c r="V673" s="37"/>
      <c r="W673" s="38"/>
      <c r="X673" s="39"/>
      <c r="Y673" s="150"/>
      <c r="Z673" s="40"/>
      <c r="AA673" s="136" t="str">
        <f t="shared" ca="1" si="55"/>
        <v/>
      </c>
      <c r="AB673" s="40"/>
      <c r="AC673" s="116"/>
      <c r="AD673" s="116"/>
      <c r="AE673" s="40"/>
      <c r="AF673" s="136" t="str">
        <f t="shared" ca="1" si="56"/>
        <v/>
      </c>
      <c r="AG673" s="127"/>
      <c r="AH673" s="127"/>
      <c r="AI673" s="127"/>
      <c r="AJ673" s="128"/>
      <c r="AK673" s="128"/>
      <c r="AL673" s="129"/>
    </row>
    <row r="674" spans="1:38" ht="23.25" x14ac:dyDescent="0.25">
      <c r="A674" s="299" t="str">
        <f t="shared" si="53"/>
        <v>17SAM064</v>
      </c>
      <c r="B674" s="298">
        <v>64</v>
      </c>
      <c r="C674" s="299" t="s">
        <v>57</v>
      </c>
      <c r="D674" s="300" t="s">
        <v>40</v>
      </c>
      <c r="E674" s="124" t="s">
        <v>305</v>
      </c>
      <c r="F674" s="124" t="s">
        <v>2170</v>
      </c>
      <c r="G674" s="251" t="s">
        <v>2236</v>
      </c>
      <c r="H674" s="34" t="s">
        <v>60</v>
      </c>
      <c r="I674" s="126" t="s">
        <v>2172</v>
      </c>
      <c r="J674" s="47" t="s">
        <v>45</v>
      </c>
      <c r="K674" s="126">
        <v>427.42</v>
      </c>
      <c r="L674" s="132" t="s">
        <v>61</v>
      </c>
      <c r="M674" s="105" t="s">
        <v>61</v>
      </c>
      <c r="N674" s="265">
        <v>42865</v>
      </c>
      <c r="O674" s="260"/>
      <c r="P674" s="106" t="s">
        <v>2237</v>
      </c>
      <c r="Q674" s="107" t="s">
        <v>212</v>
      </c>
      <c r="R674" s="267">
        <v>0.99009999999999998</v>
      </c>
      <c r="S674" s="37"/>
      <c r="T674" s="36" t="str">
        <f t="shared" ca="1" si="54"/>
        <v/>
      </c>
      <c r="U674" s="37" t="s">
        <v>2151</v>
      </c>
      <c r="V674" s="37"/>
      <c r="W674" s="38"/>
      <c r="X674" s="39"/>
      <c r="Y674" s="150"/>
      <c r="Z674" s="40"/>
      <c r="AA674" s="136" t="str">
        <f t="shared" ca="1" si="55"/>
        <v/>
      </c>
      <c r="AB674" s="40"/>
      <c r="AC674" s="116"/>
      <c r="AD674" s="116"/>
      <c r="AE674" s="40"/>
      <c r="AF674" s="136" t="str">
        <f t="shared" ca="1" si="56"/>
        <v/>
      </c>
      <c r="AG674" s="127"/>
      <c r="AH674" s="127"/>
      <c r="AI674" s="127"/>
      <c r="AJ674" s="128"/>
      <c r="AK674" s="128"/>
      <c r="AL674" s="129"/>
    </row>
    <row r="675" spans="1:38" ht="23.25" x14ac:dyDescent="0.25">
      <c r="A675" s="299" t="str">
        <f t="shared" si="53"/>
        <v>17SAM065</v>
      </c>
      <c r="B675" s="298">
        <v>65</v>
      </c>
      <c r="C675" s="299" t="s">
        <v>57</v>
      </c>
      <c r="D675" s="300" t="s">
        <v>40</v>
      </c>
      <c r="E675" s="124" t="s">
        <v>305</v>
      </c>
      <c r="F675" s="124"/>
      <c r="G675" s="251" t="s">
        <v>2243</v>
      </c>
      <c r="H675" s="34" t="s">
        <v>60</v>
      </c>
      <c r="I675" s="126" t="s">
        <v>2238</v>
      </c>
      <c r="J675" s="47" t="s">
        <v>45</v>
      </c>
      <c r="K675" s="126">
        <v>303.33999999999997</v>
      </c>
      <c r="L675" s="132" t="s">
        <v>61</v>
      </c>
      <c r="M675" s="105" t="s">
        <v>61</v>
      </c>
      <c r="N675" s="265">
        <v>42865</v>
      </c>
      <c r="O675" s="260">
        <v>42879</v>
      </c>
      <c r="P675" s="106" t="s">
        <v>1154</v>
      </c>
      <c r="Q675" s="107" t="s">
        <v>212</v>
      </c>
      <c r="R675" s="267">
        <v>0.99780000000000002</v>
      </c>
      <c r="S675" s="37">
        <f>10.2-4.03-3.74</f>
        <v>2.4299999999999988</v>
      </c>
      <c r="T675" s="36">
        <f t="shared" ca="1" si="54"/>
        <v>490</v>
      </c>
      <c r="U675" s="37" t="s">
        <v>2151</v>
      </c>
      <c r="V675" s="37"/>
      <c r="W675" s="38"/>
      <c r="X675" s="39"/>
      <c r="Y675" s="150"/>
      <c r="Z675" s="40"/>
      <c r="AA675" s="136" t="str">
        <f t="shared" ca="1" si="55"/>
        <v/>
      </c>
      <c r="AB675" s="40"/>
      <c r="AC675" s="116"/>
      <c r="AD675" s="116"/>
      <c r="AE675" s="40"/>
      <c r="AF675" s="136" t="str">
        <f t="shared" ca="1" si="56"/>
        <v/>
      </c>
      <c r="AG675" s="127"/>
      <c r="AH675" s="127"/>
      <c r="AI675" s="127"/>
      <c r="AJ675" s="128"/>
      <c r="AK675" s="128"/>
      <c r="AL675" s="129"/>
    </row>
    <row r="676" spans="1:38" ht="23.25" x14ac:dyDescent="0.25">
      <c r="A676" s="299" t="str">
        <f t="shared" ref="A676:A708" si="58">IF(C676="","",CONCATENATE(17,MID(C676,1,3),IF(B676&lt;10,"00",0),B676))</f>
        <v>17SAM066</v>
      </c>
      <c r="B676" s="298">
        <v>66</v>
      </c>
      <c r="C676" s="299" t="s">
        <v>57</v>
      </c>
      <c r="D676" s="300" t="s">
        <v>40</v>
      </c>
      <c r="E676" s="124" t="s">
        <v>305</v>
      </c>
      <c r="F676" s="124"/>
      <c r="G676" s="251" t="s">
        <v>2239</v>
      </c>
      <c r="H676" s="34" t="s">
        <v>60</v>
      </c>
      <c r="I676" s="126" t="s">
        <v>2240</v>
      </c>
      <c r="J676" s="47" t="s">
        <v>45</v>
      </c>
      <c r="K676" s="126">
        <v>268.64</v>
      </c>
      <c r="L676" s="132" t="s">
        <v>61</v>
      </c>
      <c r="M676" s="105" t="s">
        <v>61</v>
      </c>
      <c r="N676" s="265">
        <v>42865</v>
      </c>
      <c r="O676" s="260">
        <v>42879</v>
      </c>
      <c r="P676" s="106" t="s">
        <v>2241</v>
      </c>
      <c r="Q676" s="107" t="s">
        <v>212</v>
      </c>
      <c r="R676" s="267">
        <v>0.99750000000000005</v>
      </c>
      <c r="S676" s="37">
        <v>0</v>
      </c>
      <c r="T676" s="36" t="str">
        <f t="shared" ref="T676:T739" ca="1" si="59">IF(S676="","",IF(S676=0,"Empty",IF(O676="","",IF(O676,DAYS360(O676,TODAY())))))</f>
        <v>Empty</v>
      </c>
      <c r="U676" s="37" t="s">
        <v>2151</v>
      </c>
      <c r="V676" s="37"/>
      <c r="W676" s="38"/>
      <c r="X676" s="39"/>
      <c r="Y676" s="150"/>
      <c r="Z676" s="40"/>
      <c r="AA676" s="136" t="str">
        <f t="shared" ref="AA676:AA739" ca="1" si="60">IF(W676="","",IF(W676,DAYS360(W676,TODAY())))</f>
        <v/>
      </c>
      <c r="AB676" s="40"/>
      <c r="AC676" s="116"/>
      <c r="AD676" s="116"/>
      <c r="AE676" s="40"/>
      <c r="AF676" s="136" t="str">
        <f t="shared" ref="AF676:AF739" ca="1" si="61">IF(AB676="","",IF(AB676,DAYS360(AB676,TODAY())))</f>
        <v/>
      </c>
      <c r="AG676" s="127"/>
      <c r="AH676" s="127"/>
      <c r="AI676" s="127"/>
      <c r="AJ676" s="128"/>
      <c r="AK676" s="128"/>
      <c r="AL676" s="129"/>
    </row>
    <row r="677" spans="1:38" ht="23.25" x14ac:dyDescent="0.25">
      <c r="A677" s="343" t="str">
        <f t="shared" si="58"/>
        <v>17REF067</v>
      </c>
      <c r="B677" s="342">
        <v>67</v>
      </c>
      <c r="C677" s="343" t="s">
        <v>39</v>
      </c>
      <c r="D677" s="344" t="s">
        <v>40</v>
      </c>
      <c r="E677" s="124" t="s">
        <v>41</v>
      </c>
      <c r="F677" s="124" t="s">
        <v>2043</v>
      </c>
      <c r="G677" s="251"/>
      <c r="H677" s="34" t="s">
        <v>330</v>
      </c>
      <c r="I677" s="126" t="s">
        <v>2045</v>
      </c>
      <c r="J677" s="47" t="s">
        <v>180</v>
      </c>
      <c r="K677" s="126">
        <v>183.1</v>
      </c>
      <c r="L677" s="126" t="s">
        <v>2046</v>
      </c>
      <c r="M677" s="104" t="s">
        <v>2047</v>
      </c>
      <c r="N677" s="265">
        <v>42869</v>
      </c>
      <c r="O677" s="260">
        <v>42873</v>
      </c>
      <c r="P677" s="106" t="s">
        <v>86</v>
      </c>
      <c r="Q677" s="107" t="s">
        <v>2248</v>
      </c>
      <c r="R677" s="244"/>
      <c r="S677" s="37">
        <v>0</v>
      </c>
      <c r="T677" s="36" t="str">
        <f t="shared" ca="1" si="59"/>
        <v>Empty</v>
      </c>
      <c r="U677" s="37" t="s">
        <v>2276</v>
      </c>
      <c r="V677" s="37"/>
      <c r="W677" s="38">
        <v>42873</v>
      </c>
      <c r="X677" s="39" t="s">
        <v>248</v>
      </c>
      <c r="Y677" s="116" t="s">
        <v>1217</v>
      </c>
      <c r="Z677" s="40" t="s">
        <v>49</v>
      </c>
      <c r="AA677" s="136">
        <f t="shared" ca="1" si="60"/>
        <v>496</v>
      </c>
      <c r="AB677" s="40"/>
      <c r="AC677" s="116"/>
      <c r="AD677" s="116"/>
      <c r="AE677" s="40"/>
      <c r="AF677" s="136" t="str">
        <f t="shared" ca="1" si="61"/>
        <v/>
      </c>
      <c r="AG677" s="127"/>
      <c r="AH677" s="127"/>
      <c r="AI677" s="127"/>
      <c r="AJ677" s="128"/>
      <c r="AK677" s="128"/>
      <c r="AL677" s="129"/>
    </row>
    <row r="678" spans="1:38" ht="23.25" x14ac:dyDescent="0.25">
      <c r="A678" s="299" t="str">
        <f t="shared" si="58"/>
        <v>17SAM068</v>
      </c>
      <c r="B678" s="298">
        <v>68</v>
      </c>
      <c r="C678" s="299" t="s">
        <v>57</v>
      </c>
      <c r="D678" s="300" t="s">
        <v>40</v>
      </c>
      <c r="E678" s="124" t="s">
        <v>230</v>
      </c>
      <c r="F678" s="124" t="s">
        <v>2250</v>
      </c>
      <c r="G678" s="251" t="s">
        <v>2252</v>
      </c>
      <c r="H678" s="34" t="s">
        <v>60</v>
      </c>
      <c r="I678" s="126" t="s">
        <v>2254</v>
      </c>
      <c r="J678" s="47" t="s">
        <v>105</v>
      </c>
      <c r="K678" s="126">
        <v>526.76</v>
      </c>
      <c r="L678" s="132" t="s">
        <v>61</v>
      </c>
      <c r="M678" s="105" t="s">
        <v>61</v>
      </c>
      <c r="N678" s="265">
        <v>42879</v>
      </c>
      <c r="O678" s="260">
        <v>42898</v>
      </c>
      <c r="P678" s="106" t="s">
        <v>2255</v>
      </c>
      <c r="Q678" s="107" t="s">
        <v>212</v>
      </c>
      <c r="R678" s="244" t="s">
        <v>60</v>
      </c>
      <c r="S678" s="37">
        <f>40.1-24.7</f>
        <v>15.400000000000002</v>
      </c>
      <c r="T678" s="36">
        <f t="shared" ca="1" si="59"/>
        <v>472</v>
      </c>
      <c r="U678" s="37" t="s">
        <v>2256</v>
      </c>
      <c r="V678" s="37" t="s">
        <v>2309</v>
      </c>
      <c r="W678" s="38">
        <v>42898</v>
      </c>
      <c r="X678" s="39" t="s">
        <v>1758</v>
      </c>
      <c r="Y678" s="150" t="s">
        <v>651</v>
      </c>
      <c r="Z678" s="40" t="s">
        <v>212</v>
      </c>
      <c r="AA678" s="136">
        <f t="shared" ca="1" si="60"/>
        <v>472</v>
      </c>
      <c r="AB678" s="40"/>
      <c r="AC678" s="116"/>
      <c r="AD678" s="116"/>
      <c r="AE678" s="40"/>
      <c r="AF678" s="136" t="str">
        <f t="shared" ca="1" si="61"/>
        <v/>
      </c>
      <c r="AG678" s="127"/>
      <c r="AH678" s="127"/>
      <c r="AI678" s="127"/>
      <c r="AJ678" s="128"/>
      <c r="AK678" s="128"/>
      <c r="AL678" s="129"/>
    </row>
    <row r="679" spans="1:38" ht="23.25" x14ac:dyDescent="0.25">
      <c r="A679" s="299" t="str">
        <f t="shared" si="58"/>
        <v>17SAM069</v>
      </c>
      <c r="B679" s="298">
        <v>69</v>
      </c>
      <c r="C679" s="299" t="s">
        <v>57</v>
      </c>
      <c r="D679" s="300" t="s">
        <v>170</v>
      </c>
      <c r="E679" s="124" t="s">
        <v>230</v>
      </c>
      <c r="F679" s="124" t="s">
        <v>2251</v>
      </c>
      <c r="G679" s="251" t="s">
        <v>2253</v>
      </c>
      <c r="H679" s="34" t="s">
        <v>60</v>
      </c>
      <c r="I679" s="126">
        <v>210005348</v>
      </c>
      <c r="J679" s="47" t="s">
        <v>105</v>
      </c>
      <c r="K679" s="126">
        <v>442.6</v>
      </c>
      <c r="L679" s="132" t="s">
        <v>61</v>
      </c>
      <c r="M679" s="105" t="s">
        <v>61</v>
      </c>
      <c r="N679" s="265">
        <v>42879</v>
      </c>
      <c r="O679" s="260">
        <v>42881</v>
      </c>
      <c r="P679" s="106" t="s">
        <v>409</v>
      </c>
      <c r="Q679" s="107" t="s">
        <v>212</v>
      </c>
      <c r="R679" s="244" t="s">
        <v>60</v>
      </c>
      <c r="S679" s="37">
        <v>0</v>
      </c>
      <c r="T679" s="36" t="str">
        <f t="shared" ca="1" si="59"/>
        <v>Empty</v>
      </c>
      <c r="U679" s="37" t="s">
        <v>2257</v>
      </c>
      <c r="V679" s="37"/>
      <c r="W679" s="38">
        <v>42881</v>
      </c>
      <c r="X679" s="39" t="s">
        <v>248</v>
      </c>
      <c r="Y679" s="116" t="s">
        <v>853</v>
      </c>
      <c r="Z679" s="40" t="s">
        <v>212</v>
      </c>
      <c r="AA679" s="136">
        <f t="shared" ca="1" si="60"/>
        <v>488</v>
      </c>
      <c r="AB679" s="40"/>
      <c r="AC679" s="116"/>
      <c r="AD679" s="116"/>
      <c r="AE679" s="40"/>
      <c r="AF679" s="136" t="str">
        <f t="shared" ca="1" si="61"/>
        <v/>
      </c>
      <c r="AG679" s="127"/>
      <c r="AH679" s="127"/>
      <c r="AI679" s="127"/>
      <c r="AJ679" s="128"/>
      <c r="AK679" s="128"/>
      <c r="AL679" s="129"/>
    </row>
    <row r="680" spans="1:38" ht="23.25" x14ac:dyDescent="0.25">
      <c r="A680" s="343" t="str">
        <f t="shared" si="58"/>
        <v>17REF070</v>
      </c>
      <c r="B680" s="342">
        <v>70</v>
      </c>
      <c r="C680" s="343" t="s">
        <v>39</v>
      </c>
      <c r="D680" s="344" t="s">
        <v>40</v>
      </c>
      <c r="E680" s="124" t="s">
        <v>41</v>
      </c>
      <c r="F680" s="124" t="s">
        <v>2263</v>
      </c>
      <c r="G680" s="251" t="s">
        <v>2266</v>
      </c>
      <c r="H680" s="34" t="s">
        <v>330</v>
      </c>
      <c r="I680" s="126" t="s">
        <v>1181</v>
      </c>
      <c r="J680" s="47" t="s">
        <v>180</v>
      </c>
      <c r="K680" s="126">
        <v>337.37</v>
      </c>
      <c r="L680" s="126" t="s">
        <v>1182</v>
      </c>
      <c r="M680" s="104" t="s">
        <v>813</v>
      </c>
      <c r="N680" s="265">
        <v>42884</v>
      </c>
      <c r="O680" s="260"/>
      <c r="P680" s="106" t="s">
        <v>183</v>
      </c>
      <c r="Q680" s="107" t="s">
        <v>2264</v>
      </c>
      <c r="R680" s="266">
        <v>0.99</v>
      </c>
      <c r="S680" s="37"/>
      <c r="T680" s="36" t="str">
        <f t="shared" ca="1" si="59"/>
        <v/>
      </c>
      <c r="U680" s="37"/>
      <c r="V680" s="37"/>
      <c r="W680" s="38"/>
      <c r="X680" s="39"/>
      <c r="Y680" s="150"/>
      <c r="Z680" s="40"/>
      <c r="AA680" s="136" t="str">
        <f t="shared" ca="1" si="60"/>
        <v/>
      </c>
      <c r="AB680" s="40"/>
      <c r="AC680" s="116"/>
      <c r="AD680" s="116"/>
      <c r="AE680" s="40"/>
      <c r="AF680" s="136" t="str">
        <f t="shared" ca="1" si="61"/>
        <v/>
      </c>
      <c r="AG680" s="127"/>
      <c r="AH680" s="127"/>
      <c r="AI680" s="127"/>
      <c r="AJ680" s="128"/>
      <c r="AK680" s="128"/>
      <c r="AL680" s="129"/>
    </row>
    <row r="681" spans="1:38" ht="23.25" x14ac:dyDescent="0.25">
      <c r="A681" s="343" t="str">
        <f t="shared" si="58"/>
        <v>17REF071</v>
      </c>
      <c r="B681" s="342">
        <v>71</v>
      </c>
      <c r="C681" s="343" t="s">
        <v>39</v>
      </c>
      <c r="D681" s="344" t="s">
        <v>40</v>
      </c>
      <c r="E681" s="124" t="s">
        <v>41</v>
      </c>
      <c r="F681" s="124" t="s">
        <v>2265</v>
      </c>
      <c r="G681" s="251" t="s">
        <v>2201</v>
      </c>
      <c r="H681" s="34" t="s">
        <v>330</v>
      </c>
      <c r="I681" s="532" t="s">
        <v>1186</v>
      </c>
      <c r="J681" s="47" t="s">
        <v>180</v>
      </c>
      <c r="K681" s="126">
        <v>368.23</v>
      </c>
      <c r="L681" s="126" t="s">
        <v>1187</v>
      </c>
      <c r="M681" s="104" t="s">
        <v>339</v>
      </c>
      <c r="N681" s="265">
        <v>42884</v>
      </c>
      <c r="O681" s="260">
        <v>42927</v>
      </c>
      <c r="P681" s="106" t="s">
        <v>183</v>
      </c>
      <c r="Q681" s="107" t="s">
        <v>628</v>
      </c>
      <c r="R681" s="266">
        <v>0.98</v>
      </c>
      <c r="S681" s="37">
        <v>0</v>
      </c>
      <c r="T681" s="36" t="str">
        <f t="shared" ca="1" si="59"/>
        <v>Empty</v>
      </c>
      <c r="U681" s="37"/>
      <c r="V681" s="37"/>
      <c r="W681" s="38">
        <v>43010</v>
      </c>
      <c r="X681" s="39" t="s">
        <v>248</v>
      </c>
      <c r="Y681" s="116" t="s">
        <v>1217</v>
      </c>
      <c r="Z681" s="40" t="s">
        <v>49</v>
      </c>
      <c r="AA681" s="136">
        <f t="shared" ca="1" si="60"/>
        <v>362</v>
      </c>
      <c r="AB681" s="271"/>
      <c r="AC681" s="116"/>
      <c r="AD681" s="116"/>
      <c r="AE681" s="40"/>
      <c r="AF681" s="136" t="str">
        <f t="shared" ca="1" si="61"/>
        <v/>
      </c>
      <c r="AG681" s="127"/>
      <c r="AH681" s="127"/>
      <c r="AI681" s="127"/>
      <c r="AJ681" s="128"/>
      <c r="AK681" s="128"/>
      <c r="AL681" s="129"/>
    </row>
    <row r="682" spans="1:38" ht="28.5" customHeight="1" x14ac:dyDescent="0.25">
      <c r="A682" s="343" t="str">
        <f t="shared" si="58"/>
        <v>17REF072</v>
      </c>
      <c r="B682" s="342">
        <v>72</v>
      </c>
      <c r="C682" s="343" t="s">
        <v>39</v>
      </c>
      <c r="D682" s="344" t="s">
        <v>744</v>
      </c>
      <c r="E682" s="124" t="s">
        <v>41</v>
      </c>
      <c r="F682" s="124" t="s">
        <v>860</v>
      </c>
      <c r="G682" s="251" t="s">
        <v>802</v>
      </c>
      <c r="H682" s="34" t="s">
        <v>330</v>
      </c>
      <c r="I682" s="126" t="s">
        <v>971</v>
      </c>
      <c r="J682" s="34" t="s">
        <v>180</v>
      </c>
      <c r="K682" s="126">
        <v>336.28</v>
      </c>
      <c r="L682" s="126" t="s">
        <v>862</v>
      </c>
      <c r="M682" s="104" t="s">
        <v>863</v>
      </c>
      <c r="N682" s="265">
        <v>42884</v>
      </c>
      <c r="O682" s="260">
        <v>42884</v>
      </c>
      <c r="P682" s="106" t="s">
        <v>183</v>
      </c>
      <c r="Q682" s="107" t="s">
        <v>2920</v>
      </c>
      <c r="R682" s="266">
        <v>0.99</v>
      </c>
      <c r="S682" s="37">
        <v>0</v>
      </c>
      <c r="T682" s="36" t="str">
        <f t="shared" ca="1" si="59"/>
        <v>Empty</v>
      </c>
      <c r="U682" s="37"/>
      <c r="V682" s="37"/>
      <c r="W682" s="38">
        <v>42956</v>
      </c>
      <c r="X682" s="39" t="s">
        <v>248</v>
      </c>
      <c r="Y682" s="150" t="s">
        <v>2432</v>
      </c>
      <c r="Z682" s="40" t="s">
        <v>212</v>
      </c>
      <c r="AA682" s="136">
        <f t="shared" ca="1" si="60"/>
        <v>415</v>
      </c>
      <c r="AB682" s="40"/>
      <c r="AC682" s="116"/>
      <c r="AD682" s="116"/>
      <c r="AE682" s="40"/>
      <c r="AF682" s="136" t="str">
        <f t="shared" ca="1" si="61"/>
        <v/>
      </c>
      <c r="AG682" s="127"/>
      <c r="AH682" s="127"/>
      <c r="AI682" s="127"/>
      <c r="AJ682" s="128"/>
      <c r="AK682" s="128"/>
      <c r="AL682" s="129"/>
    </row>
    <row r="683" spans="1:38" ht="27.75" customHeight="1" x14ac:dyDescent="0.25">
      <c r="A683" s="343" t="str">
        <f t="shared" si="58"/>
        <v>17REF073</v>
      </c>
      <c r="B683" s="342">
        <v>73</v>
      </c>
      <c r="C683" s="343" t="s">
        <v>39</v>
      </c>
      <c r="D683" s="344" t="s">
        <v>744</v>
      </c>
      <c r="E683" s="124" t="s">
        <v>41</v>
      </c>
      <c r="F683" s="124" t="s">
        <v>860</v>
      </c>
      <c r="G683" s="251" t="s">
        <v>802</v>
      </c>
      <c r="H683" s="34" t="s">
        <v>330</v>
      </c>
      <c r="I683" s="126" t="s">
        <v>861</v>
      </c>
      <c r="J683" s="34" t="s">
        <v>180</v>
      </c>
      <c r="K683" s="126">
        <v>336.28</v>
      </c>
      <c r="L683" s="126" t="s">
        <v>862</v>
      </c>
      <c r="M683" s="104" t="s">
        <v>863</v>
      </c>
      <c r="N683" s="265">
        <v>42884</v>
      </c>
      <c r="O683" s="260">
        <v>42970</v>
      </c>
      <c r="P683" s="106" t="s">
        <v>183</v>
      </c>
      <c r="Q683" s="107" t="s">
        <v>2920</v>
      </c>
      <c r="R683" s="266">
        <v>0.99</v>
      </c>
      <c r="S683" s="37">
        <v>0</v>
      </c>
      <c r="T683" s="36" t="str">
        <f t="shared" ca="1" si="59"/>
        <v>Empty</v>
      </c>
      <c r="U683" s="37"/>
      <c r="V683" s="37"/>
      <c r="W683" s="38"/>
      <c r="X683" s="39"/>
      <c r="Y683" s="150"/>
      <c r="Z683" s="40"/>
      <c r="AA683" s="136" t="str">
        <f t="shared" ca="1" si="60"/>
        <v/>
      </c>
      <c r="AB683" s="40"/>
      <c r="AC683" s="116"/>
      <c r="AD683" s="116"/>
      <c r="AE683" s="40"/>
      <c r="AF683" s="136" t="str">
        <f t="shared" ca="1" si="61"/>
        <v/>
      </c>
      <c r="AG683" s="127"/>
      <c r="AH683" s="127"/>
      <c r="AI683" s="127"/>
      <c r="AJ683" s="128"/>
      <c r="AK683" s="128"/>
      <c r="AL683" s="129"/>
    </row>
    <row r="684" spans="1:38" ht="23.25" x14ac:dyDescent="0.25">
      <c r="A684" s="343" t="str">
        <f t="shared" si="58"/>
        <v>17REF074</v>
      </c>
      <c r="B684" s="342">
        <v>74</v>
      </c>
      <c r="C684" s="343" t="s">
        <v>39</v>
      </c>
      <c r="D684" s="344" t="s">
        <v>170</v>
      </c>
      <c r="E684" s="124" t="s">
        <v>41</v>
      </c>
      <c r="F684" s="124" t="s">
        <v>865</v>
      </c>
      <c r="G684" s="251" t="s">
        <v>866</v>
      </c>
      <c r="H684" s="34" t="s">
        <v>330</v>
      </c>
      <c r="I684" s="126" t="s">
        <v>867</v>
      </c>
      <c r="J684" s="34" t="s">
        <v>45</v>
      </c>
      <c r="K684" s="126">
        <v>370.87</v>
      </c>
      <c r="L684" s="126" t="s">
        <v>868</v>
      </c>
      <c r="M684" s="104" t="s">
        <v>869</v>
      </c>
      <c r="N684" s="265">
        <v>42884</v>
      </c>
      <c r="O684" s="260">
        <v>43010</v>
      </c>
      <c r="P684" s="106" t="s">
        <v>124</v>
      </c>
      <c r="Q684" s="107" t="s">
        <v>2267</v>
      </c>
      <c r="R684" s="266">
        <v>0.99</v>
      </c>
      <c r="S684" s="37">
        <f>100-21.91-18.85</f>
        <v>59.24</v>
      </c>
      <c r="T684" s="36">
        <f t="shared" ca="1" si="59"/>
        <v>362</v>
      </c>
      <c r="U684" s="37"/>
      <c r="V684" s="37"/>
      <c r="W684" s="38">
        <v>43010</v>
      </c>
      <c r="X684" s="39" t="s">
        <v>248</v>
      </c>
      <c r="Y684" s="150" t="s">
        <v>2516</v>
      </c>
      <c r="Z684" s="40" t="s">
        <v>49</v>
      </c>
      <c r="AA684" s="136">
        <f t="shared" ca="1" si="60"/>
        <v>362</v>
      </c>
      <c r="AB684" s="40"/>
      <c r="AC684" s="116"/>
      <c r="AD684" s="116"/>
      <c r="AE684" s="40"/>
      <c r="AF684" s="136" t="str">
        <f t="shared" ca="1" si="61"/>
        <v/>
      </c>
      <c r="AG684" s="127"/>
      <c r="AH684" s="127"/>
      <c r="AI684" s="127"/>
      <c r="AJ684" s="128"/>
      <c r="AK684" s="128"/>
      <c r="AL684" s="129"/>
    </row>
    <row r="685" spans="1:38" ht="23.25" x14ac:dyDescent="0.25">
      <c r="A685" s="299" t="str">
        <f t="shared" si="58"/>
        <v>17SAM075</v>
      </c>
      <c r="B685" s="298">
        <v>75</v>
      </c>
      <c r="C685" s="299" t="s">
        <v>57</v>
      </c>
      <c r="D685" s="300" t="s">
        <v>170</v>
      </c>
      <c r="E685" s="124" t="s">
        <v>79</v>
      </c>
      <c r="F685" s="124" t="s">
        <v>2268</v>
      </c>
      <c r="G685" s="251" t="s">
        <v>2269</v>
      </c>
      <c r="H685" s="34" t="s">
        <v>60</v>
      </c>
      <c r="I685" s="126">
        <v>22381912</v>
      </c>
      <c r="J685" s="34" t="s">
        <v>45</v>
      </c>
      <c r="K685" s="126">
        <v>366.4</v>
      </c>
      <c r="L685" s="126" t="s">
        <v>61</v>
      </c>
      <c r="M685" s="104" t="s">
        <v>61</v>
      </c>
      <c r="N685" s="265">
        <v>42884</v>
      </c>
      <c r="O685" s="260">
        <v>42927</v>
      </c>
      <c r="P685" s="106" t="s">
        <v>2270</v>
      </c>
      <c r="Q685" s="107" t="s">
        <v>212</v>
      </c>
      <c r="R685" s="244"/>
      <c r="S685" s="37">
        <v>0</v>
      </c>
      <c r="T685" s="36" t="str">
        <f t="shared" ca="1" si="59"/>
        <v>Empty</v>
      </c>
      <c r="U685" s="37" t="s">
        <v>2229</v>
      </c>
      <c r="V685" s="37" t="s">
        <v>2274</v>
      </c>
      <c r="W685" s="38">
        <v>42927</v>
      </c>
      <c r="X685" s="39" t="s">
        <v>248</v>
      </c>
      <c r="Y685" s="116" t="s">
        <v>2353</v>
      </c>
      <c r="Z685" s="40" t="s">
        <v>212</v>
      </c>
      <c r="AA685" s="136">
        <f t="shared" ca="1" si="60"/>
        <v>443</v>
      </c>
      <c r="AB685" s="40"/>
      <c r="AC685" s="116"/>
      <c r="AD685" s="116"/>
      <c r="AE685" s="40"/>
      <c r="AF685" s="136" t="str">
        <f t="shared" ca="1" si="61"/>
        <v/>
      </c>
      <c r="AG685" s="127"/>
      <c r="AH685" s="127"/>
      <c r="AI685" s="127"/>
      <c r="AJ685" s="128"/>
      <c r="AK685" s="128"/>
      <c r="AL685" s="129"/>
    </row>
    <row r="686" spans="1:38" ht="23.25" x14ac:dyDescent="0.25">
      <c r="A686" s="299" t="str">
        <f t="shared" si="58"/>
        <v>17SAM076</v>
      </c>
      <c r="B686" s="298">
        <v>76</v>
      </c>
      <c r="C686" s="299" t="s">
        <v>57</v>
      </c>
      <c r="D686" s="300" t="s">
        <v>170</v>
      </c>
      <c r="E686" s="124" t="s">
        <v>79</v>
      </c>
      <c r="F686" s="124" t="s">
        <v>2271</v>
      </c>
      <c r="G686" s="251" t="s">
        <v>2272</v>
      </c>
      <c r="H686" s="34" t="s">
        <v>60</v>
      </c>
      <c r="I686" s="126">
        <v>942312</v>
      </c>
      <c r="J686" s="34" t="s">
        <v>45</v>
      </c>
      <c r="K686" s="126">
        <v>302.2</v>
      </c>
      <c r="L686" s="126" t="s">
        <v>61</v>
      </c>
      <c r="M686" s="104" t="s">
        <v>61</v>
      </c>
      <c r="N686" s="265">
        <v>42884</v>
      </c>
      <c r="O686" s="260">
        <v>42927</v>
      </c>
      <c r="P686" s="106" t="s">
        <v>2273</v>
      </c>
      <c r="Q686" s="107" t="s">
        <v>212</v>
      </c>
      <c r="R686" s="244"/>
      <c r="S686" s="37">
        <v>0</v>
      </c>
      <c r="T686" s="36" t="str">
        <f t="shared" ca="1" si="59"/>
        <v>Empty</v>
      </c>
      <c r="U686" s="37" t="s">
        <v>2229</v>
      </c>
      <c r="V686" s="37" t="s">
        <v>2275</v>
      </c>
      <c r="W686" s="38">
        <v>42927</v>
      </c>
      <c r="X686" s="39" t="s">
        <v>248</v>
      </c>
      <c r="Y686" s="116" t="s">
        <v>2353</v>
      </c>
      <c r="Z686" s="40" t="s">
        <v>212</v>
      </c>
      <c r="AA686" s="136">
        <f t="shared" ca="1" si="60"/>
        <v>443</v>
      </c>
      <c r="AB686" s="40"/>
      <c r="AC686" s="116"/>
      <c r="AD686" s="116"/>
      <c r="AE686" s="40"/>
      <c r="AF686" s="136" t="str">
        <f t="shared" ca="1" si="61"/>
        <v/>
      </c>
      <c r="AG686" s="127"/>
      <c r="AH686" s="127"/>
      <c r="AI686" s="127"/>
      <c r="AJ686" s="128"/>
      <c r="AK686" s="128"/>
      <c r="AL686" s="129"/>
    </row>
    <row r="687" spans="1:38" ht="23.25" x14ac:dyDescent="0.25">
      <c r="A687" s="299" t="str">
        <f t="shared" si="58"/>
        <v>17SAM077</v>
      </c>
      <c r="B687" s="298">
        <v>77</v>
      </c>
      <c r="C687" s="299" t="s">
        <v>57</v>
      </c>
      <c r="D687" s="300" t="s">
        <v>40</v>
      </c>
      <c r="E687" s="124" t="s">
        <v>1373</v>
      </c>
      <c r="F687" s="124" t="s">
        <v>2279</v>
      </c>
      <c r="G687" s="124" t="s">
        <v>2277</v>
      </c>
      <c r="H687" s="34" t="s">
        <v>60</v>
      </c>
      <c r="I687" s="126"/>
      <c r="J687" s="47" t="s">
        <v>105</v>
      </c>
      <c r="K687" s="126">
        <v>491.68</v>
      </c>
      <c r="L687" s="126" t="s">
        <v>61</v>
      </c>
      <c r="M687" s="104" t="s">
        <v>61</v>
      </c>
      <c r="N687" s="265">
        <v>42887</v>
      </c>
      <c r="O687" s="260">
        <v>42900</v>
      </c>
      <c r="P687" s="106" t="s">
        <v>2278</v>
      </c>
      <c r="Q687" s="107" t="s">
        <v>1056</v>
      </c>
      <c r="R687" s="267">
        <v>0.98599999999999999</v>
      </c>
      <c r="S687" s="37">
        <v>0</v>
      </c>
      <c r="T687" s="36" t="str">
        <f t="shared" ca="1" si="59"/>
        <v>Empty</v>
      </c>
      <c r="U687" s="37" t="s">
        <v>2280</v>
      </c>
      <c r="V687" s="37"/>
      <c r="W687" s="38">
        <v>42900</v>
      </c>
      <c r="X687" s="39" t="s">
        <v>248</v>
      </c>
      <c r="Y687" s="150" t="s">
        <v>453</v>
      </c>
      <c r="Z687" s="40" t="s">
        <v>212</v>
      </c>
      <c r="AA687" s="136">
        <f t="shared" ca="1" si="60"/>
        <v>470</v>
      </c>
      <c r="AB687" s="40"/>
      <c r="AC687" s="116"/>
      <c r="AD687" s="116"/>
      <c r="AE687" s="40"/>
      <c r="AF687" s="136" t="str">
        <f t="shared" ca="1" si="61"/>
        <v/>
      </c>
      <c r="AG687" s="127"/>
      <c r="AH687" s="127"/>
      <c r="AI687" s="127"/>
      <c r="AJ687" s="128"/>
      <c r="AK687" s="128"/>
      <c r="AL687" s="129"/>
    </row>
    <row r="688" spans="1:38" ht="23.25" x14ac:dyDescent="0.25">
      <c r="A688" s="299" t="str">
        <f t="shared" si="58"/>
        <v>17SAM078</v>
      </c>
      <c r="B688" s="298">
        <v>78</v>
      </c>
      <c r="C688" s="299" t="s">
        <v>57</v>
      </c>
      <c r="D688" s="300" t="s">
        <v>170</v>
      </c>
      <c r="E688" s="124" t="s">
        <v>739</v>
      </c>
      <c r="F688" s="124" t="s">
        <v>694</v>
      </c>
      <c r="G688" s="251" t="s">
        <v>2281</v>
      </c>
      <c r="H688" s="34" t="s">
        <v>112</v>
      </c>
      <c r="I688" s="126" t="s">
        <v>2282</v>
      </c>
      <c r="J688" s="34" t="s">
        <v>180</v>
      </c>
      <c r="K688" s="126">
        <v>217.18</v>
      </c>
      <c r="L688" s="126">
        <v>3547</v>
      </c>
      <c r="M688" s="104" t="s">
        <v>697</v>
      </c>
      <c r="N688" s="265">
        <v>42892</v>
      </c>
      <c r="O688" s="260">
        <v>42898</v>
      </c>
      <c r="P688" s="106" t="s">
        <v>183</v>
      </c>
      <c r="Q688" s="107" t="s">
        <v>2283</v>
      </c>
      <c r="R688" s="266">
        <v>0.99</v>
      </c>
      <c r="S688" s="37">
        <f>50-3.37-1.2-0.76-0.91-1.05-0.7-0.996-1.85-2.1-3.75-1.37-2.16-2.39-2.85-1.53-2.02</f>
        <v>20.993999999999996</v>
      </c>
      <c r="T688" s="36">
        <f t="shared" ca="1" si="59"/>
        <v>472</v>
      </c>
      <c r="U688" s="37" t="s">
        <v>2289</v>
      </c>
      <c r="V688" s="345" t="s">
        <v>2305</v>
      </c>
      <c r="W688" s="38"/>
      <c r="X688" s="39"/>
      <c r="Y688" s="150"/>
      <c r="Z688" s="40"/>
      <c r="AA688" s="136" t="str">
        <f t="shared" ca="1" si="60"/>
        <v/>
      </c>
      <c r="AB688" s="40"/>
      <c r="AC688" s="116"/>
      <c r="AD688" s="116"/>
      <c r="AE688" s="40"/>
      <c r="AF688" s="136" t="str">
        <f t="shared" ca="1" si="61"/>
        <v/>
      </c>
      <c r="AG688" s="127"/>
      <c r="AH688" s="127"/>
      <c r="AI688" s="127"/>
      <c r="AJ688" s="128"/>
      <c r="AK688" s="128"/>
      <c r="AL688" s="129"/>
    </row>
    <row r="689" spans="1:38" ht="23.25" x14ac:dyDescent="0.25">
      <c r="A689" s="299" t="str">
        <f t="shared" si="58"/>
        <v>17SAM079</v>
      </c>
      <c r="B689" s="298">
        <v>79</v>
      </c>
      <c r="C689" s="299" t="s">
        <v>57</v>
      </c>
      <c r="D689" s="300" t="s">
        <v>170</v>
      </c>
      <c r="E689" s="124" t="s">
        <v>739</v>
      </c>
      <c r="F689" s="124" t="s">
        <v>2284</v>
      </c>
      <c r="G689" s="251" t="s">
        <v>2285</v>
      </c>
      <c r="H689" s="34" t="s">
        <v>112</v>
      </c>
      <c r="I689" s="126" t="s">
        <v>2286</v>
      </c>
      <c r="J689" s="34" t="s">
        <v>180</v>
      </c>
      <c r="K689" s="126">
        <v>477.57</v>
      </c>
      <c r="L689" s="126">
        <v>1955</v>
      </c>
      <c r="M689" s="104" t="s">
        <v>2287</v>
      </c>
      <c r="N689" s="265">
        <v>42892</v>
      </c>
      <c r="O689" s="260">
        <v>42898</v>
      </c>
      <c r="P689" s="106" t="s">
        <v>86</v>
      </c>
      <c r="Q689" s="107" t="s">
        <v>2288</v>
      </c>
      <c r="R689" s="266">
        <v>0.99</v>
      </c>
      <c r="S689" s="37">
        <f>10-1.525-0.435-0.443-0.6-0.478-0.722-0.66</f>
        <v>5.1370000000000005</v>
      </c>
      <c r="T689" s="36">
        <f t="shared" ca="1" si="59"/>
        <v>472</v>
      </c>
      <c r="U689" s="37" t="s">
        <v>2289</v>
      </c>
      <c r="V689" s="37" t="s">
        <v>2306</v>
      </c>
      <c r="W689" s="38"/>
      <c r="X689" s="39"/>
      <c r="Y689" s="150"/>
      <c r="Z689" s="40"/>
      <c r="AA689" s="136" t="str">
        <f t="shared" ca="1" si="60"/>
        <v/>
      </c>
      <c r="AB689" s="40"/>
      <c r="AC689" s="116"/>
      <c r="AD689" s="116"/>
      <c r="AE689" s="40"/>
      <c r="AF689" s="136" t="str">
        <f t="shared" ca="1" si="61"/>
        <v/>
      </c>
      <c r="AG689" s="127"/>
      <c r="AH689" s="127"/>
      <c r="AI689" s="127"/>
      <c r="AJ689" s="128"/>
      <c r="AK689" s="128"/>
      <c r="AL689" s="129"/>
    </row>
    <row r="690" spans="1:38" ht="23.25" x14ac:dyDescent="0.25">
      <c r="A690" s="299" t="str">
        <f t="shared" si="58"/>
        <v>17SAM080</v>
      </c>
      <c r="B690" s="298">
        <v>80</v>
      </c>
      <c r="C690" s="299" t="s">
        <v>57</v>
      </c>
      <c r="D690" s="300" t="s">
        <v>170</v>
      </c>
      <c r="E690" s="124" t="s">
        <v>739</v>
      </c>
      <c r="F690" s="124" t="s">
        <v>2190</v>
      </c>
      <c r="G690" s="251" t="s">
        <v>2290</v>
      </c>
      <c r="H690" s="34" t="s">
        <v>60</v>
      </c>
      <c r="I690" s="190" t="s">
        <v>1043</v>
      </c>
      <c r="J690" s="34" t="s">
        <v>45</v>
      </c>
      <c r="K690" s="126">
        <v>324.85000000000002</v>
      </c>
      <c r="L690" s="126" t="s">
        <v>61</v>
      </c>
      <c r="M690" s="104" t="s">
        <v>61</v>
      </c>
      <c r="N690" s="265">
        <v>42895</v>
      </c>
      <c r="O690" s="260">
        <v>42920</v>
      </c>
      <c r="P690" s="106" t="s">
        <v>2291</v>
      </c>
      <c r="Q690" s="107" t="s">
        <v>212</v>
      </c>
      <c r="R690" s="244"/>
      <c r="S690" s="37">
        <v>0</v>
      </c>
      <c r="T690" s="36" t="str">
        <f t="shared" ca="1" si="59"/>
        <v>Empty</v>
      </c>
      <c r="U690" s="37" t="s">
        <v>2292</v>
      </c>
      <c r="V690" s="37" t="s">
        <v>2293</v>
      </c>
      <c r="W690" s="38"/>
      <c r="X690" s="39"/>
      <c r="Y690" s="150"/>
      <c r="Z690" s="40"/>
      <c r="AA690" s="136" t="str">
        <f t="shared" ca="1" si="60"/>
        <v/>
      </c>
      <c r="AB690" s="40"/>
      <c r="AC690" s="116"/>
      <c r="AD690" s="116"/>
      <c r="AE690" s="40"/>
      <c r="AF690" s="136" t="str">
        <f t="shared" ca="1" si="61"/>
        <v/>
      </c>
      <c r="AG690" s="127"/>
      <c r="AH690" s="127"/>
      <c r="AI690" s="127"/>
      <c r="AJ690" s="128"/>
      <c r="AK690" s="128"/>
      <c r="AL690" s="129"/>
    </row>
    <row r="691" spans="1:38" ht="23.25" x14ac:dyDescent="0.25">
      <c r="A691" s="299" t="str">
        <f t="shared" si="58"/>
        <v>17SAM081</v>
      </c>
      <c r="B691" s="298">
        <v>81</v>
      </c>
      <c r="C691" s="299" t="s">
        <v>57</v>
      </c>
      <c r="D691" s="300" t="s">
        <v>40</v>
      </c>
      <c r="E691" s="124" t="s">
        <v>230</v>
      </c>
      <c r="F691" s="124" t="s">
        <v>2296</v>
      </c>
      <c r="G691" s="251" t="s">
        <v>2294</v>
      </c>
      <c r="H691" s="34" t="s">
        <v>60</v>
      </c>
      <c r="I691" s="126" t="s">
        <v>2295</v>
      </c>
      <c r="J691" s="47" t="s">
        <v>105</v>
      </c>
      <c r="K691" s="126">
        <v>430.39</v>
      </c>
      <c r="L691" s="132" t="s">
        <v>61</v>
      </c>
      <c r="M691" s="105" t="s">
        <v>61</v>
      </c>
      <c r="N691" s="265">
        <v>42900</v>
      </c>
      <c r="O691" s="260">
        <v>42913</v>
      </c>
      <c r="P691" s="106" t="s">
        <v>139</v>
      </c>
      <c r="Q691" s="107" t="s">
        <v>212</v>
      </c>
      <c r="R691" s="266" t="s">
        <v>60</v>
      </c>
      <c r="S691" s="37">
        <f>25-2.53-8.76-8.7</f>
        <v>5.01</v>
      </c>
      <c r="T691" s="36">
        <f t="shared" ca="1" si="59"/>
        <v>457</v>
      </c>
      <c r="U691" s="37" t="s">
        <v>2256</v>
      </c>
      <c r="V691" s="37"/>
      <c r="W691" s="38">
        <v>42913</v>
      </c>
      <c r="X691" s="39" t="s">
        <v>248</v>
      </c>
      <c r="Y691" s="116" t="s">
        <v>2135</v>
      </c>
      <c r="Z691" s="40" t="s">
        <v>212</v>
      </c>
      <c r="AA691" s="136">
        <f t="shared" ca="1" si="60"/>
        <v>457</v>
      </c>
      <c r="AB691" s="40"/>
      <c r="AC691" s="116"/>
      <c r="AD691" s="116"/>
      <c r="AE691" s="40"/>
      <c r="AF691" s="136" t="str">
        <f t="shared" ca="1" si="61"/>
        <v/>
      </c>
      <c r="AG691" s="127"/>
      <c r="AH691" s="127"/>
      <c r="AI691" s="127"/>
      <c r="AJ691" s="128"/>
      <c r="AK691" s="128"/>
      <c r="AL691" s="129"/>
    </row>
    <row r="692" spans="1:38" ht="23.25" x14ac:dyDescent="0.25">
      <c r="A692" s="299" t="str">
        <f t="shared" si="58"/>
        <v>17SAM082</v>
      </c>
      <c r="B692" s="298">
        <v>82</v>
      </c>
      <c r="C692" s="299" t="s">
        <v>57</v>
      </c>
      <c r="D692" s="300" t="s">
        <v>40</v>
      </c>
      <c r="E692" s="124" t="s">
        <v>739</v>
      </c>
      <c r="F692" s="124" t="s">
        <v>2297</v>
      </c>
      <c r="G692" s="251"/>
      <c r="H692" s="34" t="s">
        <v>112</v>
      </c>
      <c r="I692" s="126" t="s">
        <v>2298</v>
      </c>
      <c r="J692" s="47" t="s">
        <v>105</v>
      </c>
      <c r="K692" s="126">
        <v>3325.83</v>
      </c>
      <c r="L692" s="126">
        <v>1911</v>
      </c>
      <c r="M692" s="104" t="s">
        <v>2299</v>
      </c>
      <c r="N692" s="265">
        <v>42901</v>
      </c>
      <c r="O692" s="260"/>
      <c r="P692" s="370" t="s">
        <v>194</v>
      </c>
      <c r="Q692" s="107" t="s">
        <v>2300</v>
      </c>
      <c r="R692" s="266">
        <v>0.77</v>
      </c>
      <c r="S692" s="37"/>
      <c r="T692" s="36" t="str">
        <f t="shared" ca="1" si="59"/>
        <v/>
      </c>
      <c r="U692" s="37" t="s">
        <v>2301</v>
      </c>
      <c r="V692" s="37"/>
      <c r="W692" s="38"/>
      <c r="X692" s="39"/>
      <c r="Y692" s="150"/>
      <c r="Z692" s="40"/>
      <c r="AA692" s="136" t="str">
        <f t="shared" ca="1" si="60"/>
        <v/>
      </c>
      <c r="AB692" s="40"/>
      <c r="AC692" s="116"/>
      <c r="AD692" s="116"/>
      <c r="AE692" s="40"/>
      <c r="AF692" s="136" t="str">
        <f t="shared" ca="1" si="61"/>
        <v/>
      </c>
      <c r="AG692" s="127"/>
      <c r="AH692" s="127"/>
      <c r="AI692" s="127"/>
      <c r="AJ692" s="128"/>
      <c r="AK692" s="128"/>
      <c r="AL692" s="129"/>
    </row>
    <row r="693" spans="1:38" ht="23.25" x14ac:dyDescent="0.25">
      <c r="A693" s="299" t="str">
        <f t="shared" si="58"/>
        <v>17SAM083</v>
      </c>
      <c r="B693" s="298">
        <v>83</v>
      </c>
      <c r="C693" s="299" t="s">
        <v>57</v>
      </c>
      <c r="D693" s="300" t="s">
        <v>40</v>
      </c>
      <c r="E693" s="124" t="s">
        <v>739</v>
      </c>
      <c r="F693" s="124" t="s">
        <v>2297</v>
      </c>
      <c r="G693" s="251"/>
      <c r="H693" s="34" t="s">
        <v>112</v>
      </c>
      <c r="I693" s="126" t="s">
        <v>2298</v>
      </c>
      <c r="J693" s="47" t="s">
        <v>105</v>
      </c>
      <c r="K693" s="126">
        <v>3325.83</v>
      </c>
      <c r="L693" s="126">
        <v>1911</v>
      </c>
      <c r="M693" s="104" t="s">
        <v>2299</v>
      </c>
      <c r="N693" s="265">
        <v>42901</v>
      </c>
      <c r="O693" s="260"/>
      <c r="P693" s="370" t="s">
        <v>194</v>
      </c>
      <c r="Q693" s="107" t="s">
        <v>2300</v>
      </c>
      <c r="R693" s="266">
        <v>0.77</v>
      </c>
      <c r="S693" s="37"/>
      <c r="T693" s="36" t="str">
        <f t="shared" ref="T693:T694" ca="1" si="62">IF(S693="","",IF(S693=0,"Empty",IF(O693="","",IF(O693,DAYS360(O693,TODAY())))))</f>
        <v/>
      </c>
      <c r="U693" s="37" t="s">
        <v>2301</v>
      </c>
      <c r="V693" s="37"/>
      <c r="W693" s="38"/>
      <c r="X693" s="39"/>
      <c r="Y693" s="150"/>
      <c r="Z693" s="40"/>
      <c r="AA693" s="136" t="str">
        <f t="shared" ca="1" si="60"/>
        <v/>
      </c>
      <c r="AB693" s="40"/>
      <c r="AC693" s="116"/>
      <c r="AD693" s="116"/>
      <c r="AE693" s="40"/>
      <c r="AF693" s="136" t="str">
        <f t="shared" ca="1" si="61"/>
        <v/>
      </c>
      <c r="AG693" s="127"/>
      <c r="AH693" s="127"/>
      <c r="AI693" s="127"/>
      <c r="AJ693" s="128"/>
      <c r="AK693" s="128"/>
      <c r="AL693" s="129"/>
    </row>
    <row r="694" spans="1:38" ht="23.25" x14ac:dyDescent="0.25">
      <c r="A694" s="299" t="str">
        <f t="shared" si="58"/>
        <v>17SAM084</v>
      </c>
      <c r="B694" s="298">
        <v>84</v>
      </c>
      <c r="C694" s="299" t="s">
        <v>57</v>
      </c>
      <c r="D694" s="300" t="s">
        <v>40</v>
      </c>
      <c r="E694" s="124" t="s">
        <v>739</v>
      </c>
      <c r="F694" s="124" t="s">
        <v>2297</v>
      </c>
      <c r="G694" s="251"/>
      <c r="H694" s="34" t="s">
        <v>112</v>
      </c>
      <c r="I694" s="126" t="s">
        <v>2298</v>
      </c>
      <c r="J694" s="47" t="s">
        <v>105</v>
      </c>
      <c r="K694" s="126">
        <v>3325.83</v>
      </c>
      <c r="L694" s="126">
        <v>1911</v>
      </c>
      <c r="M694" s="104" t="s">
        <v>2299</v>
      </c>
      <c r="N694" s="265">
        <v>42901</v>
      </c>
      <c r="O694" s="260"/>
      <c r="P694" s="370" t="s">
        <v>194</v>
      </c>
      <c r="Q694" s="107" t="s">
        <v>2300</v>
      </c>
      <c r="R694" s="266">
        <v>0.77</v>
      </c>
      <c r="S694" s="37"/>
      <c r="T694" s="36" t="str">
        <f t="shared" ca="1" si="62"/>
        <v/>
      </c>
      <c r="U694" s="37" t="s">
        <v>2301</v>
      </c>
      <c r="V694" s="37"/>
      <c r="W694" s="38"/>
      <c r="X694" s="39"/>
      <c r="Y694" s="150"/>
      <c r="Z694" s="40"/>
      <c r="AA694" s="136" t="str">
        <f t="shared" ca="1" si="60"/>
        <v/>
      </c>
      <c r="AB694" s="40"/>
      <c r="AC694" s="116"/>
      <c r="AD694" s="116"/>
      <c r="AE694" s="40"/>
      <c r="AF694" s="136" t="str">
        <f t="shared" ca="1" si="61"/>
        <v/>
      </c>
      <c r="AG694" s="127"/>
      <c r="AH694" s="127"/>
      <c r="AI694" s="127"/>
      <c r="AJ694" s="128"/>
      <c r="AK694" s="128"/>
      <c r="AL694" s="129"/>
    </row>
    <row r="695" spans="1:38" ht="23.25" x14ac:dyDescent="0.25">
      <c r="A695" s="299" t="str">
        <f t="shared" si="58"/>
        <v>17SAM085</v>
      </c>
      <c r="B695" s="298">
        <v>85</v>
      </c>
      <c r="C695" s="299" t="s">
        <v>57</v>
      </c>
      <c r="D695" s="300" t="s">
        <v>40</v>
      </c>
      <c r="E695" s="124" t="s">
        <v>739</v>
      </c>
      <c r="F695" s="124" t="s">
        <v>2297</v>
      </c>
      <c r="G695" s="251"/>
      <c r="H695" s="34" t="s">
        <v>112</v>
      </c>
      <c r="I695" s="126" t="s">
        <v>2298</v>
      </c>
      <c r="J695" s="47" t="s">
        <v>105</v>
      </c>
      <c r="K695" s="126">
        <v>3325.83</v>
      </c>
      <c r="L695" s="126">
        <v>1911</v>
      </c>
      <c r="M695" s="104" t="s">
        <v>2299</v>
      </c>
      <c r="N695" s="265">
        <v>42901</v>
      </c>
      <c r="O695" s="260"/>
      <c r="P695" s="370" t="s">
        <v>194</v>
      </c>
      <c r="Q695" s="107" t="s">
        <v>2300</v>
      </c>
      <c r="R695" s="266">
        <v>0.77</v>
      </c>
      <c r="S695" s="37"/>
      <c r="T695" s="36" t="str">
        <f t="shared" ref="T695:T706" ca="1" si="63">IF(S695="","",IF(S695=0,"Empty",IF(O695="","",IF(O695,DAYS360(O695,TODAY())))))</f>
        <v/>
      </c>
      <c r="U695" s="37" t="s">
        <v>2301</v>
      </c>
      <c r="V695" s="37"/>
      <c r="W695" s="38"/>
      <c r="X695" s="39"/>
      <c r="Y695" s="150"/>
      <c r="Z695" s="40"/>
      <c r="AA695" s="136" t="str">
        <f t="shared" ca="1" si="60"/>
        <v/>
      </c>
      <c r="AB695" s="40"/>
      <c r="AC695" s="116"/>
      <c r="AD695" s="116"/>
      <c r="AE695" s="40"/>
      <c r="AF695" s="136" t="str">
        <f t="shared" ca="1" si="61"/>
        <v/>
      </c>
      <c r="AG695" s="127"/>
      <c r="AH695" s="127"/>
      <c r="AI695" s="127"/>
      <c r="AJ695" s="128"/>
      <c r="AK695" s="128"/>
      <c r="AL695" s="129"/>
    </row>
    <row r="696" spans="1:38" ht="23.25" x14ac:dyDescent="0.25">
      <c r="A696" s="299" t="str">
        <f t="shared" si="58"/>
        <v>17SAM086</v>
      </c>
      <c r="B696" s="298">
        <v>86</v>
      </c>
      <c r="C696" s="299" t="s">
        <v>57</v>
      </c>
      <c r="D696" s="300" t="s">
        <v>40</v>
      </c>
      <c r="E696" s="124" t="s">
        <v>739</v>
      </c>
      <c r="F696" s="124" t="s">
        <v>2297</v>
      </c>
      <c r="G696" s="251"/>
      <c r="H696" s="34" t="s">
        <v>112</v>
      </c>
      <c r="I696" s="126" t="s">
        <v>2298</v>
      </c>
      <c r="J696" s="47" t="s">
        <v>105</v>
      </c>
      <c r="K696" s="126">
        <v>3325.83</v>
      </c>
      <c r="L696" s="126">
        <v>1911</v>
      </c>
      <c r="M696" s="104" t="s">
        <v>2299</v>
      </c>
      <c r="N696" s="265">
        <v>42901</v>
      </c>
      <c r="O696" s="260"/>
      <c r="P696" s="370" t="s">
        <v>194</v>
      </c>
      <c r="Q696" s="107" t="s">
        <v>2300</v>
      </c>
      <c r="R696" s="266">
        <v>0.77</v>
      </c>
      <c r="S696" s="37"/>
      <c r="T696" s="36" t="str">
        <f t="shared" ca="1" si="63"/>
        <v/>
      </c>
      <c r="U696" s="37" t="s">
        <v>2301</v>
      </c>
      <c r="V696" s="37"/>
      <c r="W696" s="38"/>
      <c r="X696" s="39"/>
      <c r="Y696" s="150"/>
      <c r="Z696" s="40"/>
      <c r="AA696" s="136" t="str">
        <f t="shared" ca="1" si="60"/>
        <v/>
      </c>
      <c r="AB696" s="40"/>
      <c r="AC696" s="116"/>
      <c r="AD696" s="116"/>
      <c r="AE696" s="40"/>
      <c r="AF696" s="136" t="str">
        <f t="shared" ca="1" si="61"/>
        <v/>
      </c>
      <c r="AG696" s="127"/>
      <c r="AH696" s="127"/>
      <c r="AI696" s="127"/>
      <c r="AJ696" s="128"/>
      <c r="AK696" s="128"/>
      <c r="AL696" s="129"/>
    </row>
    <row r="697" spans="1:38" ht="23.25" x14ac:dyDescent="0.25">
      <c r="A697" s="299" t="str">
        <f t="shared" si="58"/>
        <v>17SAM087</v>
      </c>
      <c r="B697" s="298">
        <v>87</v>
      </c>
      <c r="C697" s="299" t="s">
        <v>57</v>
      </c>
      <c r="D697" s="300" t="s">
        <v>40</v>
      </c>
      <c r="E697" s="124" t="s">
        <v>739</v>
      </c>
      <c r="F697" s="124" t="s">
        <v>2297</v>
      </c>
      <c r="G697" s="251"/>
      <c r="H697" s="34" t="s">
        <v>112</v>
      </c>
      <c r="I697" s="126" t="s">
        <v>2298</v>
      </c>
      <c r="J697" s="47" t="s">
        <v>105</v>
      </c>
      <c r="K697" s="126">
        <v>3325.83</v>
      </c>
      <c r="L697" s="126">
        <v>1911</v>
      </c>
      <c r="M697" s="104" t="s">
        <v>2299</v>
      </c>
      <c r="N697" s="265">
        <v>42901</v>
      </c>
      <c r="O697" s="260"/>
      <c r="P697" s="370" t="s">
        <v>194</v>
      </c>
      <c r="Q697" s="107" t="s">
        <v>2300</v>
      </c>
      <c r="R697" s="266">
        <v>0.77</v>
      </c>
      <c r="S697" s="37"/>
      <c r="T697" s="36" t="str">
        <f t="shared" ca="1" si="63"/>
        <v/>
      </c>
      <c r="U697" s="37" t="s">
        <v>2301</v>
      </c>
      <c r="V697" s="37"/>
      <c r="W697" s="38"/>
      <c r="X697" s="39"/>
      <c r="Y697" s="150"/>
      <c r="Z697" s="40"/>
      <c r="AA697" s="136" t="str">
        <f t="shared" ca="1" si="60"/>
        <v/>
      </c>
      <c r="AB697" s="40"/>
      <c r="AC697" s="116"/>
      <c r="AD697" s="116"/>
      <c r="AE697" s="40"/>
      <c r="AF697" s="136" t="str">
        <f t="shared" ca="1" si="61"/>
        <v/>
      </c>
      <c r="AG697" s="127"/>
      <c r="AH697" s="127"/>
      <c r="AI697" s="127"/>
      <c r="AJ697" s="128"/>
      <c r="AK697" s="128"/>
      <c r="AL697" s="129"/>
    </row>
    <row r="698" spans="1:38" ht="23.25" x14ac:dyDescent="0.25">
      <c r="A698" s="299" t="str">
        <f t="shared" si="58"/>
        <v>17SAM088</v>
      </c>
      <c r="B698" s="298">
        <v>88</v>
      </c>
      <c r="C698" s="299" t="s">
        <v>57</v>
      </c>
      <c r="D698" s="300" t="s">
        <v>40</v>
      </c>
      <c r="E698" s="124" t="s">
        <v>739</v>
      </c>
      <c r="F698" s="124" t="s">
        <v>2297</v>
      </c>
      <c r="G698" s="251"/>
      <c r="H698" s="34" t="s">
        <v>112</v>
      </c>
      <c r="I698" s="126" t="s">
        <v>2298</v>
      </c>
      <c r="J698" s="47" t="s">
        <v>105</v>
      </c>
      <c r="K698" s="126">
        <v>3325.83</v>
      </c>
      <c r="L698" s="126">
        <v>1911</v>
      </c>
      <c r="M698" s="104" t="s">
        <v>2299</v>
      </c>
      <c r="N698" s="265">
        <v>42901</v>
      </c>
      <c r="O698" s="260"/>
      <c r="P698" s="370" t="s">
        <v>194</v>
      </c>
      <c r="Q698" s="107" t="s">
        <v>2300</v>
      </c>
      <c r="R698" s="266">
        <v>0.77</v>
      </c>
      <c r="S698" s="37"/>
      <c r="T698" s="36" t="str">
        <f t="shared" ca="1" si="63"/>
        <v/>
      </c>
      <c r="U698" s="37" t="s">
        <v>2301</v>
      </c>
      <c r="V698" s="37"/>
      <c r="W698" s="38"/>
      <c r="X698" s="39"/>
      <c r="Y698" s="150"/>
      <c r="Z698" s="40"/>
      <c r="AA698" s="136" t="str">
        <f t="shared" ca="1" si="60"/>
        <v/>
      </c>
      <c r="AB698" s="40"/>
      <c r="AC698" s="116"/>
      <c r="AD698" s="116"/>
      <c r="AE698" s="40"/>
      <c r="AF698" s="136" t="str">
        <f t="shared" ca="1" si="61"/>
        <v/>
      </c>
      <c r="AG698" s="127"/>
      <c r="AH698" s="127"/>
      <c r="AI698" s="127"/>
      <c r="AJ698" s="128"/>
      <c r="AK698" s="128"/>
      <c r="AL698" s="129"/>
    </row>
    <row r="699" spans="1:38" ht="23.25" x14ac:dyDescent="0.25">
      <c r="A699" s="299" t="str">
        <f t="shared" si="58"/>
        <v>17SAM089</v>
      </c>
      <c r="B699" s="298">
        <v>89</v>
      </c>
      <c r="C699" s="299" t="s">
        <v>57</v>
      </c>
      <c r="D699" s="300" t="s">
        <v>40</v>
      </c>
      <c r="E699" s="124" t="s">
        <v>739</v>
      </c>
      <c r="F699" s="124" t="s">
        <v>2297</v>
      </c>
      <c r="G699" s="251"/>
      <c r="H699" s="34" t="s">
        <v>112</v>
      </c>
      <c r="I699" s="126" t="s">
        <v>2298</v>
      </c>
      <c r="J699" s="47" t="s">
        <v>105</v>
      </c>
      <c r="K699" s="126">
        <v>3325.83</v>
      </c>
      <c r="L699" s="126">
        <v>1911</v>
      </c>
      <c r="M699" s="104" t="s">
        <v>2299</v>
      </c>
      <c r="N699" s="265">
        <v>42901</v>
      </c>
      <c r="O699" s="260"/>
      <c r="P699" s="370" t="s">
        <v>194</v>
      </c>
      <c r="Q699" s="107" t="s">
        <v>2300</v>
      </c>
      <c r="R699" s="266">
        <v>0.77</v>
      </c>
      <c r="S699" s="37"/>
      <c r="T699" s="36" t="str">
        <f t="shared" ca="1" si="63"/>
        <v/>
      </c>
      <c r="U699" s="37" t="s">
        <v>2301</v>
      </c>
      <c r="V699" s="37"/>
      <c r="W699" s="38"/>
      <c r="X699" s="39"/>
      <c r="Y699" s="150"/>
      <c r="Z699" s="40"/>
      <c r="AA699" s="136" t="str">
        <f t="shared" ca="1" si="60"/>
        <v/>
      </c>
      <c r="AB699" s="40"/>
      <c r="AC699" s="116"/>
      <c r="AD699" s="116"/>
      <c r="AE699" s="40"/>
      <c r="AF699" s="136" t="str">
        <f t="shared" ca="1" si="61"/>
        <v/>
      </c>
      <c r="AG699" s="127"/>
      <c r="AH699" s="127"/>
      <c r="AI699" s="127"/>
      <c r="AJ699" s="128"/>
      <c r="AK699" s="128"/>
      <c r="AL699" s="129"/>
    </row>
    <row r="700" spans="1:38" ht="23.25" x14ac:dyDescent="0.25">
      <c r="A700" s="299" t="str">
        <f t="shared" si="58"/>
        <v>17SAM090</v>
      </c>
      <c r="B700" s="298">
        <v>90</v>
      </c>
      <c r="C700" s="299" t="s">
        <v>57</v>
      </c>
      <c r="D700" s="300" t="s">
        <v>40</v>
      </c>
      <c r="E700" s="124" t="s">
        <v>739</v>
      </c>
      <c r="F700" s="124" t="s">
        <v>2297</v>
      </c>
      <c r="G700" s="251"/>
      <c r="H700" s="34" t="s">
        <v>112</v>
      </c>
      <c r="I700" s="126" t="s">
        <v>2298</v>
      </c>
      <c r="J700" s="47" t="s">
        <v>105</v>
      </c>
      <c r="K700" s="126">
        <v>3325.83</v>
      </c>
      <c r="L700" s="126">
        <v>1911</v>
      </c>
      <c r="M700" s="104" t="s">
        <v>2299</v>
      </c>
      <c r="N700" s="265">
        <v>42901</v>
      </c>
      <c r="O700" s="260"/>
      <c r="P700" s="370" t="s">
        <v>194</v>
      </c>
      <c r="Q700" s="107" t="s">
        <v>2300</v>
      </c>
      <c r="R700" s="266">
        <v>0.77</v>
      </c>
      <c r="S700" s="37"/>
      <c r="T700" s="36" t="str">
        <f t="shared" ca="1" si="63"/>
        <v/>
      </c>
      <c r="U700" s="37" t="s">
        <v>2301</v>
      </c>
      <c r="V700" s="37"/>
      <c r="W700" s="38"/>
      <c r="X700" s="39"/>
      <c r="Y700" s="150"/>
      <c r="Z700" s="40"/>
      <c r="AA700" s="136" t="str">
        <f t="shared" ca="1" si="60"/>
        <v/>
      </c>
      <c r="AB700" s="40"/>
      <c r="AC700" s="116"/>
      <c r="AD700" s="116"/>
      <c r="AE700" s="40"/>
      <c r="AF700" s="136" t="str">
        <f t="shared" ca="1" si="61"/>
        <v/>
      </c>
      <c r="AG700" s="127"/>
      <c r="AH700" s="127"/>
      <c r="AI700" s="127"/>
      <c r="AJ700" s="128"/>
      <c r="AK700" s="128"/>
      <c r="AL700" s="129"/>
    </row>
    <row r="701" spans="1:38" ht="23.25" x14ac:dyDescent="0.25">
      <c r="A701" s="299" t="str">
        <f t="shared" si="58"/>
        <v>17SAM091</v>
      </c>
      <c r="B701" s="298">
        <v>91</v>
      </c>
      <c r="C701" s="299" t="s">
        <v>57</v>
      </c>
      <c r="D701" s="300" t="s">
        <v>40</v>
      </c>
      <c r="E701" s="124" t="s">
        <v>739</v>
      </c>
      <c r="F701" s="124" t="s">
        <v>2297</v>
      </c>
      <c r="G701" s="251"/>
      <c r="H701" s="34" t="s">
        <v>112</v>
      </c>
      <c r="I701" s="126" t="s">
        <v>2298</v>
      </c>
      <c r="J701" s="47" t="s">
        <v>105</v>
      </c>
      <c r="K701" s="126">
        <v>3325.83</v>
      </c>
      <c r="L701" s="126">
        <v>1911</v>
      </c>
      <c r="M701" s="104" t="s">
        <v>2299</v>
      </c>
      <c r="N701" s="265">
        <v>42901</v>
      </c>
      <c r="O701" s="260"/>
      <c r="P701" s="370" t="s">
        <v>194</v>
      </c>
      <c r="Q701" s="107" t="s">
        <v>2300</v>
      </c>
      <c r="R701" s="266">
        <v>0.77</v>
      </c>
      <c r="S701" s="37"/>
      <c r="T701" s="36" t="str">
        <f t="shared" ca="1" si="63"/>
        <v/>
      </c>
      <c r="U701" s="37" t="s">
        <v>2301</v>
      </c>
      <c r="V701" s="37"/>
      <c r="W701" s="38"/>
      <c r="X701" s="39"/>
      <c r="Y701" s="150"/>
      <c r="Z701" s="40"/>
      <c r="AA701" s="136" t="str">
        <f t="shared" ca="1" si="60"/>
        <v/>
      </c>
      <c r="AB701" s="40"/>
      <c r="AC701" s="116"/>
      <c r="AD701" s="116"/>
      <c r="AE701" s="40"/>
      <c r="AF701" s="136" t="str">
        <f t="shared" ca="1" si="61"/>
        <v/>
      </c>
      <c r="AG701" s="127"/>
      <c r="AH701" s="127"/>
      <c r="AI701" s="127"/>
      <c r="AJ701" s="128"/>
      <c r="AK701" s="128"/>
      <c r="AL701" s="129"/>
    </row>
    <row r="702" spans="1:38" ht="23.25" x14ac:dyDescent="0.25">
      <c r="A702" s="299" t="str">
        <f t="shared" si="58"/>
        <v>17SAM092</v>
      </c>
      <c r="B702" s="298">
        <v>92</v>
      </c>
      <c r="C702" s="299" t="s">
        <v>57</v>
      </c>
      <c r="D702" s="300" t="s">
        <v>40</v>
      </c>
      <c r="E702" s="124" t="s">
        <v>739</v>
      </c>
      <c r="F702" s="124" t="s">
        <v>2297</v>
      </c>
      <c r="G702" s="251"/>
      <c r="H702" s="34" t="s">
        <v>112</v>
      </c>
      <c r="I702" s="126" t="s">
        <v>2298</v>
      </c>
      <c r="J702" s="47" t="s">
        <v>105</v>
      </c>
      <c r="K702" s="126">
        <v>3325.83</v>
      </c>
      <c r="L702" s="126">
        <v>1911</v>
      </c>
      <c r="M702" s="104" t="s">
        <v>2299</v>
      </c>
      <c r="N702" s="265">
        <v>42901</v>
      </c>
      <c r="O702" s="260"/>
      <c r="P702" s="370" t="s">
        <v>194</v>
      </c>
      <c r="Q702" s="107" t="s">
        <v>2300</v>
      </c>
      <c r="R702" s="266">
        <v>0.77</v>
      </c>
      <c r="S702" s="37"/>
      <c r="T702" s="36" t="str">
        <f t="shared" ca="1" si="63"/>
        <v/>
      </c>
      <c r="U702" s="37" t="s">
        <v>2301</v>
      </c>
      <c r="V702" s="37"/>
      <c r="W702" s="38"/>
      <c r="X702" s="39"/>
      <c r="Y702" s="150"/>
      <c r="Z702" s="40"/>
      <c r="AA702" s="136" t="str">
        <f t="shared" ca="1" si="60"/>
        <v/>
      </c>
      <c r="AB702" s="40"/>
      <c r="AC702" s="116"/>
      <c r="AD702" s="116"/>
      <c r="AE702" s="40"/>
      <c r="AF702" s="136" t="str">
        <f t="shared" ca="1" si="61"/>
        <v/>
      </c>
      <c r="AG702" s="127"/>
      <c r="AH702" s="127"/>
      <c r="AI702" s="127"/>
      <c r="AJ702" s="128"/>
      <c r="AK702" s="128"/>
      <c r="AL702" s="129"/>
    </row>
    <row r="703" spans="1:38" ht="23.25" x14ac:dyDescent="0.25">
      <c r="A703" s="299" t="str">
        <f t="shared" si="58"/>
        <v>17SAM093</v>
      </c>
      <c r="B703" s="298">
        <v>93</v>
      </c>
      <c r="C703" s="299" t="s">
        <v>57</v>
      </c>
      <c r="D703" s="300" t="s">
        <v>40</v>
      </c>
      <c r="E703" s="124" t="s">
        <v>739</v>
      </c>
      <c r="F703" s="124" t="s">
        <v>2297</v>
      </c>
      <c r="G703" s="251"/>
      <c r="H703" s="34" t="s">
        <v>112</v>
      </c>
      <c r="I703" s="126" t="s">
        <v>2298</v>
      </c>
      <c r="J703" s="47" t="s">
        <v>105</v>
      </c>
      <c r="K703" s="126">
        <v>3325.83</v>
      </c>
      <c r="L703" s="126">
        <v>1911</v>
      </c>
      <c r="M703" s="104" t="s">
        <v>2299</v>
      </c>
      <c r="N703" s="265">
        <v>42901</v>
      </c>
      <c r="O703" s="260"/>
      <c r="P703" s="370" t="s">
        <v>194</v>
      </c>
      <c r="Q703" s="107" t="s">
        <v>2300</v>
      </c>
      <c r="R703" s="266">
        <v>0.77</v>
      </c>
      <c r="S703" s="37"/>
      <c r="T703" s="36" t="str">
        <f t="shared" ca="1" si="63"/>
        <v/>
      </c>
      <c r="U703" s="37" t="s">
        <v>2301</v>
      </c>
      <c r="V703" s="37"/>
      <c r="W703" s="38"/>
      <c r="X703" s="39"/>
      <c r="Y703" s="150"/>
      <c r="Z703" s="40"/>
      <c r="AA703" s="136" t="str">
        <f t="shared" ca="1" si="60"/>
        <v/>
      </c>
      <c r="AB703" s="40"/>
      <c r="AC703" s="116"/>
      <c r="AD703" s="116"/>
      <c r="AE703" s="40"/>
      <c r="AF703" s="136" t="str">
        <f t="shared" ca="1" si="61"/>
        <v/>
      </c>
      <c r="AG703" s="127"/>
      <c r="AH703" s="127"/>
      <c r="AI703" s="127"/>
      <c r="AJ703" s="128"/>
      <c r="AK703" s="128"/>
      <c r="AL703" s="129"/>
    </row>
    <row r="704" spans="1:38" ht="23.25" x14ac:dyDescent="0.25">
      <c r="A704" s="299" t="str">
        <f t="shared" si="58"/>
        <v>17SAM094</v>
      </c>
      <c r="B704" s="298">
        <v>94</v>
      </c>
      <c r="C704" s="299" t="s">
        <v>57</v>
      </c>
      <c r="D704" s="300" t="s">
        <v>40</v>
      </c>
      <c r="E704" s="124" t="s">
        <v>739</v>
      </c>
      <c r="F704" s="124" t="s">
        <v>2297</v>
      </c>
      <c r="G704" s="251"/>
      <c r="H704" s="34" t="s">
        <v>112</v>
      </c>
      <c r="I704" s="126" t="s">
        <v>2298</v>
      </c>
      <c r="J704" s="47" t="s">
        <v>105</v>
      </c>
      <c r="K704" s="126">
        <v>3325.83</v>
      </c>
      <c r="L704" s="126">
        <v>1911</v>
      </c>
      <c r="M704" s="104" t="s">
        <v>2299</v>
      </c>
      <c r="N704" s="265">
        <v>42901</v>
      </c>
      <c r="O704" s="260"/>
      <c r="P704" s="370" t="s">
        <v>194</v>
      </c>
      <c r="Q704" s="107" t="s">
        <v>2300</v>
      </c>
      <c r="R704" s="266">
        <v>0.77</v>
      </c>
      <c r="S704" s="37"/>
      <c r="T704" s="36" t="str">
        <f t="shared" ca="1" si="63"/>
        <v/>
      </c>
      <c r="U704" s="37" t="s">
        <v>2301</v>
      </c>
      <c r="V704" s="37"/>
      <c r="W704" s="38"/>
      <c r="X704" s="39"/>
      <c r="Y704" s="150"/>
      <c r="Z704" s="40"/>
      <c r="AA704" s="136" t="str">
        <f t="shared" ca="1" si="60"/>
        <v/>
      </c>
      <c r="AB704" s="40"/>
      <c r="AC704" s="116"/>
      <c r="AD704" s="116"/>
      <c r="AE704" s="40"/>
      <c r="AF704" s="136" t="str">
        <f t="shared" ca="1" si="61"/>
        <v/>
      </c>
      <c r="AG704" s="127"/>
      <c r="AH704" s="127"/>
      <c r="AI704" s="127"/>
      <c r="AJ704" s="128"/>
      <c r="AK704" s="128"/>
      <c r="AL704" s="129"/>
    </row>
    <row r="705" spans="1:38" ht="23.25" x14ac:dyDescent="0.25">
      <c r="A705" s="299" t="str">
        <f t="shared" si="58"/>
        <v>17SAM095</v>
      </c>
      <c r="B705" s="298">
        <v>95</v>
      </c>
      <c r="C705" s="299" t="s">
        <v>57</v>
      </c>
      <c r="D705" s="300" t="s">
        <v>40</v>
      </c>
      <c r="E705" s="124" t="s">
        <v>739</v>
      </c>
      <c r="F705" s="124" t="s">
        <v>2297</v>
      </c>
      <c r="G705" s="251"/>
      <c r="H705" s="34" t="s">
        <v>112</v>
      </c>
      <c r="I705" s="126" t="s">
        <v>2298</v>
      </c>
      <c r="J705" s="47" t="s">
        <v>105</v>
      </c>
      <c r="K705" s="126">
        <v>3325.83</v>
      </c>
      <c r="L705" s="126">
        <v>1911</v>
      </c>
      <c r="M705" s="104" t="s">
        <v>2299</v>
      </c>
      <c r="N705" s="265">
        <v>42901</v>
      </c>
      <c r="O705" s="260"/>
      <c r="P705" s="370" t="s">
        <v>194</v>
      </c>
      <c r="Q705" s="107" t="s">
        <v>2300</v>
      </c>
      <c r="R705" s="266">
        <v>0.77</v>
      </c>
      <c r="S705" s="37"/>
      <c r="T705" s="36" t="str">
        <f t="shared" ca="1" si="63"/>
        <v/>
      </c>
      <c r="U705" s="37" t="s">
        <v>2301</v>
      </c>
      <c r="V705" s="37"/>
      <c r="W705" s="38"/>
      <c r="X705" s="39"/>
      <c r="Y705" s="150"/>
      <c r="Z705" s="40"/>
      <c r="AA705" s="136" t="str">
        <f t="shared" ca="1" si="60"/>
        <v/>
      </c>
      <c r="AB705" s="40"/>
      <c r="AC705" s="116"/>
      <c r="AD705" s="116"/>
      <c r="AE705" s="40"/>
      <c r="AF705" s="136" t="str">
        <f t="shared" ca="1" si="61"/>
        <v/>
      </c>
      <c r="AG705" s="127"/>
      <c r="AH705" s="127"/>
      <c r="AI705" s="127"/>
      <c r="AJ705" s="128"/>
      <c r="AK705" s="128"/>
      <c r="AL705" s="129"/>
    </row>
    <row r="706" spans="1:38" ht="23.25" x14ac:dyDescent="0.25">
      <c r="A706" s="299" t="str">
        <f t="shared" si="58"/>
        <v>17SAM096</v>
      </c>
      <c r="B706" s="298">
        <v>96</v>
      </c>
      <c r="C706" s="299" t="s">
        <v>57</v>
      </c>
      <c r="D706" s="300" t="s">
        <v>40</v>
      </c>
      <c r="E706" s="124" t="s">
        <v>739</v>
      </c>
      <c r="F706" s="124" t="s">
        <v>2297</v>
      </c>
      <c r="G706" s="251"/>
      <c r="H706" s="34" t="s">
        <v>112</v>
      </c>
      <c r="I706" s="126" t="s">
        <v>2298</v>
      </c>
      <c r="J706" s="47" t="s">
        <v>105</v>
      </c>
      <c r="K706" s="126">
        <v>3325.83</v>
      </c>
      <c r="L706" s="126">
        <v>1911</v>
      </c>
      <c r="M706" s="104" t="s">
        <v>2299</v>
      </c>
      <c r="N706" s="265">
        <v>42901</v>
      </c>
      <c r="O706" s="260"/>
      <c r="P706" s="370" t="s">
        <v>194</v>
      </c>
      <c r="Q706" s="107" t="s">
        <v>2300</v>
      </c>
      <c r="R706" s="266">
        <v>0.77</v>
      </c>
      <c r="S706" s="37"/>
      <c r="T706" s="36" t="str">
        <f t="shared" ca="1" si="63"/>
        <v/>
      </c>
      <c r="U706" s="37" t="s">
        <v>2301</v>
      </c>
      <c r="V706" s="37"/>
      <c r="W706" s="38"/>
      <c r="X706" s="39"/>
      <c r="Y706" s="150"/>
      <c r="Z706" s="40"/>
      <c r="AA706" s="136" t="str">
        <f t="shared" ca="1" si="60"/>
        <v/>
      </c>
      <c r="AB706" s="40"/>
      <c r="AC706" s="116"/>
      <c r="AD706" s="116"/>
      <c r="AE706" s="40"/>
      <c r="AF706" s="136" t="str">
        <f t="shared" ca="1" si="61"/>
        <v/>
      </c>
      <c r="AG706" s="127"/>
      <c r="AH706" s="127"/>
      <c r="AI706" s="127"/>
      <c r="AJ706" s="128"/>
      <c r="AK706" s="128"/>
      <c r="AL706" s="129"/>
    </row>
    <row r="707" spans="1:38" ht="23.25" x14ac:dyDescent="0.25">
      <c r="A707" s="299" t="str">
        <f t="shared" si="58"/>
        <v>17SAM097</v>
      </c>
      <c r="B707" s="298">
        <v>97</v>
      </c>
      <c r="C707" s="299" t="s">
        <v>57</v>
      </c>
      <c r="D707" s="300" t="s">
        <v>40</v>
      </c>
      <c r="E707" s="124" t="s">
        <v>739</v>
      </c>
      <c r="F707" s="124" t="s">
        <v>2302</v>
      </c>
      <c r="G707" s="251"/>
      <c r="H707" s="34" t="s">
        <v>112</v>
      </c>
      <c r="I707" s="126" t="s">
        <v>2303</v>
      </c>
      <c r="J707" s="47" t="s">
        <v>105</v>
      </c>
      <c r="K707" s="126">
        <v>3342.24</v>
      </c>
      <c r="L707" s="126">
        <v>3054</v>
      </c>
      <c r="M707" s="104" t="s">
        <v>2304</v>
      </c>
      <c r="N707" s="265">
        <v>42901</v>
      </c>
      <c r="O707" s="260">
        <v>42948</v>
      </c>
      <c r="P707" s="370" t="s">
        <v>194</v>
      </c>
      <c r="Q707" s="107" t="s">
        <v>2300</v>
      </c>
      <c r="R707" s="266">
        <v>0.77</v>
      </c>
      <c r="S707" s="37">
        <v>0</v>
      </c>
      <c r="T707" s="36" t="str">
        <f t="shared" ca="1" si="59"/>
        <v>Empty</v>
      </c>
      <c r="U707" s="37" t="s">
        <v>2301</v>
      </c>
      <c r="V707" s="37"/>
      <c r="W707" s="38"/>
      <c r="X707" s="39"/>
      <c r="Y707" s="150"/>
      <c r="Z707" s="40"/>
      <c r="AA707" s="136" t="str">
        <f t="shared" ca="1" si="60"/>
        <v/>
      </c>
      <c r="AB707" s="40"/>
      <c r="AC707" s="116"/>
      <c r="AD707" s="116"/>
      <c r="AE707" s="40"/>
      <c r="AF707" s="136" t="str">
        <f t="shared" ca="1" si="61"/>
        <v/>
      </c>
      <c r="AG707" s="127"/>
      <c r="AH707" s="127"/>
      <c r="AI707" s="127"/>
      <c r="AJ707" s="128"/>
      <c r="AK707" s="128"/>
      <c r="AL707" s="129"/>
    </row>
    <row r="708" spans="1:38" ht="23.25" x14ac:dyDescent="0.25">
      <c r="A708" s="299" t="str">
        <f t="shared" si="58"/>
        <v>17SAM098</v>
      </c>
      <c r="B708" s="298">
        <v>98</v>
      </c>
      <c r="C708" s="299" t="s">
        <v>57</v>
      </c>
      <c r="D708" s="300" t="s">
        <v>40</v>
      </c>
      <c r="E708" s="124" t="s">
        <v>739</v>
      </c>
      <c r="F708" s="124" t="s">
        <v>2302</v>
      </c>
      <c r="G708" s="251"/>
      <c r="H708" s="34" t="s">
        <v>112</v>
      </c>
      <c r="I708" s="126" t="s">
        <v>2303</v>
      </c>
      <c r="J708" s="47" t="s">
        <v>105</v>
      </c>
      <c r="K708" s="126">
        <v>3342.24</v>
      </c>
      <c r="L708" s="126">
        <v>3054</v>
      </c>
      <c r="M708" s="104" t="s">
        <v>2304</v>
      </c>
      <c r="N708" s="265">
        <v>42901</v>
      </c>
      <c r="O708" s="260"/>
      <c r="P708" s="370" t="s">
        <v>194</v>
      </c>
      <c r="Q708" s="107" t="s">
        <v>2300</v>
      </c>
      <c r="R708" s="266">
        <v>0.77</v>
      </c>
      <c r="S708" s="37"/>
      <c r="T708" s="36" t="str">
        <f t="shared" ca="1" si="59"/>
        <v/>
      </c>
      <c r="U708" s="37" t="s">
        <v>2301</v>
      </c>
      <c r="V708" s="37"/>
      <c r="W708" s="38"/>
      <c r="X708" s="39"/>
      <c r="Y708" s="150"/>
      <c r="Z708" s="40"/>
      <c r="AA708" s="136" t="str">
        <f t="shared" ca="1" si="60"/>
        <v/>
      </c>
      <c r="AB708" s="40"/>
      <c r="AC708" s="116"/>
      <c r="AD708" s="116"/>
      <c r="AE708" s="40"/>
      <c r="AF708" s="136" t="str">
        <f t="shared" ca="1" si="61"/>
        <v/>
      </c>
      <c r="AG708" s="127"/>
      <c r="AH708" s="127"/>
      <c r="AI708" s="127"/>
      <c r="AJ708" s="128"/>
      <c r="AK708" s="128"/>
      <c r="AL708" s="129"/>
    </row>
    <row r="709" spans="1:38" ht="23.25" x14ac:dyDescent="0.25">
      <c r="A709" s="299" t="str">
        <f>IF(C709="","",CONCATENATE(17,MID(C709,1,3),IF(B709&lt;10,"00",0),B709))</f>
        <v>17SAM099</v>
      </c>
      <c r="B709" s="298">
        <v>99</v>
      </c>
      <c r="C709" s="299" t="s">
        <v>57</v>
      </c>
      <c r="D709" s="300" t="s">
        <v>40</v>
      </c>
      <c r="E709" s="124" t="s">
        <v>739</v>
      </c>
      <c r="F709" s="124" t="s">
        <v>2302</v>
      </c>
      <c r="G709" s="251"/>
      <c r="H709" s="34" t="s">
        <v>112</v>
      </c>
      <c r="I709" s="126" t="s">
        <v>2303</v>
      </c>
      <c r="J709" s="47" t="s">
        <v>105</v>
      </c>
      <c r="K709" s="126">
        <v>3342.24</v>
      </c>
      <c r="L709" s="126">
        <v>3054</v>
      </c>
      <c r="M709" s="104" t="s">
        <v>2304</v>
      </c>
      <c r="N709" s="265">
        <v>42901</v>
      </c>
      <c r="O709" s="260"/>
      <c r="P709" s="370" t="s">
        <v>194</v>
      </c>
      <c r="Q709" s="107" t="s">
        <v>2300</v>
      </c>
      <c r="R709" s="266">
        <v>0.77</v>
      </c>
      <c r="S709" s="37"/>
      <c r="T709" s="36" t="str">
        <f t="shared" ca="1" si="59"/>
        <v/>
      </c>
      <c r="U709" s="37" t="s">
        <v>2301</v>
      </c>
      <c r="V709" s="37"/>
      <c r="W709" s="38"/>
      <c r="X709" s="39"/>
      <c r="Y709" s="150"/>
      <c r="Z709" s="40"/>
      <c r="AA709" s="136" t="str">
        <f t="shared" ca="1" si="60"/>
        <v/>
      </c>
      <c r="AB709" s="40"/>
      <c r="AC709" s="116"/>
      <c r="AD709" s="116"/>
      <c r="AE709" s="40"/>
      <c r="AF709" s="136" t="str">
        <f t="shared" ca="1" si="61"/>
        <v/>
      </c>
      <c r="AG709" s="127"/>
      <c r="AH709" s="127"/>
      <c r="AI709" s="127"/>
      <c r="AJ709" s="128"/>
      <c r="AK709" s="128"/>
      <c r="AL709" s="129"/>
    </row>
    <row r="710" spans="1:38" ht="31.5" customHeight="1" x14ac:dyDescent="0.25">
      <c r="A710" s="299" t="str">
        <f>IF(C710="","",CONCATENATE(17,MID(C710,1,3),B710))</f>
        <v>17SAM100</v>
      </c>
      <c r="B710" s="298">
        <v>100</v>
      </c>
      <c r="C710" s="299" t="s">
        <v>57</v>
      </c>
      <c r="D710" s="300" t="s">
        <v>40</v>
      </c>
      <c r="E710" s="124" t="s">
        <v>739</v>
      </c>
      <c r="F710" s="124" t="s">
        <v>2302</v>
      </c>
      <c r="G710" s="251"/>
      <c r="H710" s="34" t="s">
        <v>112</v>
      </c>
      <c r="I710" s="126" t="s">
        <v>2303</v>
      </c>
      <c r="J710" s="47" t="s">
        <v>105</v>
      </c>
      <c r="K710" s="126">
        <v>3342.24</v>
      </c>
      <c r="L710" s="126">
        <v>3054</v>
      </c>
      <c r="M710" s="104" t="s">
        <v>2304</v>
      </c>
      <c r="N710" s="265">
        <v>42901</v>
      </c>
      <c r="O710" s="260"/>
      <c r="P710" s="370" t="s">
        <v>194</v>
      </c>
      <c r="Q710" s="107" t="s">
        <v>2300</v>
      </c>
      <c r="R710" s="266">
        <v>0.77</v>
      </c>
      <c r="S710" s="37"/>
      <c r="T710" s="36" t="str">
        <f t="shared" ca="1" si="59"/>
        <v/>
      </c>
      <c r="U710" s="37" t="s">
        <v>2301</v>
      </c>
      <c r="V710" s="37"/>
      <c r="W710" s="38"/>
      <c r="X710" s="39"/>
      <c r="Y710" s="150"/>
      <c r="Z710" s="40"/>
      <c r="AA710" s="136" t="str">
        <f t="shared" ca="1" si="60"/>
        <v/>
      </c>
      <c r="AB710" s="40"/>
      <c r="AC710" s="116"/>
      <c r="AD710" s="116"/>
      <c r="AE710" s="40"/>
      <c r="AF710" s="136" t="str">
        <f t="shared" ca="1" si="61"/>
        <v/>
      </c>
      <c r="AG710" s="127"/>
      <c r="AH710" s="127"/>
      <c r="AI710" s="127"/>
      <c r="AJ710" s="128"/>
      <c r="AK710" s="128"/>
      <c r="AL710" s="129"/>
    </row>
    <row r="711" spans="1:38" ht="26.25" customHeight="1" x14ac:dyDescent="0.25">
      <c r="A711" s="299" t="str">
        <f t="shared" ref="A711:A774" si="64">IF(C711="","",CONCATENATE(17,MID(C711,1,3),B711))</f>
        <v>17SAM101</v>
      </c>
      <c r="B711" s="298">
        <v>101</v>
      </c>
      <c r="C711" s="299" t="s">
        <v>57</v>
      </c>
      <c r="D711" s="300" t="s">
        <v>40</v>
      </c>
      <c r="E711" s="124" t="s">
        <v>739</v>
      </c>
      <c r="F711" s="124" t="s">
        <v>2302</v>
      </c>
      <c r="G711" s="251"/>
      <c r="H711" s="34" t="s">
        <v>112</v>
      </c>
      <c r="I711" s="126" t="s">
        <v>2303</v>
      </c>
      <c r="J711" s="47" t="s">
        <v>105</v>
      </c>
      <c r="K711" s="126">
        <v>3342.24</v>
      </c>
      <c r="L711" s="126">
        <v>3054</v>
      </c>
      <c r="M711" s="104" t="s">
        <v>2304</v>
      </c>
      <c r="N711" s="265">
        <v>42901</v>
      </c>
      <c r="O711" s="260"/>
      <c r="P711" s="370" t="s">
        <v>194</v>
      </c>
      <c r="Q711" s="107" t="s">
        <v>2300</v>
      </c>
      <c r="R711" s="266">
        <v>0.77</v>
      </c>
      <c r="S711" s="37"/>
      <c r="T711" s="36" t="str">
        <f t="shared" ca="1" si="59"/>
        <v/>
      </c>
      <c r="U711" s="37" t="s">
        <v>2301</v>
      </c>
      <c r="V711" s="37"/>
      <c r="W711" s="38"/>
      <c r="X711" s="39"/>
      <c r="Y711" s="150"/>
      <c r="Z711" s="40"/>
      <c r="AA711" s="136" t="str">
        <f t="shared" ca="1" si="60"/>
        <v/>
      </c>
      <c r="AB711" s="40"/>
      <c r="AC711" s="116"/>
      <c r="AD711" s="116"/>
      <c r="AE711" s="40"/>
      <c r="AF711" s="136" t="str">
        <f t="shared" ca="1" si="61"/>
        <v/>
      </c>
      <c r="AG711" s="127"/>
      <c r="AH711" s="127"/>
      <c r="AI711" s="127"/>
      <c r="AJ711" s="128"/>
      <c r="AK711" s="128"/>
      <c r="AL711" s="129"/>
    </row>
    <row r="712" spans="1:38" ht="23.25" x14ac:dyDescent="0.25">
      <c r="A712" s="299" t="str">
        <f t="shared" si="64"/>
        <v>17SAM102</v>
      </c>
      <c r="B712" s="298">
        <v>102</v>
      </c>
      <c r="C712" s="299" t="s">
        <v>57</v>
      </c>
      <c r="D712" s="300" t="s">
        <v>40</v>
      </c>
      <c r="E712" s="124" t="s">
        <v>739</v>
      </c>
      <c r="F712" s="124" t="s">
        <v>2302</v>
      </c>
      <c r="G712" s="251"/>
      <c r="H712" s="34" t="s">
        <v>112</v>
      </c>
      <c r="I712" s="126" t="s">
        <v>2303</v>
      </c>
      <c r="J712" s="47" t="s">
        <v>105</v>
      </c>
      <c r="K712" s="126">
        <v>3342.24</v>
      </c>
      <c r="L712" s="126">
        <v>3054</v>
      </c>
      <c r="M712" s="104" t="s">
        <v>2304</v>
      </c>
      <c r="N712" s="265">
        <v>42901</v>
      </c>
      <c r="O712" s="260"/>
      <c r="P712" s="370" t="s">
        <v>194</v>
      </c>
      <c r="Q712" s="107" t="s">
        <v>2300</v>
      </c>
      <c r="R712" s="266">
        <v>0.77</v>
      </c>
      <c r="S712" s="37"/>
      <c r="T712" s="36" t="str">
        <f t="shared" ref="T712" ca="1" si="65">IF(S712="","",IF(S712=0,"Empty",IF(O712="","",IF(O712,DAYS360(O712,TODAY())))))</f>
        <v/>
      </c>
      <c r="U712" s="37" t="s">
        <v>2301</v>
      </c>
      <c r="V712" s="37"/>
      <c r="W712" s="38"/>
      <c r="X712" s="39"/>
      <c r="Y712" s="150"/>
      <c r="Z712" s="40"/>
      <c r="AA712" s="136" t="str">
        <f t="shared" ca="1" si="60"/>
        <v/>
      </c>
      <c r="AB712" s="40"/>
      <c r="AC712" s="116"/>
      <c r="AD712" s="116"/>
      <c r="AE712" s="40"/>
      <c r="AF712" s="136" t="str">
        <f t="shared" ca="1" si="61"/>
        <v/>
      </c>
      <c r="AG712" s="127"/>
      <c r="AH712" s="127"/>
      <c r="AI712" s="127"/>
      <c r="AJ712" s="128"/>
      <c r="AK712" s="128"/>
      <c r="AL712" s="129"/>
    </row>
    <row r="713" spans="1:38" ht="24" customHeight="1" x14ac:dyDescent="0.25">
      <c r="A713" s="343" t="str">
        <f t="shared" si="64"/>
        <v>17REF103</v>
      </c>
      <c r="B713" s="342">
        <v>103</v>
      </c>
      <c r="C713" s="343" t="s">
        <v>39</v>
      </c>
      <c r="D713" s="344" t="s">
        <v>744</v>
      </c>
      <c r="E713" s="124" t="s">
        <v>41</v>
      </c>
      <c r="F713" s="124" t="s">
        <v>3188</v>
      </c>
      <c r="G713" s="251" t="s">
        <v>2201</v>
      </c>
      <c r="H713" s="34" t="s">
        <v>43</v>
      </c>
      <c r="I713" s="126" t="s">
        <v>807</v>
      </c>
      <c r="J713" s="47" t="s">
        <v>180</v>
      </c>
      <c r="K713" s="126">
        <v>509.29</v>
      </c>
      <c r="L713" s="126">
        <v>14343</v>
      </c>
      <c r="M713" s="104" t="s">
        <v>808</v>
      </c>
      <c r="N713" s="265">
        <v>42906</v>
      </c>
      <c r="O713" s="260">
        <v>42913</v>
      </c>
      <c r="P713" s="106" t="s">
        <v>183</v>
      </c>
      <c r="Q713" s="107" t="s">
        <v>2307</v>
      </c>
      <c r="R713" s="267">
        <v>0.95599999999999996</v>
      </c>
      <c r="S713" s="37">
        <v>0</v>
      </c>
      <c r="T713" s="36" t="str">
        <f t="shared" ca="1" si="59"/>
        <v>Empty</v>
      </c>
      <c r="U713" s="37"/>
      <c r="V713" s="37"/>
      <c r="W713" s="38">
        <v>42913</v>
      </c>
      <c r="X713" s="39" t="s">
        <v>2317</v>
      </c>
      <c r="Y713" s="116" t="s">
        <v>2354</v>
      </c>
      <c r="Z713" s="40" t="s">
        <v>49</v>
      </c>
      <c r="AA713" s="136">
        <f t="shared" ca="1" si="60"/>
        <v>457</v>
      </c>
      <c r="AB713" s="40"/>
      <c r="AC713" s="116"/>
      <c r="AD713" s="116"/>
      <c r="AE713" s="40"/>
      <c r="AF713" s="136" t="str">
        <f t="shared" ca="1" si="61"/>
        <v/>
      </c>
      <c r="AG713" s="127"/>
      <c r="AH713" s="127"/>
      <c r="AI713" s="127"/>
      <c r="AJ713" s="128"/>
      <c r="AK713" s="128"/>
      <c r="AL713" s="129"/>
    </row>
    <row r="714" spans="1:38" ht="29.25" customHeight="1" x14ac:dyDescent="0.25">
      <c r="A714" s="343" t="str">
        <f t="shared" si="64"/>
        <v>17REF104</v>
      </c>
      <c r="B714" s="342">
        <v>104</v>
      </c>
      <c r="C714" s="343" t="s">
        <v>39</v>
      </c>
      <c r="D714" s="344" t="s">
        <v>744</v>
      </c>
      <c r="E714" s="124" t="s">
        <v>41</v>
      </c>
      <c r="F714" s="124" t="s">
        <v>3188</v>
      </c>
      <c r="G714" s="251" t="s">
        <v>2201</v>
      </c>
      <c r="H714" s="34" t="s">
        <v>43</v>
      </c>
      <c r="I714" s="126" t="s">
        <v>807</v>
      </c>
      <c r="J714" s="47" t="s">
        <v>180</v>
      </c>
      <c r="K714" s="126">
        <v>509.29</v>
      </c>
      <c r="L714" s="126">
        <v>14343</v>
      </c>
      <c r="M714" s="104" t="s">
        <v>808</v>
      </c>
      <c r="N714" s="265">
        <v>42906</v>
      </c>
      <c r="O714" s="260">
        <v>42919</v>
      </c>
      <c r="P714" s="106" t="s">
        <v>183</v>
      </c>
      <c r="Q714" s="107" t="s">
        <v>2307</v>
      </c>
      <c r="R714" s="244" t="s">
        <v>2308</v>
      </c>
      <c r="S714" s="37">
        <v>0</v>
      </c>
      <c r="T714" s="36" t="str">
        <f t="shared" ca="1" si="59"/>
        <v>Empty</v>
      </c>
      <c r="U714" s="37" t="s">
        <v>2289</v>
      </c>
      <c r="V714" s="37"/>
      <c r="W714" s="38">
        <v>42919</v>
      </c>
      <c r="X714" s="39" t="s">
        <v>2317</v>
      </c>
      <c r="Y714" s="116" t="s">
        <v>2310</v>
      </c>
      <c r="Z714" s="40" t="s">
        <v>49</v>
      </c>
      <c r="AA714" s="136">
        <f t="shared" ca="1" si="60"/>
        <v>451</v>
      </c>
      <c r="AB714" s="40"/>
      <c r="AC714" s="116"/>
      <c r="AD714" s="116"/>
      <c r="AE714" s="40"/>
      <c r="AF714" s="136" t="str">
        <f t="shared" ca="1" si="61"/>
        <v/>
      </c>
      <c r="AG714" s="127"/>
      <c r="AH714" s="127"/>
      <c r="AI714" s="127"/>
      <c r="AJ714" s="128"/>
      <c r="AK714" s="128"/>
      <c r="AL714" s="129"/>
    </row>
    <row r="715" spans="1:38" ht="26.25" customHeight="1" x14ac:dyDescent="0.25">
      <c r="A715" s="343" t="str">
        <f t="shared" si="64"/>
        <v>17REF105</v>
      </c>
      <c r="B715" s="342">
        <v>105</v>
      </c>
      <c r="C715" s="343" t="s">
        <v>39</v>
      </c>
      <c r="D715" s="344" t="s">
        <v>744</v>
      </c>
      <c r="E715" s="124" t="s">
        <v>41</v>
      </c>
      <c r="F715" s="124" t="s">
        <v>3188</v>
      </c>
      <c r="G715" s="251" t="s">
        <v>2201</v>
      </c>
      <c r="H715" s="34" t="s">
        <v>43</v>
      </c>
      <c r="I715" s="126" t="s">
        <v>807</v>
      </c>
      <c r="J715" s="47" t="s">
        <v>180</v>
      </c>
      <c r="K715" s="126">
        <v>509.29</v>
      </c>
      <c r="L715" s="126">
        <v>14343</v>
      </c>
      <c r="M715" s="104" t="s">
        <v>808</v>
      </c>
      <c r="N715" s="265">
        <v>42906</v>
      </c>
      <c r="O715" s="260">
        <v>42949</v>
      </c>
      <c r="P715" s="106" t="s">
        <v>183</v>
      </c>
      <c r="Q715" s="107" t="s">
        <v>2307</v>
      </c>
      <c r="R715" s="267">
        <v>0.95599999999999996</v>
      </c>
      <c r="S715" s="37">
        <v>0</v>
      </c>
      <c r="T715" s="36" t="str">
        <f t="shared" ca="1" si="59"/>
        <v>Empty</v>
      </c>
      <c r="U715" s="37" t="s">
        <v>2337</v>
      </c>
      <c r="V715" s="37"/>
      <c r="W715" s="38">
        <v>42949</v>
      </c>
      <c r="X715" s="39" t="s">
        <v>722</v>
      </c>
      <c r="Y715" s="116" t="s">
        <v>2395</v>
      </c>
      <c r="Z715" s="40" t="s">
        <v>49</v>
      </c>
      <c r="AA715" s="136">
        <f t="shared" ca="1" si="60"/>
        <v>422</v>
      </c>
      <c r="AB715" s="40"/>
      <c r="AC715" s="116"/>
      <c r="AD715" s="116"/>
      <c r="AE715" s="40"/>
      <c r="AF715" s="136" t="str">
        <f t="shared" ca="1" si="61"/>
        <v/>
      </c>
      <c r="AG715" s="127"/>
      <c r="AH715" s="127"/>
      <c r="AI715" s="127"/>
      <c r="AJ715" s="128"/>
      <c r="AK715" s="128"/>
      <c r="AL715" s="129"/>
    </row>
    <row r="716" spans="1:38" ht="23.25" x14ac:dyDescent="0.25">
      <c r="A716" s="299" t="str">
        <f t="shared" si="64"/>
        <v>17SAM106</v>
      </c>
      <c r="B716" s="298">
        <v>106</v>
      </c>
      <c r="C716" s="299" t="s">
        <v>57</v>
      </c>
      <c r="D716" s="300" t="s">
        <v>40</v>
      </c>
      <c r="E716" s="124" t="s">
        <v>1730</v>
      </c>
      <c r="F716" s="124" t="s">
        <v>2092</v>
      </c>
      <c r="G716" s="251"/>
      <c r="H716" s="34" t="s">
        <v>60</v>
      </c>
      <c r="I716" s="126" t="s">
        <v>2314</v>
      </c>
      <c r="J716" s="47" t="s">
        <v>105</v>
      </c>
      <c r="K716" s="126" t="s">
        <v>60</v>
      </c>
      <c r="L716" s="132" t="s">
        <v>61</v>
      </c>
      <c r="M716" s="105" t="s">
        <v>2094</v>
      </c>
      <c r="N716" s="265">
        <v>42908</v>
      </c>
      <c r="O716" s="260">
        <v>42921</v>
      </c>
      <c r="P716" s="106" t="s">
        <v>1141</v>
      </c>
      <c r="Q716" s="107" t="s">
        <v>2315</v>
      </c>
      <c r="R716" s="244"/>
      <c r="S716" s="37">
        <v>0</v>
      </c>
      <c r="T716" s="36" t="str">
        <f t="shared" ca="1" si="59"/>
        <v>Empty</v>
      </c>
      <c r="U716" s="37" t="s">
        <v>2338</v>
      </c>
      <c r="V716" s="37"/>
      <c r="W716" s="38"/>
      <c r="X716" s="39"/>
      <c r="Y716" s="116"/>
      <c r="Z716" s="40"/>
      <c r="AA716" s="136" t="str">
        <f t="shared" ca="1" si="60"/>
        <v/>
      </c>
      <c r="AB716" s="40"/>
      <c r="AC716" s="116"/>
      <c r="AD716" s="116"/>
      <c r="AE716" s="40"/>
      <c r="AF716" s="136" t="str">
        <f t="shared" ca="1" si="61"/>
        <v/>
      </c>
      <c r="AG716" s="127"/>
      <c r="AH716" s="127"/>
      <c r="AI716" s="127"/>
      <c r="AJ716" s="128"/>
      <c r="AK716" s="128"/>
      <c r="AL716" s="129"/>
    </row>
    <row r="717" spans="1:38" ht="23.25" x14ac:dyDescent="0.25">
      <c r="A717" s="299" t="str">
        <f t="shared" si="64"/>
        <v>17SAM107</v>
      </c>
      <c r="B717" s="298">
        <v>107</v>
      </c>
      <c r="C717" s="299" t="s">
        <v>57</v>
      </c>
      <c r="D717" s="300" t="s">
        <v>40</v>
      </c>
      <c r="E717" s="124" t="s">
        <v>1730</v>
      </c>
      <c r="F717" s="124" t="s">
        <v>2092</v>
      </c>
      <c r="G717" s="251"/>
      <c r="H717" s="34" t="s">
        <v>60</v>
      </c>
      <c r="I717" s="126" t="s">
        <v>2314</v>
      </c>
      <c r="J717" s="47" t="s">
        <v>105</v>
      </c>
      <c r="K717" s="126" t="s">
        <v>60</v>
      </c>
      <c r="L717" s="132" t="s">
        <v>61</v>
      </c>
      <c r="M717" s="105" t="s">
        <v>2094</v>
      </c>
      <c r="N717" s="265">
        <v>42908</v>
      </c>
      <c r="O717" s="260"/>
      <c r="P717" s="106" t="s">
        <v>1141</v>
      </c>
      <c r="Q717" s="107" t="s">
        <v>2315</v>
      </c>
      <c r="R717" s="244"/>
      <c r="S717" s="37">
        <v>0</v>
      </c>
      <c r="T717" s="36" t="str">
        <f t="shared" ca="1" si="59"/>
        <v>Empty</v>
      </c>
      <c r="U717" s="37" t="s">
        <v>2338</v>
      </c>
      <c r="V717" s="37" t="s">
        <v>2316</v>
      </c>
      <c r="W717" s="38"/>
      <c r="X717" s="39"/>
      <c r="Y717" s="116"/>
      <c r="Z717" s="40"/>
      <c r="AA717" s="136" t="str">
        <f t="shared" ca="1" si="60"/>
        <v/>
      </c>
      <c r="AB717" s="40"/>
      <c r="AC717" s="116"/>
      <c r="AD717" s="116"/>
      <c r="AE717" s="40"/>
      <c r="AF717" s="136" t="str">
        <f t="shared" ca="1" si="61"/>
        <v/>
      </c>
      <c r="AG717" s="127"/>
      <c r="AH717" s="127"/>
      <c r="AI717" s="127"/>
      <c r="AJ717" s="128"/>
      <c r="AK717" s="128"/>
      <c r="AL717" s="129"/>
    </row>
    <row r="718" spans="1:38" ht="23.25" x14ac:dyDescent="0.25">
      <c r="A718" s="299" t="str">
        <f t="shared" si="64"/>
        <v>17SAM108</v>
      </c>
      <c r="B718" s="298">
        <v>108</v>
      </c>
      <c r="C718" s="299" t="s">
        <v>57</v>
      </c>
      <c r="D718" s="300" t="s">
        <v>40</v>
      </c>
      <c r="E718" s="124" t="s">
        <v>1730</v>
      </c>
      <c r="F718" s="124" t="s">
        <v>2092</v>
      </c>
      <c r="G718" s="251"/>
      <c r="H718" s="34" t="s">
        <v>60</v>
      </c>
      <c r="I718" s="126" t="s">
        <v>2314</v>
      </c>
      <c r="J718" s="47" t="s">
        <v>105</v>
      </c>
      <c r="K718" s="126" t="s">
        <v>60</v>
      </c>
      <c r="L718" s="132" t="s">
        <v>61</v>
      </c>
      <c r="M718" s="105" t="s">
        <v>2094</v>
      </c>
      <c r="N718" s="265">
        <v>42908</v>
      </c>
      <c r="O718" s="260"/>
      <c r="P718" s="106" t="s">
        <v>1141</v>
      </c>
      <c r="Q718" s="107" t="s">
        <v>2315</v>
      </c>
      <c r="R718" s="244"/>
      <c r="S718" s="37"/>
      <c r="T718" s="36" t="str">
        <f t="shared" ca="1" si="59"/>
        <v/>
      </c>
      <c r="U718" s="37"/>
      <c r="V718" s="37"/>
      <c r="W718" s="38"/>
      <c r="X718" s="39"/>
      <c r="Y718" s="116"/>
      <c r="Z718" s="40"/>
      <c r="AA718" s="136" t="str">
        <f t="shared" ca="1" si="60"/>
        <v/>
      </c>
      <c r="AB718" s="40"/>
      <c r="AC718" s="116"/>
      <c r="AD718" s="116"/>
      <c r="AE718" s="40"/>
      <c r="AF718" s="136" t="str">
        <f t="shared" ca="1" si="61"/>
        <v/>
      </c>
      <c r="AG718" s="127"/>
      <c r="AH718" s="127"/>
      <c r="AI718" s="127"/>
      <c r="AJ718" s="128"/>
      <c r="AK718" s="128"/>
      <c r="AL718" s="129"/>
    </row>
    <row r="719" spans="1:38" ht="23.25" x14ac:dyDescent="0.25">
      <c r="A719" s="299" t="str">
        <f t="shared" si="64"/>
        <v>17SAM109</v>
      </c>
      <c r="B719" s="298">
        <v>109</v>
      </c>
      <c r="C719" s="299" t="s">
        <v>57</v>
      </c>
      <c r="D719" s="300" t="s">
        <v>40</v>
      </c>
      <c r="E719" s="124" t="s">
        <v>1730</v>
      </c>
      <c r="F719" s="124" t="s">
        <v>2092</v>
      </c>
      <c r="G719" s="251"/>
      <c r="H719" s="34" t="s">
        <v>60</v>
      </c>
      <c r="I719" s="126" t="s">
        <v>2314</v>
      </c>
      <c r="J719" s="47" t="s">
        <v>105</v>
      </c>
      <c r="K719" s="126" t="s">
        <v>60</v>
      </c>
      <c r="L719" s="132" t="s">
        <v>61</v>
      </c>
      <c r="M719" s="105" t="s">
        <v>2094</v>
      </c>
      <c r="N719" s="265">
        <v>42908</v>
      </c>
      <c r="O719" s="260"/>
      <c r="P719" s="106" t="s">
        <v>1141</v>
      </c>
      <c r="Q719" s="107" t="s">
        <v>2315</v>
      </c>
      <c r="R719" s="244"/>
      <c r="S719" s="37"/>
      <c r="T719" s="36" t="str">
        <f t="shared" ca="1" si="59"/>
        <v/>
      </c>
      <c r="U719" s="37"/>
      <c r="V719" s="37"/>
      <c r="W719" s="38"/>
      <c r="X719" s="39"/>
      <c r="Y719" s="116"/>
      <c r="Z719" s="40"/>
      <c r="AA719" s="136" t="str">
        <f t="shared" ca="1" si="60"/>
        <v/>
      </c>
      <c r="AB719" s="40"/>
      <c r="AC719" s="116"/>
      <c r="AD719" s="116"/>
      <c r="AE719" s="40"/>
      <c r="AF719" s="136" t="str">
        <f t="shared" ca="1" si="61"/>
        <v/>
      </c>
      <c r="AG719" s="127"/>
      <c r="AH719" s="127"/>
      <c r="AI719" s="127"/>
      <c r="AJ719" s="128"/>
      <c r="AK719" s="128"/>
      <c r="AL719" s="129"/>
    </row>
    <row r="720" spans="1:38" ht="23.25" x14ac:dyDescent="0.25">
      <c r="A720" s="299" t="str">
        <f t="shared" si="64"/>
        <v>17SAM110</v>
      </c>
      <c r="B720" s="298">
        <v>110</v>
      </c>
      <c r="C720" s="299" t="s">
        <v>57</v>
      </c>
      <c r="D720" s="300" t="s">
        <v>40</v>
      </c>
      <c r="E720" s="124" t="s">
        <v>1730</v>
      </c>
      <c r="F720" s="124" t="s">
        <v>2092</v>
      </c>
      <c r="G720" s="251"/>
      <c r="H720" s="34" t="s">
        <v>60</v>
      </c>
      <c r="I720" s="126" t="s">
        <v>2314</v>
      </c>
      <c r="J720" s="47" t="s">
        <v>105</v>
      </c>
      <c r="K720" s="126" t="s">
        <v>60</v>
      </c>
      <c r="L720" s="132" t="s">
        <v>61</v>
      </c>
      <c r="M720" s="105" t="s">
        <v>2094</v>
      </c>
      <c r="N720" s="265">
        <v>42908</v>
      </c>
      <c r="O720" s="260"/>
      <c r="P720" s="106" t="s">
        <v>1141</v>
      </c>
      <c r="Q720" s="107" t="s">
        <v>2315</v>
      </c>
      <c r="R720" s="244"/>
      <c r="S720" s="37"/>
      <c r="T720" s="36" t="str">
        <f t="shared" ca="1" si="59"/>
        <v/>
      </c>
      <c r="U720" s="37"/>
      <c r="V720" s="37"/>
      <c r="W720" s="38"/>
      <c r="X720" s="39"/>
      <c r="Y720" s="116"/>
      <c r="Z720" s="40"/>
      <c r="AA720" s="136" t="str">
        <f t="shared" ca="1" si="60"/>
        <v/>
      </c>
      <c r="AB720" s="40"/>
      <c r="AC720" s="116"/>
      <c r="AD720" s="116"/>
      <c r="AE720" s="40"/>
      <c r="AF720" s="136" t="str">
        <f t="shared" ca="1" si="61"/>
        <v/>
      </c>
      <c r="AG720" s="127"/>
      <c r="AH720" s="127"/>
      <c r="AI720" s="127"/>
      <c r="AJ720" s="128"/>
      <c r="AK720" s="128"/>
      <c r="AL720" s="129"/>
    </row>
    <row r="721" spans="1:38" ht="23.25" x14ac:dyDescent="0.25">
      <c r="A721" s="299" t="str">
        <f t="shared" si="64"/>
        <v>17SAM111</v>
      </c>
      <c r="B721" s="298">
        <v>111</v>
      </c>
      <c r="C721" s="299" t="s">
        <v>57</v>
      </c>
      <c r="D721" s="300" t="s">
        <v>40</v>
      </c>
      <c r="E721" s="124" t="s">
        <v>1730</v>
      </c>
      <c r="F721" s="124" t="s">
        <v>2312</v>
      </c>
      <c r="G721" s="251"/>
      <c r="H721" s="34" t="s">
        <v>60</v>
      </c>
      <c r="I721" s="126"/>
      <c r="J721" s="47" t="s">
        <v>45</v>
      </c>
      <c r="K721" s="126">
        <v>293.41000000000003</v>
      </c>
      <c r="L721" s="132" t="s">
        <v>61</v>
      </c>
      <c r="M721" s="105" t="s">
        <v>61</v>
      </c>
      <c r="N721" s="265">
        <v>42908</v>
      </c>
      <c r="O721" s="260">
        <v>42921</v>
      </c>
      <c r="P721" s="106" t="s">
        <v>280</v>
      </c>
      <c r="Q721" s="107" t="s">
        <v>212</v>
      </c>
      <c r="R721" s="244" t="s">
        <v>60</v>
      </c>
      <c r="S721" s="37">
        <f>30-11-9.07</f>
        <v>9.93</v>
      </c>
      <c r="T721" s="36">
        <f t="shared" ca="1" si="59"/>
        <v>449</v>
      </c>
      <c r="U721" s="37" t="s">
        <v>2338</v>
      </c>
      <c r="V721" s="37"/>
      <c r="W721" s="38"/>
      <c r="X721" s="39"/>
      <c r="Y721" s="116"/>
      <c r="Z721" s="40"/>
      <c r="AA721" s="136" t="str">
        <f t="shared" ca="1" si="60"/>
        <v/>
      </c>
      <c r="AB721" s="40"/>
      <c r="AC721" s="116"/>
      <c r="AD721" s="116"/>
      <c r="AE721" s="40"/>
      <c r="AF721" s="136" t="str">
        <f t="shared" ca="1" si="61"/>
        <v/>
      </c>
      <c r="AG721" s="127"/>
      <c r="AH721" s="127"/>
      <c r="AI721" s="127"/>
      <c r="AJ721" s="128"/>
      <c r="AK721" s="128"/>
      <c r="AL721" s="129"/>
    </row>
    <row r="722" spans="1:38" ht="23.25" x14ac:dyDescent="0.25">
      <c r="A722" s="299" t="str">
        <f t="shared" si="64"/>
        <v>17SAM112</v>
      </c>
      <c r="B722" s="298">
        <v>112</v>
      </c>
      <c r="C722" s="299" t="s">
        <v>57</v>
      </c>
      <c r="D722" s="300" t="s">
        <v>40</v>
      </c>
      <c r="E722" s="124" t="s">
        <v>1730</v>
      </c>
      <c r="F722" s="124" t="s">
        <v>2313</v>
      </c>
      <c r="G722" s="251"/>
      <c r="H722" s="34" t="s">
        <v>60</v>
      </c>
      <c r="I722" s="126"/>
      <c r="J722" s="47" t="s">
        <v>105</v>
      </c>
      <c r="K722" s="126">
        <v>457.5</v>
      </c>
      <c r="L722" s="132" t="s">
        <v>61</v>
      </c>
      <c r="M722" s="105" t="s">
        <v>61</v>
      </c>
      <c r="N722" s="265">
        <v>42908</v>
      </c>
      <c r="O722" s="260">
        <v>42921</v>
      </c>
      <c r="P722" s="106" t="s">
        <v>1577</v>
      </c>
      <c r="Q722" s="107" t="s">
        <v>212</v>
      </c>
      <c r="R722" s="244" t="s">
        <v>60</v>
      </c>
      <c r="S722" s="37">
        <f>46-16.5-7.25</f>
        <v>22.25</v>
      </c>
      <c r="T722" s="36">
        <f t="shared" ca="1" si="59"/>
        <v>449</v>
      </c>
      <c r="U722" s="37" t="s">
        <v>2338</v>
      </c>
      <c r="V722" s="37"/>
      <c r="W722" s="38">
        <v>42935</v>
      </c>
      <c r="X722" s="39" t="s">
        <v>1738</v>
      </c>
      <c r="Y722" s="116" t="s">
        <v>2376</v>
      </c>
      <c r="Z722" s="40" t="s">
        <v>212</v>
      </c>
      <c r="AA722" s="136">
        <f t="shared" ca="1" si="60"/>
        <v>435</v>
      </c>
      <c r="AB722" s="40"/>
      <c r="AC722" s="116"/>
      <c r="AD722" s="116"/>
      <c r="AE722" s="40"/>
      <c r="AF722" s="136" t="str">
        <f t="shared" ca="1" si="61"/>
        <v/>
      </c>
      <c r="AG722" s="127"/>
      <c r="AH722" s="127"/>
      <c r="AI722" s="127"/>
      <c r="AJ722" s="128"/>
      <c r="AK722" s="128"/>
      <c r="AL722" s="129"/>
    </row>
    <row r="723" spans="1:38" ht="23.25" x14ac:dyDescent="0.25">
      <c r="A723" s="299" t="str">
        <f t="shared" si="64"/>
        <v>17SAM113</v>
      </c>
      <c r="B723" s="298">
        <v>113</v>
      </c>
      <c r="C723" s="299" t="s">
        <v>57</v>
      </c>
      <c r="D723" s="300" t="s">
        <v>170</v>
      </c>
      <c r="E723" s="124" t="s">
        <v>416</v>
      </c>
      <c r="F723" s="124" t="s">
        <v>2318</v>
      </c>
      <c r="G723" s="251"/>
      <c r="H723" s="34" t="s">
        <v>60</v>
      </c>
      <c r="I723" s="126"/>
      <c r="J723" s="34" t="s">
        <v>180</v>
      </c>
      <c r="K723" s="126">
        <v>457.471</v>
      </c>
      <c r="L723" s="132" t="s">
        <v>61</v>
      </c>
      <c r="M723" s="105" t="s">
        <v>61</v>
      </c>
      <c r="N723" s="265">
        <v>42913</v>
      </c>
      <c r="O723" s="260">
        <v>42948</v>
      </c>
      <c r="P723" s="106" t="s">
        <v>124</v>
      </c>
      <c r="Q723" s="297" t="s">
        <v>212</v>
      </c>
      <c r="R723" s="244" t="s">
        <v>60</v>
      </c>
      <c r="S723" s="37">
        <f>100-33</f>
        <v>67</v>
      </c>
      <c r="T723" s="36">
        <f t="shared" ca="1" si="59"/>
        <v>423</v>
      </c>
      <c r="U723" s="37" t="s">
        <v>2319</v>
      </c>
      <c r="V723" s="37"/>
      <c r="W723" s="38">
        <v>42948</v>
      </c>
      <c r="X723" s="39" t="s">
        <v>248</v>
      </c>
      <c r="Y723" s="116" t="s">
        <v>2396</v>
      </c>
      <c r="Z723" s="40" t="s">
        <v>212</v>
      </c>
      <c r="AA723" s="136">
        <f t="shared" ca="1" si="60"/>
        <v>423</v>
      </c>
      <c r="AB723" s="40"/>
      <c r="AC723" s="116"/>
      <c r="AD723" s="116"/>
      <c r="AE723" s="40"/>
      <c r="AF723" s="136" t="str">
        <f t="shared" ca="1" si="61"/>
        <v/>
      </c>
      <c r="AG723" s="127"/>
      <c r="AH723" s="127"/>
      <c r="AI723" s="127"/>
      <c r="AJ723" s="128"/>
      <c r="AK723" s="128"/>
      <c r="AL723" s="129"/>
    </row>
    <row r="724" spans="1:38" ht="23.25" x14ac:dyDescent="0.25">
      <c r="A724" s="299" t="str">
        <f t="shared" si="64"/>
        <v>17SAM114</v>
      </c>
      <c r="B724" s="298">
        <v>114</v>
      </c>
      <c r="C724" s="299" t="s">
        <v>57</v>
      </c>
      <c r="D724" s="300" t="s">
        <v>170</v>
      </c>
      <c r="E724" s="124" t="s">
        <v>416</v>
      </c>
      <c r="F724" s="124" t="s">
        <v>2403</v>
      </c>
      <c r="G724" s="251" t="s">
        <v>2326</v>
      </c>
      <c r="H724" s="34" t="s">
        <v>112</v>
      </c>
      <c r="I724" s="126" t="s">
        <v>2320</v>
      </c>
      <c r="J724" s="47" t="s">
        <v>45</v>
      </c>
      <c r="K724" s="126">
        <v>438.71</v>
      </c>
      <c r="L724" s="126">
        <v>1248</v>
      </c>
      <c r="M724" s="126" t="s">
        <v>2323</v>
      </c>
      <c r="N724" s="265">
        <v>42914</v>
      </c>
      <c r="O724" s="260">
        <v>42921</v>
      </c>
      <c r="P724" s="106" t="s">
        <v>86</v>
      </c>
      <c r="Q724" s="107" t="s">
        <v>504</v>
      </c>
      <c r="R724" s="267">
        <v>0.999</v>
      </c>
      <c r="S724" s="37">
        <v>0</v>
      </c>
      <c r="T724" s="36" t="str">
        <f t="shared" ca="1" si="59"/>
        <v>Empty</v>
      </c>
      <c r="U724" s="37" t="s">
        <v>2319</v>
      </c>
      <c r="V724" s="37"/>
      <c r="W724" s="38">
        <v>42921</v>
      </c>
      <c r="X724" s="39" t="s">
        <v>50</v>
      </c>
      <c r="Y724" s="116" t="s">
        <v>2373</v>
      </c>
      <c r="Z724" s="40" t="s">
        <v>212</v>
      </c>
      <c r="AA724" s="136">
        <f t="shared" ca="1" si="60"/>
        <v>449</v>
      </c>
      <c r="AB724" s="271">
        <v>42923</v>
      </c>
      <c r="AC724" s="116"/>
      <c r="AD724" s="116" t="s">
        <v>2374</v>
      </c>
      <c r="AE724" s="40" t="s">
        <v>212</v>
      </c>
      <c r="AF724" s="136">
        <f t="shared" ca="1" si="61"/>
        <v>447</v>
      </c>
      <c r="AG724" s="127"/>
      <c r="AH724" s="127"/>
      <c r="AI724" s="127"/>
      <c r="AJ724" s="128"/>
      <c r="AK724" s="128"/>
      <c r="AL724" s="129"/>
    </row>
    <row r="725" spans="1:38" ht="23.25" x14ac:dyDescent="0.25">
      <c r="A725" s="299" t="str">
        <f t="shared" si="64"/>
        <v>17SAM115</v>
      </c>
      <c r="B725" s="298">
        <v>115</v>
      </c>
      <c r="C725" s="299" t="s">
        <v>57</v>
      </c>
      <c r="D725" s="300" t="s">
        <v>170</v>
      </c>
      <c r="E725" s="124" t="s">
        <v>416</v>
      </c>
      <c r="F725" s="124" t="s">
        <v>1541</v>
      </c>
      <c r="G725" s="251" t="s">
        <v>802</v>
      </c>
      <c r="H725" s="34" t="s">
        <v>112</v>
      </c>
      <c r="I725" s="126" t="s">
        <v>2321</v>
      </c>
      <c r="J725" s="47" t="s">
        <v>45</v>
      </c>
      <c r="K725" s="126">
        <v>316.64999999999998</v>
      </c>
      <c r="L725" s="126">
        <v>1045</v>
      </c>
      <c r="M725" s="126" t="s">
        <v>805</v>
      </c>
      <c r="N725" s="265">
        <v>42914</v>
      </c>
      <c r="O725" s="260">
        <v>42923</v>
      </c>
      <c r="P725" s="106" t="s">
        <v>183</v>
      </c>
      <c r="Q725" s="107" t="s">
        <v>2325</v>
      </c>
      <c r="R725" s="267">
        <v>0.99199999999999999</v>
      </c>
      <c r="S725" s="37">
        <v>0</v>
      </c>
      <c r="T725" s="36" t="str">
        <f t="shared" ca="1" si="59"/>
        <v>Empty</v>
      </c>
      <c r="U725" s="37" t="s">
        <v>2319</v>
      </c>
      <c r="V725" s="37"/>
      <c r="W725" s="38">
        <v>42923</v>
      </c>
      <c r="X725" s="39" t="s">
        <v>1253</v>
      </c>
      <c r="Y725" s="39" t="s">
        <v>1270</v>
      </c>
      <c r="Z725" s="40" t="s">
        <v>49</v>
      </c>
      <c r="AA725" s="136">
        <f t="shared" ca="1" si="60"/>
        <v>447</v>
      </c>
      <c r="AB725" s="40"/>
      <c r="AC725" s="116"/>
      <c r="AD725" s="116"/>
      <c r="AE725" s="40"/>
      <c r="AF725" s="136" t="str">
        <f t="shared" ca="1" si="61"/>
        <v/>
      </c>
      <c r="AG725" s="127"/>
      <c r="AH725" s="127"/>
      <c r="AI725" s="127"/>
      <c r="AJ725" s="128"/>
      <c r="AK725" s="128"/>
      <c r="AL725" s="129"/>
    </row>
    <row r="726" spans="1:38" ht="23.25" x14ac:dyDescent="0.25">
      <c r="A726" s="299" t="str">
        <f t="shared" si="64"/>
        <v>17SAM116</v>
      </c>
      <c r="B726" s="298">
        <v>116</v>
      </c>
      <c r="C726" s="299" t="s">
        <v>57</v>
      </c>
      <c r="D726" s="300" t="s">
        <v>170</v>
      </c>
      <c r="E726" s="124" t="s">
        <v>416</v>
      </c>
      <c r="F726" s="124" t="s">
        <v>2043</v>
      </c>
      <c r="G726" s="251"/>
      <c r="H726" s="34" t="s">
        <v>112</v>
      </c>
      <c r="I726" s="126" t="s">
        <v>2322</v>
      </c>
      <c r="J726" s="47" t="s">
        <v>45</v>
      </c>
      <c r="K726" s="126">
        <v>201.12</v>
      </c>
      <c r="L726" s="132" t="s">
        <v>2324</v>
      </c>
      <c r="M726" s="126" t="s">
        <v>2047</v>
      </c>
      <c r="N726" s="265">
        <v>42914</v>
      </c>
      <c r="O726" s="260">
        <v>42923</v>
      </c>
      <c r="P726" s="106" t="s">
        <v>86</v>
      </c>
      <c r="Q726" s="107" t="s">
        <v>2327</v>
      </c>
      <c r="R726" s="267">
        <v>0.99399999999999999</v>
      </c>
      <c r="S726" s="37">
        <v>0</v>
      </c>
      <c r="T726" s="36" t="str">
        <f ca="1">IF(S726="","",IF(S726=0,"Empty",IF(#REF!="","",IF(#REF!,DAYS360(#REF!,TODAY())))))</f>
        <v>Empty</v>
      </c>
      <c r="U726" s="37" t="s">
        <v>2319</v>
      </c>
      <c r="V726" s="37"/>
      <c r="W726" s="38">
        <v>42923</v>
      </c>
      <c r="X726" s="39" t="s">
        <v>2258</v>
      </c>
      <c r="Y726" s="116" t="s">
        <v>1439</v>
      </c>
      <c r="Z726" s="40" t="s">
        <v>1947</v>
      </c>
      <c r="AA726" s="136">
        <f t="shared" ca="1" si="60"/>
        <v>447</v>
      </c>
      <c r="AB726" s="40"/>
      <c r="AC726" s="116"/>
      <c r="AD726" s="116"/>
      <c r="AE726" s="40"/>
      <c r="AF726" s="136" t="str">
        <f t="shared" ca="1" si="61"/>
        <v/>
      </c>
      <c r="AG726" s="127"/>
      <c r="AH726" s="127"/>
      <c r="AI726" s="127"/>
      <c r="AJ726" s="128"/>
      <c r="AK726" s="128"/>
      <c r="AL726" s="129"/>
    </row>
    <row r="727" spans="1:38" ht="23.25" x14ac:dyDescent="0.25">
      <c r="A727" s="343" t="str">
        <f t="shared" si="64"/>
        <v>17REF117</v>
      </c>
      <c r="B727" s="342">
        <v>117</v>
      </c>
      <c r="C727" s="343" t="s">
        <v>39</v>
      </c>
      <c r="D727" s="344" t="s">
        <v>170</v>
      </c>
      <c r="E727" s="124" t="s">
        <v>41</v>
      </c>
      <c r="F727" s="124" t="s">
        <v>2741</v>
      </c>
      <c r="G727" s="251"/>
      <c r="H727" s="34" t="s">
        <v>43</v>
      </c>
      <c r="I727" s="126" t="s">
        <v>2328</v>
      </c>
      <c r="J727" s="47" t="s">
        <v>45</v>
      </c>
      <c r="K727" s="126">
        <v>195.21</v>
      </c>
      <c r="L727" s="126" t="s">
        <v>2329</v>
      </c>
      <c r="M727" s="104" t="s">
        <v>2330</v>
      </c>
      <c r="N727" s="265">
        <v>42919</v>
      </c>
      <c r="O727" s="262" t="s">
        <v>168</v>
      </c>
      <c r="P727" s="106" t="s">
        <v>271</v>
      </c>
      <c r="Q727" s="107"/>
      <c r="R727" s="244"/>
      <c r="S727" s="37">
        <v>0</v>
      </c>
      <c r="T727" s="36" t="str">
        <f ca="1">IF(S727="","",IF(S727=0,"Empty",IF(O726="","",IF(O726,DAYS360(O726,TODAY())))))</f>
        <v>Empty</v>
      </c>
      <c r="U727" s="37"/>
      <c r="V727" s="37"/>
      <c r="W727" s="38"/>
      <c r="X727" s="39"/>
      <c r="Y727" s="116"/>
      <c r="Z727" s="40"/>
      <c r="AA727" s="136" t="str">
        <f t="shared" ca="1" si="60"/>
        <v/>
      </c>
      <c r="AB727" s="40"/>
      <c r="AC727" s="116"/>
      <c r="AD727" s="116"/>
      <c r="AE727" s="40"/>
      <c r="AF727" s="136" t="str">
        <f t="shared" ca="1" si="61"/>
        <v/>
      </c>
      <c r="AG727" s="127"/>
      <c r="AH727" s="127"/>
      <c r="AI727" s="127"/>
      <c r="AJ727" s="128"/>
      <c r="AK727" s="128"/>
      <c r="AL727" s="129"/>
    </row>
    <row r="728" spans="1:38" ht="26.25" customHeight="1" x14ac:dyDescent="0.25">
      <c r="A728" s="343" t="str">
        <f t="shared" si="64"/>
        <v>17REF118</v>
      </c>
      <c r="B728" s="342">
        <v>118</v>
      </c>
      <c r="C728" s="343" t="s">
        <v>39</v>
      </c>
      <c r="D728" s="344" t="s">
        <v>744</v>
      </c>
      <c r="E728" s="124" t="s">
        <v>41</v>
      </c>
      <c r="F728" s="124" t="s">
        <v>3188</v>
      </c>
      <c r="G728" s="251" t="s">
        <v>2201</v>
      </c>
      <c r="H728" s="34" t="s">
        <v>43</v>
      </c>
      <c r="I728" s="126" t="s">
        <v>807</v>
      </c>
      <c r="J728" s="47" t="s">
        <v>180</v>
      </c>
      <c r="K728" s="126">
        <v>509.29</v>
      </c>
      <c r="L728" s="126">
        <v>14343</v>
      </c>
      <c r="M728" s="104" t="s">
        <v>808</v>
      </c>
      <c r="N728" s="265">
        <v>42919</v>
      </c>
      <c r="O728" s="260">
        <v>42954</v>
      </c>
      <c r="P728" s="106" t="s">
        <v>183</v>
      </c>
      <c r="Q728" s="107" t="s">
        <v>2307</v>
      </c>
      <c r="R728" s="267">
        <v>0.95599999999999996</v>
      </c>
      <c r="S728" s="37">
        <v>0</v>
      </c>
      <c r="T728" s="36" t="str">
        <f t="shared" ca="1" si="59"/>
        <v>Empty</v>
      </c>
      <c r="U728" s="37" t="s">
        <v>2337</v>
      </c>
      <c r="V728" s="37"/>
      <c r="W728" s="38">
        <v>42954</v>
      </c>
      <c r="X728" s="39" t="s">
        <v>722</v>
      </c>
      <c r="Y728" s="116" t="s">
        <v>2430</v>
      </c>
      <c r="Z728" s="40" t="s">
        <v>49</v>
      </c>
      <c r="AA728" s="136">
        <f t="shared" ca="1" si="60"/>
        <v>417</v>
      </c>
      <c r="AB728" s="40"/>
      <c r="AC728" s="116"/>
      <c r="AD728" s="116"/>
      <c r="AE728" s="40"/>
      <c r="AF728" s="136" t="str">
        <f t="shared" ca="1" si="61"/>
        <v/>
      </c>
      <c r="AG728" s="127"/>
      <c r="AH728" s="127"/>
      <c r="AI728" s="127"/>
      <c r="AJ728" s="128"/>
      <c r="AK728" s="128"/>
      <c r="AL728" s="129"/>
    </row>
    <row r="729" spans="1:38" ht="33" customHeight="1" x14ac:dyDescent="0.25">
      <c r="A729" s="343" t="str">
        <f t="shared" si="64"/>
        <v>17REF119</v>
      </c>
      <c r="B729" s="342">
        <v>119</v>
      </c>
      <c r="C729" s="343" t="s">
        <v>39</v>
      </c>
      <c r="D729" s="344" t="s">
        <v>744</v>
      </c>
      <c r="E729" s="124" t="s">
        <v>41</v>
      </c>
      <c r="F729" s="124" t="s">
        <v>3188</v>
      </c>
      <c r="G729" s="251" t="s">
        <v>2201</v>
      </c>
      <c r="H729" s="34" t="s">
        <v>43</v>
      </c>
      <c r="I729" s="126" t="s">
        <v>2331</v>
      </c>
      <c r="J729" s="47" t="s">
        <v>180</v>
      </c>
      <c r="K729" s="126">
        <v>509.29</v>
      </c>
      <c r="L729" s="126">
        <v>14343</v>
      </c>
      <c r="M729" s="104" t="s">
        <v>808</v>
      </c>
      <c r="N729" s="265">
        <v>42919</v>
      </c>
      <c r="O729" s="260">
        <v>42965</v>
      </c>
      <c r="P729" s="106" t="s">
        <v>183</v>
      </c>
      <c r="Q729" s="107" t="s">
        <v>2307</v>
      </c>
      <c r="R729" s="267">
        <v>0.95599999999999996</v>
      </c>
      <c r="S729" s="37">
        <v>0</v>
      </c>
      <c r="T729" s="36" t="str">
        <f t="shared" ca="1" si="59"/>
        <v>Empty</v>
      </c>
      <c r="U729" s="37"/>
      <c r="V729" s="37"/>
      <c r="W729" s="38">
        <v>42965</v>
      </c>
      <c r="X729" s="39" t="s">
        <v>722</v>
      </c>
      <c r="Y729" s="116" t="s">
        <v>1217</v>
      </c>
      <c r="Z729" s="40" t="s">
        <v>49</v>
      </c>
      <c r="AA729" s="136">
        <f t="shared" ca="1" si="60"/>
        <v>406</v>
      </c>
      <c r="AB729" s="40"/>
      <c r="AC729" s="116"/>
      <c r="AD729" s="116"/>
      <c r="AE729" s="40"/>
      <c r="AF729" s="136" t="str">
        <f t="shared" ca="1" si="61"/>
        <v/>
      </c>
      <c r="AG729" s="127"/>
      <c r="AH729" s="127"/>
      <c r="AI729" s="127"/>
      <c r="AJ729" s="128"/>
      <c r="AK729" s="128"/>
      <c r="AL729" s="129"/>
    </row>
    <row r="730" spans="1:38" ht="23.25" x14ac:dyDescent="0.25">
      <c r="A730" s="299" t="str">
        <f t="shared" si="64"/>
        <v>17SAM120</v>
      </c>
      <c r="B730" s="298">
        <v>120</v>
      </c>
      <c r="C730" s="299" t="s">
        <v>57</v>
      </c>
      <c r="D730" s="300" t="s">
        <v>40</v>
      </c>
      <c r="E730" s="124" t="s">
        <v>2332</v>
      </c>
      <c r="F730" s="124" t="s">
        <v>2333</v>
      </c>
      <c r="G730" s="251"/>
      <c r="H730" s="34" t="s">
        <v>60</v>
      </c>
      <c r="I730" s="132" t="s">
        <v>61</v>
      </c>
      <c r="J730" s="47" t="s">
        <v>105</v>
      </c>
      <c r="K730" s="126" t="s">
        <v>60</v>
      </c>
      <c r="L730" s="132" t="s">
        <v>61</v>
      </c>
      <c r="M730" s="105" t="s">
        <v>61</v>
      </c>
      <c r="N730" s="265">
        <v>42919</v>
      </c>
      <c r="O730" s="260">
        <v>42961</v>
      </c>
      <c r="P730" s="106" t="s">
        <v>2336</v>
      </c>
      <c r="Q730" s="107" t="s">
        <v>2346</v>
      </c>
      <c r="R730" s="244" t="s">
        <v>60</v>
      </c>
      <c r="S730" s="37">
        <f>460-217.07</f>
        <v>242.93</v>
      </c>
      <c r="T730" s="36">
        <f t="shared" ca="1" si="59"/>
        <v>410</v>
      </c>
      <c r="U730" s="37" t="s">
        <v>2413</v>
      </c>
      <c r="V730" s="37"/>
      <c r="W730" s="38"/>
      <c r="X730" s="39"/>
      <c r="Y730" s="116"/>
      <c r="Z730" s="40"/>
      <c r="AA730" s="136" t="str">
        <f t="shared" ca="1" si="60"/>
        <v/>
      </c>
      <c r="AB730" s="40"/>
      <c r="AC730" s="116"/>
      <c r="AD730" s="116"/>
      <c r="AE730" s="40"/>
      <c r="AF730" s="136" t="str">
        <f t="shared" ca="1" si="61"/>
        <v/>
      </c>
      <c r="AG730" s="127"/>
      <c r="AH730" s="127"/>
      <c r="AI730" s="127"/>
      <c r="AJ730" s="128"/>
      <c r="AK730" s="128"/>
      <c r="AL730" s="129"/>
    </row>
    <row r="731" spans="1:38" ht="23.25" x14ac:dyDescent="0.25">
      <c r="A731" s="299" t="str">
        <f t="shared" si="64"/>
        <v>17SAM121</v>
      </c>
      <c r="B731" s="298">
        <v>121</v>
      </c>
      <c r="C731" s="299" t="s">
        <v>57</v>
      </c>
      <c r="D731" s="300" t="s">
        <v>40</v>
      </c>
      <c r="E731" s="124" t="s">
        <v>2332</v>
      </c>
      <c r="F731" s="124" t="s">
        <v>2334</v>
      </c>
      <c r="G731" s="251"/>
      <c r="H731" s="34" t="s">
        <v>60</v>
      </c>
      <c r="I731" s="126"/>
      <c r="J731" s="47" t="s">
        <v>180</v>
      </c>
      <c r="K731" s="126" t="s">
        <v>60</v>
      </c>
      <c r="L731" s="132" t="s">
        <v>61</v>
      </c>
      <c r="M731" s="105" t="s">
        <v>61</v>
      </c>
      <c r="N731" s="265">
        <v>42919</v>
      </c>
      <c r="O731" s="260">
        <v>42961</v>
      </c>
      <c r="P731" s="106" t="s">
        <v>2335</v>
      </c>
      <c r="Q731" s="107"/>
      <c r="R731" s="244" t="s">
        <v>60</v>
      </c>
      <c r="S731" s="37">
        <v>0</v>
      </c>
      <c r="T731" s="36" t="str">
        <f t="shared" ca="1" si="59"/>
        <v>Empty</v>
      </c>
      <c r="U731" s="37" t="s">
        <v>2413</v>
      </c>
      <c r="V731" s="37"/>
      <c r="W731" s="38"/>
      <c r="X731" s="39"/>
      <c r="Y731" s="116"/>
      <c r="Z731" s="40"/>
      <c r="AA731" s="136" t="str">
        <f t="shared" ca="1" si="60"/>
        <v/>
      </c>
      <c r="AB731" s="40"/>
      <c r="AC731" s="116"/>
      <c r="AD731" s="116"/>
      <c r="AE731" s="40"/>
      <c r="AF731" s="136" t="str">
        <f t="shared" ca="1" si="61"/>
        <v/>
      </c>
      <c r="AG731" s="127"/>
      <c r="AH731" s="127"/>
      <c r="AI731" s="127"/>
      <c r="AJ731" s="128"/>
      <c r="AK731" s="128"/>
      <c r="AL731" s="129"/>
    </row>
    <row r="732" spans="1:38" ht="23.25" x14ac:dyDescent="0.25">
      <c r="A732" s="299" t="str">
        <f t="shared" si="64"/>
        <v>17SAM122</v>
      </c>
      <c r="B732" s="298">
        <v>122</v>
      </c>
      <c r="C732" s="299" t="s">
        <v>57</v>
      </c>
      <c r="D732" s="300" t="s">
        <v>170</v>
      </c>
      <c r="E732" s="124" t="s">
        <v>416</v>
      </c>
      <c r="F732" s="124" t="s">
        <v>779</v>
      </c>
      <c r="G732" s="251" t="s">
        <v>1126</v>
      </c>
      <c r="H732" s="34" t="s">
        <v>112</v>
      </c>
      <c r="I732" s="126" t="s">
        <v>2339</v>
      </c>
      <c r="J732" s="47" t="s">
        <v>45</v>
      </c>
      <c r="K732" s="126">
        <v>197.13</v>
      </c>
      <c r="L732" s="126">
        <v>106</v>
      </c>
      <c r="M732" s="104" t="s">
        <v>782</v>
      </c>
      <c r="N732" s="265">
        <v>42920</v>
      </c>
      <c r="O732" s="260">
        <v>42923</v>
      </c>
      <c r="P732" s="106" t="s">
        <v>183</v>
      </c>
      <c r="Q732" s="107" t="s">
        <v>3009</v>
      </c>
      <c r="R732" s="244"/>
      <c r="S732" s="37">
        <v>0</v>
      </c>
      <c r="T732" s="36" t="str">
        <f t="shared" ca="1" si="59"/>
        <v>Empty</v>
      </c>
      <c r="U732" s="37" t="s">
        <v>2319</v>
      </c>
      <c r="V732" s="37"/>
      <c r="W732" s="38">
        <v>42923</v>
      </c>
      <c r="X732" s="39" t="s">
        <v>2347</v>
      </c>
      <c r="Y732" s="39" t="s">
        <v>2348</v>
      </c>
      <c r="Z732" s="40" t="s">
        <v>49</v>
      </c>
      <c r="AA732" s="136">
        <f t="shared" ca="1" si="60"/>
        <v>447</v>
      </c>
      <c r="AB732" s="40"/>
      <c r="AC732" s="116"/>
      <c r="AD732" s="116"/>
      <c r="AE732" s="40"/>
      <c r="AF732" s="136" t="str">
        <f t="shared" ca="1" si="61"/>
        <v/>
      </c>
      <c r="AG732" s="127"/>
      <c r="AH732" s="127"/>
      <c r="AI732" s="127"/>
      <c r="AJ732" s="128"/>
      <c r="AK732" s="128"/>
      <c r="AL732" s="129"/>
    </row>
    <row r="733" spans="1:38" ht="23.25" x14ac:dyDescent="0.25">
      <c r="A733" s="343" t="str">
        <f t="shared" si="64"/>
        <v>17REF123</v>
      </c>
      <c r="B733" s="342">
        <v>123</v>
      </c>
      <c r="C733" s="343" t="s">
        <v>39</v>
      </c>
      <c r="D733" s="344" t="s">
        <v>40</v>
      </c>
      <c r="E733" s="124" t="s">
        <v>41</v>
      </c>
      <c r="F733" s="33" t="s">
        <v>937</v>
      </c>
      <c r="G733" s="251"/>
      <c r="H733" s="34" t="s">
        <v>43</v>
      </c>
      <c r="I733" s="126" t="s">
        <v>2340</v>
      </c>
      <c r="J733" s="47" t="s">
        <v>105</v>
      </c>
      <c r="K733" s="126">
        <v>255.79</v>
      </c>
      <c r="L733" s="126" t="s">
        <v>939</v>
      </c>
      <c r="M733" s="104" t="s">
        <v>940</v>
      </c>
      <c r="N733" s="265">
        <v>42921</v>
      </c>
      <c r="O733" s="260">
        <v>42926</v>
      </c>
      <c r="P733" s="106" t="s">
        <v>86</v>
      </c>
      <c r="Q733" s="107" t="s">
        <v>2345</v>
      </c>
      <c r="R733" s="244"/>
      <c r="S733" s="37">
        <f>10-2.45-1.69</f>
        <v>5.8599999999999994</v>
      </c>
      <c r="T733" s="36">
        <f t="shared" ca="1" si="59"/>
        <v>444</v>
      </c>
      <c r="U733" s="37" t="s">
        <v>2337</v>
      </c>
      <c r="V733" s="37"/>
      <c r="W733" s="38">
        <v>42926</v>
      </c>
      <c r="X733" s="39" t="s">
        <v>50</v>
      </c>
      <c r="Y733" s="116" t="s">
        <v>2377</v>
      </c>
      <c r="Z733" s="40" t="s">
        <v>1571</v>
      </c>
      <c r="AA733" s="136">
        <f t="shared" ca="1" si="60"/>
        <v>444</v>
      </c>
      <c r="AB733" s="40"/>
      <c r="AC733" s="116"/>
      <c r="AD733" s="116"/>
      <c r="AE733" s="40"/>
      <c r="AF733" s="136" t="str">
        <f t="shared" ca="1" si="61"/>
        <v/>
      </c>
      <c r="AG733" s="127"/>
      <c r="AH733" s="127"/>
      <c r="AI733" s="127"/>
      <c r="AJ733" s="128"/>
      <c r="AK733" s="128"/>
      <c r="AL733" s="129"/>
    </row>
    <row r="734" spans="1:38" ht="23.25" x14ac:dyDescent="0.25">
      <c r="A734" s="343" t="str">
        <f t="shared" si="64"/>
        <v>17REF124</v>
      </c>
      <c r="B734" s="342">
        <v>124</v>
      </c>
      <c r="C734" s="343" t="s">
        <v>39</v>
      </c>
      <c r="D734" s="344" t="s">
        <v>744</v>
      </c>
      <c r="E734" s="124" t="s">
        <v>41</v>
      </c>
      <c r="F734" s="124" t="s">
        <v>2341</v>
      </c>
      <c r="G734" s="251"/>
      <c r="H734" s="34" t="s">
        <v>43</v>
      </c>
      <c r="I734" s="126" t="s">
        <v>2342</v>
      </c>
      <c r="J734" s="47" t="s">
        <v>45</v>
      </c>
      <c r="K734" s="132">
        <v>92.09</v>
      </c>
      <c r="L734" s="126" t="s">
        <v>2343</v>
      </c>
      <c r="M734" s="104" t="s">
        <v>2344</v>
      </c>
      <c r="N734" s="265">
        <v>42922</v>
      </c>
      <c r="O734" s="260"/>
      <c r="P734" s="106" t="s">
        <v>1599</v>
      </c>
      <c r="Q734" s="107"/>
      <c r="R734" s="244"/>
      <c r="S734" s="37"/>
      <c r="T734" s="36" t="str">
        <f t="shared" ca="1" si="59"/>
        <v/>
      </c>
      <c r="U734" s="37"/>
      <c r="V734" s="37"/>
      <c r="W734" s="38"/>
      <c r="X734" s="39"/>
      <c r="Y734" s="116"/>
      <c r="Z734" s="40"/>
      <c r="AA734" s="136" t="str">
        <f t="shared" ca="1" si="60"/>
        <v/>
      </c>
      <c r="AB734" s="40"/>
      <c r="AC734" s="116"/>
      <c r="AD734" s="116"/>
      <c r="AE734" s="40"/>
      <c r="AF734" s="136" t="str">
        <f t="shared" ca="1" si="61"/>
        <v/>
      </c>
      <c r="AG734" s="127"/>
      <c r="AH734" s="127"/>
      <c r="AI734" s="127"/>
      <c r="AJ734" s="128"/>
      <c r="AK734" s="128"/>
      <c r="AL734" s="129"/>
    </row>
    <row r="735" spans="1:38" ht="23.25" x14ac:dyDescent="0.25">
      <c r="A735" s="343" t="str">
        <f t="shared" si="64"/>
        <v>17REF125</v>
      </c>
      <c r="B735" s="342">
        <v>125</v>
      </c>
      <c r="C735" s="343" t="s">
        <v>39</v>
      </c>
      <c r="D735" s="344" t="s">
        <v>170</v>
      </c>
      <c r="E735" s="124" t="s">
        <v>41</v>
      </c>
      <c r="F735" s="124" t="s">
        <v>2349</v>
      </c>
      <c r="G735" s="251"/>
      <c r="H735" s="34" t="s">
        <v>43</v>
      </c>
      <c r="I735" s="126" t="s">
        <v>2350</v>
      </c>
      <c r="J735" s="47" t="s">
        <v>105</v>
      </c>
      <c r="K735" s="126">
        <v>453.38</v>
      </c>
      <c r="L735" s="126" t="s">
        <v>2351</v>
      </c>
      <c r="M735" s="104" t="s">
        <v>2352</v>
      </c>
      <c r="N735" s="265">
        <v>42926</v>
      </c>
      <c r="O735" s="260">
        <v>42929</v>
      </c>
      <c r="P735" s="106" t="s">
        <v>1855</v>
      </c>
      <c r="Q735" s="107"/>
      <c r="R735" s="266">
        <v>1</v>
      </c>
      <c r="S735" s="37">
        <f>1000-652.15</f>
        <v>347.85</v>
      </c>
      <c r="T735" s="36">
        <f t="shared" ca="1" si="59"/>
        <v>441</v>
      </c>
      <c r="U735" s="37" t="s">
        <v>2380</v>
      </c>
      <c r="V735" s="37"/>
      <c r="W735" s="38"/>
      <c r="X735" s="39"/>
      <c r="Y735" s="116"/>
      <c r="Z735" s="40"/>
      <c r="AA735" s="136" t="str">
        <f t="shared" ca="1" si="60"/>
        <v/>
      </c>
      <c r="AB735" s="40"/>
      <c r="AC735" s="116"/>
      <c r="AD735" s="116"/>
      <c r="AE735" s="40"/>
      <c r="AF735" s="136" t="str">
        <f t="shared" ca="1" si="61"/>
        <v/>
      </c>
      <c r="AG735" s="127"/>
      <c r="AH735" s="127"/>
      <c r="AI735" s="127"/>
      <c r="AJ735" s="128"/>
      <c r="AK735" s="128"/>
      <c r="AL735" s="129"/>
    </row>
    <row r="736" spans="1:38" ht="30" x14ac:dyDescent="0.25">
      <c r="A736" s="343" t="str">
        <f t="shared" si="64"/>
        <v>17REF126</v>
      </c>
      <c r="B736" s="342">
        <v>126</v>
      </c>
      <c r="C736" s="343" t="s">
        <v>39</v>
      </c>
      <c r="D736" s="344" t="s">
        <v>170</v>
      </c>
      <c r="E736" s="124" t="s">
        <v>41</v>
      </c>
      <c r="F736" s="124" t="s">
        <v>797</v>
      </c>
      <c r="G736" s="251" t="s">
        <v>2360</v>
      </c>
      <c r="H736" s="34" t="s">
        <v>43</v>
      </c>
      <c r="I736" s="126" t="s">
        <v>2356</v>
      </c>
      <c r="J736" s="47" t="s">
        <v>180</v>
      </c>
      <c r="K736" s="126">
        <v>303.33</v>
      </c>
      <c r="L736" s="126">
        <v>90221</v>
      </c>
      <c r="M736" s="104" t="s">
        <v>799</v>
      </c>
      <c r="N736" s="265">
        <v>42928</v>
      </c>
      <c r="O736" s="260">
        <v>42949</v>
      </c>
      <c r="P736" s="106" t="s">
        <v>139</v>
      </c>
      <c r="Q736" s="107" t="s">
        <v>212</v>
      </c>
      <c r="R736" s="267">
        <v>0.998</v>
      </c>
      <c r="S736" s="37">
        <f>25-5.932</f>
        <v>19.067999999999998</v>
      </c>
      <c r="T736" s="36">
        <f t="shared" ca="1" si="59"/>
        <v>422</v>
      </c>
      <c r="U736" s="37" t="s">
        <v>2380</v>
      </c>
      <c r="V736" s="37"/>
      <c r="W736" s="38">
        <v>42949</v>
      </c>
      <c r="X736" s="39" t="s">
        <v>248</v>
      </c>
      <c r="Y736" s="116" t="s">
        <v>1485</v>
      </c>
      <c r="Z736" s="40" t="s">
        <v>212</v>
      </c>
      <c r="AA736" s="136">
        <f t="shared" ca="1" si="60"/>
        <v>422</v>
      </c>
      <c r="AB736" s="40"/>
      <c r="AC736" s="116"/>
      <c r="AD736" s="116"/>
      <c r="AE736" s="40"/>
      <c r="AF736" s="136" t="str">
        <f t="shared" ca="1" si="61"/>
        <v/>
      </c>
      <c r="AG736" s="127"/>
      <c r="AH736" s="127"/>
      <c r="AI736" s="127"/>
      <c r="AJ736" s="128"/>
      <c r="AK736" s="128"/>
      <c r="AL736" s="129"/>
    </row>
    <row r="737" spans="1:38" ht="23.25" x14ac:dyDescent="0.25">
      <c r="A737" s="343" t="str">
        <f t="shared" si="64"/>
        <v>17REF127</v>
      </c>
      <c r="B737" s="342">
        <v>127</v>
      </c>
      <c r="C737" s="343" t="s">
        <v>39</v>
      </c>
      <c r="D737" s="344" t="s">
        <v>170</v>
      </c>
      <c r="E737" s="124" t="s">
        <v>41</v>
      </c>
      <c r="F737" s="124" t="s">
        <v>2355</v>
      </c>
      <c r="G737" s="251"/>
      <c r="H737" s="34" t="s">
        <v>43</v>
      </c>
      <c r="I737" s="126" t="s">
        <v>2357</v>
      </c>
      <c r="J737" s="47" t="s">
        <v>105</v>
      </c>
      <c r="K737" s="126">
        <v>886.59</v>
      </c>
      <c r="L737" s="126" t="s">
        <v>2358</v>
      </c>
      <c r="M737" s="104" t="s">
        <v>2359</v>
      </c>
      <c r="N737" s="265">
        <v>42928</v>
      </c>
      <c r="O737" s="262">
        <v>42929</v>
      </c>
      <c r="P737" s="106" t="s">
        <v>124</v>
      </c>
      <c r="Q737" s="107" t="s">
        <v>1527</v>
      </c>
      <c r="R737" s="266">
        <v>0.94</v>
      </c>
      <c r="S737" s="37">
        <f>100-28.759</f>
        <v>71.241</v>
      </c>
      <c r="T737" s="36">
        <f t="shared" ca="1" si="59"/>
        <v>441</v>
      </c>
      <c r="U737" s="37" t="s">
        <v>2380</v>
      </c>
      <c r="V737" s="37"/>
      <c r="W737" s="38"/>
      <c r="X737" s="39"/>
      <c r="Y737" s="116"/>
      <c r="Z737" s="40"/>
      <c r="AA737" s="136" t="str">
        <f t="shared" ca="1" si="60"/>
        <v/>
      </c>
      <c r="AB737" s="40"/>
      <c r="AC737" s="116"/>
      <c r="AD737" s="116"/>
      <c r="AE737" s="40"/>
      <c r="AF737" s="136" t="str">
        <f t="shared" ca="1" si="61"/>
        <v/>
      </c>
      <c r="AG737" s="127"/>
      <c r="AH737" s="127"/>
      <c r="AI737" s="127"/>
      <c r="AJ737" s="128"/>
      <c r="AK737" s="128"/>
      <c r="AL737" s="129"/>
    </row>
    <row r="738" spans="1:38" ht="23.25" x14ac:dyDescent="0.25">
      <c r="A738" s="343" t="str">
        <f t="shared" si="64"/>
        <v>17REF128</v>
      </c>
      <c r="B738" s="342">
        <v>128</v>
      </c>
      <c r="C738" s="343" t="s">
        <v>39</v>
      </c>
      <c r="D738" s="344" t="s">
        <v>170</v>
      </c>
      <c r="E738" s="124" t="s">
        <v>41</v>
      </c>
      <c r="F738" s="124" t="s">
        <v>2043</v>
      </c>
      <c r="G738" s="251"/>
      <c r="H738" s="34" t="s">
        <v>112</v>
      </c>
      <c r="I738" s="126" t="s">
        <v>2362</v>
      </c>
      <c r="J738" s="47" t="s">
        <v>45</v>
      </c>
      <c r="K738" s="126">
        <v>201.12</v>
      </c>
      <c r="L738" s="126">
        <v>103</v>
      </c>
      <c r="M738" s="104" t="s">
        <v>2047</v>
      </c>
      <c r="N738" s="265">
        <v>42927</v>
      </c>
      <c r="O738" s="260">
        <v>42937</v>
      </c>
      <c r="P738" s="106" t="s">
        <v>86</v>
      </c>
      <c r="Q738" s="107" t="s">
        <v>2364</v>
      </c>
      <c r="R738" s="267">
        <v>0.99399999999999999</v>
      </c>
      <c r="S738" s="37">
        <v>0</v>
      </c>
      <c r="T738" s="36" t="str">
        <f t="shared" ca="1" si="59"/>
        <v>Empty</v>
      </c>
      <c r="U738" s="37" t="s">
        <v>2319</v>
      </c>
      <c r="V738" s="37"/>
      <c r="W738" s="38">
        <v>42937</v>
      </c>
      <c r="X738" s="39" t="s">
        <v>334</v>
      </c>
      <c r="Y738" s="116" t="s">
        <v>2392</v>
      </c>
      <c r="Z738" s="40" t="s">
        <v>1947</v>
      </c>
      <c r="AA738" s="136">
        <f t="shared" ca="1" si="60"/>
        <v>433</v>
      </c>
      <c r="AB738" s="40"/>
      <c r="AC738" s="116"/>
      <c r="AD738" s="116"/>
      <c r="AE738" s="40"/>
      <c r="AF738" s="136" t="str">
        <f t="shared" ca="1" si="61"/>
        <v/>
      </c>
      <c r="AG738" s="127"/>
      <c r="AH738" s="127"/>
      <c r="AI738" s="127"/>
      <c r="AJ738" s="128"/>
      <c r="AK738" s="128"/>
      <c r="AL738" s="129"/>
    </row>
    <row r="739" spans="1:38" ht="23.25" x14ac:dyDescent="0.25">
      <c r="A739" s="299" t="str">
        <f t="shared" si="64"/>
        <v>17SAM129</v>
      </c>
      <c r="B739" s="298">
        <v>129</v>
      </c>
      <c r="C739" s="299" t="s">
        <v>57</v>
      </c>
      <c r="D739" s="300" t="s">
        <v>40</v>
      </c>
      <c r="E739" s="124" t="s">
        <v>846</v>
      </c>
      <c r="F739" s="124" t="s">
        <v>2378</v>
      </c>
      <c r="G739" s="251"/>
      <c r="H739" s="34" t="s">
        <v>60</v>
      </c>
      <c r="I739" s="126" t="s">
        <v>2363</v>
      </c>
      <c r="J739" s="47" t="s">
        <v>180</v>
      </c>
      <c r="K739" s="126">
        <v>398.48</v>
      </c>
      <c r="L739" s="132" t="s">
        <v>61</v>
      </c>
      <c r="M739" s="105" t="s">
        <v>61</v>
      </c>
      <c r="N739" s="265">
        <v>42929</v>
      </c>
      <c r="O739" s="260">
        <v>42933</v>
      </c>
      <c r="P739" s="106" t="s">
        <v>1674</v>
      </c>
      <c r="Q739" s="107" t="s">
        <v>212</v>
      </c>
      <c r="R739" s="266">
        <v>0.99</v>
      </c>
      <c r="S739" s="37"/>
      <c r="T739" s="36" t="str">
        <f t="shared" ca="1" si="59"/>
        <v/>
      </c>
      <c r="U739" s="37" t="s">
        <v>2365</v>
      </c>
      <c r="V739" s="37"/>
      <c r="W739" s="38">
        <v>42933</v>
      </c>
      <c r="X739" s="39" t="s">
        <v>1758</v>
      </c>
      <c r="Y739" s="116" t="s">
        <v>1217</v>
      </c>
      <c r="Z739" s="40" t="s">
        <v>212</v>
      </c>
      <c r="AA739" s="136">
        <f t="shared" ca="1" si="60"/>
        <v>437</v>
      </c>
      <c r="AB739" s="40"/>
      <c r="AC739" s="116"/>
      <c r="AD739" s="116"/>
      <c r="AE739" s="40"/>
      <c r="AF739" s="136" t="str">
        <f t="shared" ca="1" si="61"/>
        <v/>
      </c>
      <c r="AG739" s="127"/>
      <c r="AH739" s="127"/>
      <c r="AI739" s="127"/>
      <c r="AJ739" s="128"/>
      <c r="AK739" s="128"/>
      <c r="AL739" s="129"/>
    </row>
    <row r="740" spans="1:38" ht="23.25" x14ac:dyDescent="0.25">
      <c r="A740" s="343" t="str">
        <f t="shared" si="64"/>
        <v>17REF130</v>
      </c>
      <c r="B740" s="342">
        <v>130</v>
      </c>
      <c r="C740" s="343" t="s">
        <v>39</v>
      </c>
      <c r="D740" s="344" t="s">
        <v>824</v>
      </c>
      <c r="E740" s="124" t="s">
        <v>41</v>
      </c>
      <c r="F740" s="124" t="s">
        <v>2361</v>
      </c>
      <c r="G740" s="251"/>
      <c r="H740" s="34" t="s">
        <v>43</v>
      </c>
      <c r="I740" s="126" t="s">
        <v>2370</v>
      </c>
      <c r="J740" s="47" t="s">
        <v>105</v>
      </c>
      <c r="K740" s="126" t="s">
        <v>2372</v>
      </c>
      <c r="L740" s="126" t="s">
        <v>2371</v>
      </c>
      <c r="M740" s="104"/>
      <c r="N740" s="265">
        <v>42927</v>
      </c>
      <c r="O740" s="260">
        <v>43136</v>
      </c>
      <c r="P740" s="106" t="s">
        <v>786</v>
      </c>
      <c r="Q740" s="107"/>
      <c r="R740" s="244"/>
      <c r="S740" s="37">
        <v>0</v>
      </c>
      <c r="T740" s="36" t="str">
        <f t="shared" ref="T740:T803" ca="1" si="66">IF(S740="","",IF(S740=0,"Empty",IF(O740="","",IF(O740,DAYS360(O740,TODAY())))))</f>
        <v>Empty</v>
      </c>
      <c r="U740" s="37"/>
      <c r="V740" s="37"/>
      <c r="W740" s="38"/>
      <c r="X740" s="39"/>
      <c r="Y740" s="116"/>
      <c r="Z740" s="40"/>
      <c r="AA740" s="136" t="str">
        <f t="shared" ref="AA740:AA803" ca="1" si="67">IF(W740="","",IF(W740,DAYS360(W740,TODAY())))</f>
        <v/>
      </c>
      <c r="AB740" s="40"/>
      <c r="AC740" s="116"/>
      <c r="AD740" s="116"/>
      <c r="AE740" s="40"/>
      <c r="AF740" s="136" t="str">
        <f t="shared" ref="AF740:AF803" ca="1" si="68">IF(AB740="","",IF(AB740,DAYS360(AB740,TODAY())))</f>
        <v/>
      </c>
      <c r="AG740" s="127"/>
      <c r="AH740" s="127"/>
      <c r="AI740" s="127"/>
      <c r="AJ740" s="128"/>
      <c r="AK740" s="128"/>
      <c r="AL740" s="129"/>
    </row>
    <row r="741" spans="1:38" ht="28.5" customHeight="1" x14ac:dyDescent="0.25">
      <c r="A741" s="343" t="str">
        <f t="shared" si="64"/>
        <v>17REF131</v>
      </c>
      <c r="B741" s="298">
        <v>131</v>
      </c>
      <c r="C741" s="343" t="s">
        <v>39</v>
      </c>
      <c r="D741" s="344" t="s">
        <v>744</v>
      </c>
      <c r="E741" s="124" t="s">
        <v>41</v>
      </c>
      <c r="F741" s="124" t="s">
        <v>254</v>
      </c>
      <c r="G741" s="251"/>
      <c r="H741" s="34" t="s">
        <v>43</v>
      </c>
      <c r="I741" s="126" t="s">
        <v>2367</v>
      </c>
      <c r="J741" s="34" t="s">
        <v>45</v>
      </c>
      <c r="K741" s="126">
        <v>602.58000000000004</v>
      </c>
      <c r="L741" s="126" t="s">
        <v>256</v>
      </c>
      <c r="M741" s="104" t="s">
        <v>257</v>
      </c>
      <c r="N741" s="265">
        <v>42936</v>
      </c>
      <c r="O741" s="260">
        <v>42972</v>
      </c>
      <c r="P741" s="106" t="s">
        <v>258</v>
      </c>
      <c r="Q741" s="107" t="s">
        <v>212</v>
      </c>
      <c r="R741" s="266">
        <v>0.99</v>
      </c>
      <c r="S741" s="37">
        <f>5000-126.16-16.1-361.37-35.7-45.4-159.03-194.71</f>
        <v>4061.5300000000007</v>
      </c>
      <c r="T741" s="36">
        <f t="shared" ca="1" si="66"/>
        <v>399</v>
      </c>
      <c r="U741" s="37"/>
      <c r="V741" s="37"/>
      <c r="W741" s="38">
        <v>43003</v>
      </c>
      <c r="X741" s="39" t="s">
        <v>334</v>
      </c>
      <c r="Y741" s="116" t="s">
        <v>1173</v>
      </c>
      <c r="Z741" s="40" t="s">
        <v>212</v>
      </c>
      <c r="AA741" s="136">
        <f t="shared" ca="1" si="67"/>
        <v>369</v>
      </c>
      <c r="AB741" s="40"/>
      <c r="AC741" s="116"/>
      <c r="AD741" s="116"/>
      <c r="AE741" s="40"/>
      <c r="AF741" s="136" t="str">
        <f t="shared" ca="1" si="68"/>
        <v/>
      </c>
      <c r="AG741" s="127"/>
      <c r="AH741" s="127"/>
      <c r="AI741" s="127"/>
      <c r="AJ741" s="128"/>
      <c r="AK741" s="128"/>
      <c r="AL741" s="129"/>
    </row>
    <row r="742" spans="1:38" ht="30.75" customHeight="1" x14ac:dyDescent="0.25">
      <c r="A742" s="343" t="str">
        <f t="shared" si="64"/>
        <v>17REF132</v>
      </c>
      <c r="B742" s="298">
        <v>132</v>
      </c>
      <c r="C742" s="343" t="s">
        <v>39</v>
      </c>
      <c r="D742" s="344" t="s">
        <v>744</v>
      </c>
      <c r="E742" s="124" t="s">
        <v>41</v>
      </c>
      <c r="F742" s="124" t="s">
        <v>779</v>
      </c>
      <c r="G742" s="251" t="s">
        <v>1126</v>
      </c>
      <c r="H742" s="34" t="s">
        <v>330</v>
      </c>
      <c r="I742" s="372" t="s">
        <v>1578</v>
      </c>
      <c r="J742" s="34" t="s">
        <v>180</v>
      </c>
      <c r="K742" s="126">
        <v>197.13</v>
      </c>
      <c r="L742" s="126" t="s">
        <v>781</v>
      </c>
      <c r="M742" s="104" t="s">
        <v>782</v>
      </c>
      <c r="N742" s="265">
        <v>42936</v>
      </c>
      <c r="O742" s="260">
        <v>42947</v>
      </c>
      <c r="P742" s="106" t="s">
        <v>183</v>
      </c>
      <c r="Q742" s="107" t="s">
        <v>3009</v>
      </c>
      <c r="R742" s="266">
        <v>1</v>
      </c>
      <c r="S742" s="37">
        <v>0</v>
      </c>
      <c r="T742" s="36" t="str">
        <f t="shared" ca="1" si="66"/>
        <v>Empty</v>
      </c>
      <c r="U742" s="37"/>
      <c r="V742" s="37"/>
      <c r="W742" s="38"/>
      <c r="X742" s="39"/>
      <c r="Y742" s="116"/>
      <c r="Z742" s="40"/>
      <c r="AA742" s="136" t="str">
        <f t="shared" ca="1" si="67"/>
        <v/>
      </c>
      <c r="AB742" s="40"/>
      <c r="AC742" s="116"/>
      <c r="AD742" s="116"/>
      <c r="AE742" s="40"/>
      <c r="AF742" s="136" t="str">
        <f t="shared" ca="1" si="68"/>
        <v/>
      </c>
      <c r="AG742" s="127"/>
      <c r="AH742" s="127"/>
      <c r="AI742" s="127"/>
      <c r="AJ742" s="128"/>
      <c r="AK742" s="128"/>
      <c r="AL742" s="129"/>
    </row>
    <row r="743" spans="1:38" ht="23.25" x14ac:dyDescent="0.25">
      <c r="A743" s="343" t="str">
        <f t="shared" si="64"/>
        <v>17REF133</v>
      </c>
      <c r="B743" s="298">
        <v>133</v>
      </c>
      <c r="C743" s="343" t="s">
        <v>39</v>
      </c>
      <c r="D743" s="344" t="s">
        <v>170</v>
      </c>
      <c r="E743" s="124" t="s">
        <v>41</v>
      </c>
      <c r="F743" s="124" t="s">
        <v>1541</v>
      </c>
      <c r="G743" s="251"/>
      <c r="H743" s="34" t="s">
        <v>330</v>
      </c>
      <c r="I743" s="126" t="s">
        <v>1269</v>
      </c>
      <c r="J743" s="34" t="s">
        <v>180</v>
      </c>
      <c r="K743" s="126">
        <v>307.64999999999998</v>
      </c>
      <c r="L743" s="126" t="s">
        <v>804</v>
      </c>
      <c r="M743" s="104" t="s">
        <v>805</v>
      </c>
      <c r="N743" s="265">
        <v>42936</v>
      </c>
      <c r="O743" s="260">
        <v>42948</v>
      </c>
      <c r="P743" s="106" t="s">
        <v>183</v>
      </c>
      <c r="Q743" s="107" t="s">
        <v>1316</v>
      </c>
      <c r="R743" s="266">
        <v>1</v>
      </c>
      <c r="S743" s="37">
        <v>0</v>
      </c>
      <c r="T743" s="36" t="str">
        <f t="shared" ca="1" si="66"/>
        <v>Empty</v>
      </c>
      <c r="U743" s="37"/>
      <c r="V743" s="37"/>
      <c r="W743" s="38">
        <v>42948</v>
      </c>
      <c r="X743" s="39" t="s">
        <v>722</v>
      </c>
      <c r="Y743" s="116" t="s">
        <v>1485</v>
      </c>
      <c r="Z743" s="40" t="s">
        <v>212</v>
      </c>
      <c r="AA743" s="136">
        <f t="shared" ca="1" si="67"/>
        <v>423</v>
      </c>
      <c r="AB743" s="40"/>
      <c r="AC743" s="116"/>
      <c r="AD743" s="116"/>
      <c r="AE743" s="40"/>
      <c r="AF743" s="136" t="str">
        <f t="shared" ca="1" si="68"/>
        <v/>
      </c>
      <c r="AG743" s="127"/>
      <c r="AH743" s="127"/>
      <c r="AI743" s="127"/>
      <c r="AJ743" s="128"/>
      <c r="AK743" s="128"/>
      <c r="AL743" s="129"/>
    </row>
    <row r="744" spans="1:38" ht="23.25" x14ac:dyDescent="0.25">
      <c r="A744" s="299" t="str">
        <f t="shared" si="64"/>
        <v>17SAM134</v>
      </c>
      <c r="B744" s="298">
        <v>134</v>
      </c>
      <c r="C744" s="299" t="s">
        <v>57</v>
      </c>
      <c r="D744" s="300" t="s">
        <v>170</v>
      </c>
      <c r="E744" s="124" t="s">
        <v>2391</v>
      </c>
      <c r="F744" s="124" t="s">
        <v>2368</v>
      </c>
      <c r="G744" s="251"/>
      <c r="H744" s="34" t="s">
        <v>60</v>
      </c>
      <c r="I744" s="126" t="s">
        <v>60</v>
      </c>
      <c r="J744" s="34" t="s">
        <v>45</v>
      </c>
      <c r="K744" s="126">
        <v>267.67</v>
      </c>
      <c r="L744" s="132" t="s">
        <v>61</v>
      </c>
      <c r="M744" s="105" t="s">
        <v>61</v>
      </c>
      <c r="N744" s="265">
        <v>42936</v>
      </c>
      <c r="O744" s="260">
        <v>42949</v>
      </c>
      <c r="P744" s="106" t="s">
        <v>2369</v>
      </c>
      <c r="Q744" s="107" t="s">
        <v>130</v>
      </c>
      <c r="R744" s="244" t="s">
        <v>60</v>
      </c>
      <c r="S744" s="37">
        <v>0</v>
      </c>
      <c r="T744" s="36" t="str">
        <f t="shared" ca="1" si="66"/>
        <v>Empty</v>
      </c>
      <c r="U744" s="37" t="s">
        <v>2379</v>
      </c>
      <c r="V744" s="37"/>
      <c r="W744" s="38">
        <v>42949</v>
      </c>
      <c r="X744" s="39" t="s">
        <v>334</v>
      </c>
      <c r="Y744" s="116" t="s">
        <v>453</v>
      </c>
      <c r="Z744" s="40" t="s">
        <v>212</v>
      </c>
      <c r="AA744" s="136">
        <f t="shared" ca="1" si="67"/>
        <v>422</v>
      </c>
      <c r="AB744" s="40"/>
      <c r="AC744" s="116"/>
      <c r="AD744" s="116"/>
      <c r="AE744" s="40"/>
      <c r="AF744" s="136" t="str">
        <f t="shared" ca="1" si="68"/>
        <v/>
      </c>
      <c r="AG744" s="127"/>
      <c r="AH744" s="127"/>
      <c r="AI744" s="127"/>
      <c r="AJ744" s="128"/>
      <c r="AK744" s="128"/>
      <c r="AL744" s="129"/>
    </row>
    <row r="745" spans="1:38" ht="23.25" x14ac:dyDescent="0.25">
      <c r="A745" s="299" t="str">
        <f t="shared" si="64"/>
        <v>17SAM135</v>
      </c>
      <c r="B745" s="298">
        <v>135</v>
      </c>
      <c r="C745" s="299" t="s">
        <v>57</v>
      </c>
      <c r="D745" s="300" t="s">
        <v>40</v>
      </c>
      <c r="E745" s="124" t="s">
        <v>2381</v>
      </c>
      <c r="F745" s="124" t="s">
        <v>2382</v>
      </c>
      <c r="G745" s="251" t="s">
        <v>2383</v>
      </c>
      <c r="H745" s="34" t="s">
        <v>112</v>
      </c>
      <c r="I745" s="126" t="s">
        <v>2384</v>
      </c>
      <c r="J745" s="47" t="s">
        <v>105</v>
      </c>
      <c r="K745" s="126">
        <v>513.70000000000005</v>
      </c>
      <c r="L745" s="126">
        <v>1171</v>
      </c>
      <c r="M745" s="104" t="s">
        <v>2385</v>
      </c>
      <c r="N745" s="265">
        <v>42947</v>
      </c>
      <c r="O745" s="260">
        <v>42949</v>
      </c>
      <c r="P745" s="106" t="s">
        <v>194</v>
      </c>
      <c r="Q745" s="107" t="s">
        <v>2386</v>
      </c>
      <c r="R745" s="266">
        <v>0.8</v>
      </c>
      <c r="S745" s="37">
        <v>0</v>
      </c>
      <c r="T745" s="36" t="str">
        <f t="shared" ca="1" si="66"/>
        <v>Empty</v>
      </c>
      <c r="U745" s="37" t="s">
        <v>2337</v>
      </c>
      <c r="V745" s="37"/>
      <c r="W745" s="38"/>
      <c r="X745" s="39"/>
      <c r="Y745" s="116"/>
      <c r="Z745" s="40"/>
      <c r="AA745" s="136" t="str">
        <f t="shared" ca="1" si="67"/>
        <v/>
      </c>
      <c r="AB745" s="40"/>
      <c r="AC745" s="116"/>
      <c r="AD745" s="116"/>
      <c r="AE745" s="40"/>
      <c r="AF745" s="136" t="str">
        <f t="shared" ca="1" si="68"/>
        <v/>
      </c>
      <c r="AG745" s="127"/>
      <c r="AH745" s="127"/>
      <c r="AI745" s="127"/>
      <c r="AJ745" s="128"/>
      <c r="AK745" s="128"/>
      <c r="AL745" s="129"/>
    </row>
    <row r="746" spans="1:38" ht="23.25" x14ac:dyDescent="0.25">
      <c r="A746" s="299" t="str">
        <f t="shared" si="64"/>
        <v>17SAM136</v>
      </c>
      <c r="B746" s="298">
        <v>136</v>
      </c>
      <c r="C746" s="299" t="s">
        <v>57</v>
      </c>
      <c r="D746" s="300" t="s">
        <v>40</v>
      </c>
      <c r="E746" s="124" t="s">
        <v>2381</v>
      </c>
      <c r="F746" s="124" t="s">
        <v>2382</v>
      </c>
      <c r="G746" s="251" t="s">
        <v>2383</v>
      </c>
      <c r="H746" s="34" t="s">
        <v>112</v>
      </c>
      <c r="I746" s="126" t="s">
        <v>2384</v>
      </c>
      <c r="J746" s="47" t="s">
        <v>105</v>
      </c>
      <c r="K746" s="126">
        <v>513.70000000000005</v>
      </c>
      <c r="L746" s="126">
        <v>1171</v>
      </c>
      <c r="M746" s="104" t="s">
        <v>2385</v>
      </c>
      <c r="N746" s="265">
        <v>42947</v>
      </c>
      <c r="O746" s="260"/>
      <c r="P746" s="106" t="s">
        <v>194</v>
      </c>
      <c r="Q746" s="107" t="s">
        <v>2386</v>
      </c>
      <c r="R746" s="266">
        <v>0.8</v>
      </c>
      <c r="S746" s="37"/>
      <c r="T746" s="36" t="str">
        <f t="shared" ca="1" si="66"/>
        <v/>
      </c>
      <c r="U746" s="37" t="s">
        <v>2337</v>
      </c>
      <c r="V746" s="37"/>
      <c r="W746" s="38"/>
      <c r="X746" s="39"/>
      <c r="Y746" s="116"/>
      <c r="Z746" s="40"/>
      <c r="AA746" s="136" t="str">
        <f t="shared" ca="1" si="67"/>
        <v/>
      </c>
      <c r="AB746" s="40"/>
      <c r="AC746" s="116"/>
      <c r="AD746" s="116"/>
      <c r="AE746" s="40"/>
      <c r="AF746" s="136" t="str">
        <f t="shared" ca="1" si="68"/>
        <v/>
      </c>
      <c r="AG746" s="127"/>
      <c r="AH746" s="127"/>
      <c r="AI746" s="127"/>
      <c r="AJ746" s="128"/>
      <c r="AK746" s="128"/>
      <c r="AL746" s="129"/>
    </row>
    <row r="747" spans="1:38" ht="23.25" x14ac:dyDescent="0.25">
      <c r="A747" s="299" t="str">
        <f t="shared" si="64"/>
        <v>17SAM137</v>
      </c>
      <c r="B747" s="298">
        <v>137</v>
      </c>
      <c r="C747" s="299" t="s">
        <v>57</v>
      </c>
      <c r="D747" s="300" t="s">
        <v>40</v>
      </c>
      <c r="E747" s="124" t="s">
        <v>2381</v>
      </c>
      <c r="F747" s="124" t="s">
        <v>2382</v>
      </c>
      <c r="G747" s="251" t="s">
        <v>2383</v>
      </c>
      <c r="H747" s="34" t="s">
        <v>112</v>
      </c>
      <c r="I747" s="126" t="s">
        <v>2384</v>
      </c>
      <c r="J747" s="47" t="s">
        <v>105</v>
      </c>
      <c r="K747" s="126">
        <v>513.70000000000005</v>
      </c>
      <c r="L747" s="126">
        <v>1171</v>
      </c>
      <c r="M747" s="104" t="s">
        <v>2385</v>
      </c>
      <c r="N747" s="265">
        <v>42947</v>
      </c>
      <c r="O747" s="260"/>
      <c r="P747" s="106" t="s">
        <v>194</v>
      </c>
      <c r="Q747" s="107" t="s">
        <v>2386</v>
      </c>
      <c r="R747" s="266">
        <v>0.8</v>
      </c>
      <c r="S747" s="37"/>
      <c r="T747" s="36" t="str">
        <f t="shared" ca="1" si="66"/>
        <v/>
      </c>
      <c r="U747" s="37" t="s">
        <v>2337</v>
      </c>
      <c r="V747" s="37"/>
      <c r="W747" s="38"/>
      <c r="X747" s="39"/>
      <c r="Y747" s="116"/>
      <c r="Z747" s="40"/>
      <c r="AA747" s="136" t="str">
        <f t="shared" ca="1" si="67"/>
        <v/>
      </c>
      <c r="AB747" s="40"/>
      <c r="AC747" s="116"/>
      <c r="AD747" s="116"/>
      <c r="AE747" s="40"/>
      <c r="AF747" s="136" t="str">
        <f t="shared" ca="1" si="68"/>
        <v/>
      </c>
      <c r="AG747" s="127"/>
      <c r="AH747" s="127"/>
      <c r="AI747" s="127"/>
      <c r="AJ747" s="128"/>
      <c r="AK747" s="128"/>
      <c r="AL747" s="129"/>
    </row>
    <row r="748" spans="1:38" ht="23.25" x14ac:dyDescent="0.25">
      <c r="A748" s="299" t="str">
        <f t="shared" si="64"/>
        <v>17SAM138</v>
      </c>
      <c r="B748" s="298">
        <v>138</v>
      </c>
      <c r="C748" s="299" t="s">
        <v>57</v>
      </c>
      <c r="D748" s="300" t="s">
        <v>170</v>
      </c>
      <c r="E748" s="124" t="s">
        <v>416</v>
      </c>
      <c r="F748" s="124" t="s">
        <v>779</v>
      </c>
      <c r="G748" s="251" t="s">
        <v>1126</v>
      </c>
      <c r="H748" s="34" t="s">
        <v>112</v>
      </c>
      <c r="I748" s="126" t="s">
        <v>2387</v>
      </c>
      <c r="J748" s="47" t="s">
        <v>45</v>
      </c>
      <c r="K748" s="126">
        <v>197.13</v>
      </c>
      <c r="L748" s="132" t="s">
        <v>2389</v>
      </c>
      <c r="M748" s="104" t="s">
        <v>782</v>
      </c>
      <c r="N748" s="265">
        <v>42943</v>
      </c>
      <c r="O748" s="260">
        <v>42957</v>
      </c>
      <c r="P748" s="106" t="s">
        <v>183</v>
      </c>
      <c r="Q748" s="107" t="s">
        <v>3009</v>
      </c>
      <c r="R748" s="266">
        <v>1</v>
      </c>
      <c r="S748" s="37">
        <v>0</v>
      </c>
      <c r="T748" s="36" t="str">
        <f t="shared" ca="1" si="66"/>
        <v>Empty</v>
      </c>
      <c r="U748" s="37" t="s">
        <v>2319</v>
      </c>
      <c r="V748" s="37"/>
      <c r="W748" s="38">
        <v>42957</v>
      </c>
      <c r="X748" s="377" t="s">
        <v>699</v>
      </c>
      <c r="Y748" s="39" t="s">
        <v>2433</v>
      </c>
      <c r="Z748" s="40" t="s">
        <v>49</v>
      </c>
      <c r="AA748" s="136">
        <f t="shared" ca="1" si="67"/>
        <v>414</v>
      </c>
      <c r="AB748" s="40"/>
      <c r="AC748" s="116"/>
      <c r="AD748" s="116"/>
      <c r="AE748" s="40"/>
      <c r="AF748" s="136" t="str">
        <f t="shared" ca="1" si="68"/>
        <v/>
      </c>
      <c r="AG748" s="127"/>
      <c r="AH748" s="127"/>
      <c r="AI748" s="127"/>
      <c r="AJ748" s="128"/>
      <c r="AK748" s="128"/>
      <c r="AL748" s="129"/>
    </row>
    <row r="749" spans="1:38" ht="23.25" x14ac:dyDescent="0.25">
      <c r="A749" s="299" t="str">
        <f t="shared" si="64"/>
        <v>17SAM139</v>
      </c>
      <c r="B749" s="298">
        <v>139</v>
      </c>
      <c r="C749" s="299" t="s">
        <v>57</v>
      </c>
      <c r="D749" s="300" t="s">
        <v>170</v>
      </c>
      <c r="E749" s="124" t="s">
        <v>416</v>
      </c>
      <c r="F749" s="124" t="s">
        <v>1541</v>
      </c>
      <c r="G749" s="251"/>
      <c r="H749" s="34" t="s">
        <v>112</v>
      </c>
      <c r="I749" s="126" t="s">
        <v>2388</v>
      </c>
      <c r="J749" s="47" t="s">
        <v>45</v>
      </c>
      <c r="K749" s="126">
        <v>316.64999999999998</v>
      </c>
      <c r="L749" s="126">
        <v>1045</v>
      </c>
      <c r="M749" s="104" t="s">
        <v>805</v>
      </c>
      <c r="N749" s="265">
        <v>42943</v>
      </c>
      <c r="O749" s="260">
        <v>42956</v>
      </c>
      <c r="P749" s="106" t="s">
        <v>183</v>
      </c>
      <c r="Q749" s="107" t="s">
        <v>2390</v>
      </c>
      <c r="R749" s="267">
        <v>0.99199999999999999</v>
      </c>
      <c r="S749" s="37">
        <v>0</v>
      </c>
      <c r="T749" s="36" t="str">
        <f t="shared" ca="1" si="66"/>
        <v>Empty</v>
      </c>
      <c r="U749" s="37" t="s">
        <v>2319</v>
      </c>
      <c r="V749" s="37"/>
      <c r="W749" s="38">
        <v>42956</v>
      </c>
      <c r="X749" s="39" t="s">
        <v>2431</v>
      </c>
      <c r="Y749" s="116" t="s">
        <v>2310</v>
      </c>
      <c r="Z749" s="40" t="s">
        <v>49</v>
      </c>
      <c r="AA749" s="136">
        <f t="shared" ca="1" si="67"/>
        <v>415</v>
      </c>
      <c r="AB749" s="40"/>
      <c r="AC749" s="116"/>
      <c r="AD749" s="116"/>
      <c r="AE749" s="40"/>
      <c r="AF749" s="136" t="str">
        <f t="shared" ca="1" si="68"/>
        <v/>
      </c>
      <c r="AG749" s="127"/>
      <c r="AH749" s="127"/>
      <c r="AI749" s="127"/>
      <c r="AJ749" s="128"/>
      <c r="AK749" s="128"/>
      <c r="AL749" s="129"/>
    </row>
    <row r="750" spans="1:38" ht="32.25" customHeight="1" x14ac:dyDescent="0.25">
      <c r="A750" s="343" t="str">
        <f t="shared" si="64"/>
        <v>17REF140</v>
      </c>
      <c r="B750" s="342">
        <v>140</v>
      </c>
      <c r="C750" s="343" t="s">
        <v>39</v>
      </c>
      <c r="D750" s="344" t="s">
        <v>744</v>
      </c>
      <c r="E750" s="124" t="s">
        <v>41</v>
      </c>
      <c r="F750" s="124" t="s">
        <v>2741</v>
      </c>
      <c r="G750" s="251"/>
      <c r="H750" s="34" t="s">
        <v>43</v>
      </c>
      <c r="I750" s="126" t="s">
        <v>2398</v>
      </c>
      <c r="J750" s="34" t="s">
        <v>45</v>
      </c>
      <c r="K750" s="126">
        <v>195.21</v>
      </c>
      <c r="L750" s="126" t="s">
        <v>2329</v>
      </c>
      <c r="M750" s="104" t="s">
        <v>2330</v>
      </c>
      <c r="N750" s="265">
        <v>42950</v>
      </c>
      <c r="O750" s="262" t="s">
        <v>168</v>
      </c>
      <c r="P750" s="106" t="s">
        <v>271</v>
      </c>
      <c r="Q750" s="107"/>
      <c r="R750" s="266">
        <v>1</v>
      </c>
      <c r="S750" s="37">
        <v>0</v>
      </c>
      <c r="T750" s="36" t="str">
        <f t="shared" ca="1" si="66"/>
        <v>Empty</v>
      </c>
      <c r="U750" s="37"/>
      <c r="V750" s="37"/>
      <c r="W750" s="38"/>
      <c r="X750" s="39"/>
      <c r="Y750" s="116"/>
      <c r="Z750" s="40"/>
      <c r="AA750" s="136" t="str">
        <f t="shared" ca="1" si="67"/>
        <v/>
      </c>
      <c r="AB750" s="40"/>
      <c r="AC750" s="116"/>
      <c r="AD750" s="116"/>
      <c r="AE750" s="40"/>
      <c r="AF750" s="136" t="str">
        <f t="shared" ca="1" si="68"/>
        <v/>
      </c>
      <c r="AG750" s="127"/>
      <c r="AH750" s="127"/>
      <c r="AI750" s="127"/>
      <c r="AJ750" s="128"/>
      <c r="AK750" s="128"/>
      <c r="AL750" s="129"/>
    </row>
    <row r="751" spans="1:38" ht="32.25" customHeight="1" x14ac:dyDescent="0.25">
      <c r="A751" s="343" t="str">
        <f t="shared" si="64"/>
        <v>17REF141</v>
      </c>
      <c r="B751" s="342">
        <v>141</v>
      </c>
      <c r="C751" s="343" t="s">
        <v>39</v>
      </c>
      <c r="D751" s="344" t="s">
        <v>744</v>
      </c>
      <c r="E751" s="124" t="s">
        <v>41</v>
      </c>
      <c r="F751" s="124" t="s">
        <v>1840</v>
      </c>
      <c r="G751" s="251"/>
      <c r="H751" s="34" t="s">
        <v>43</v>
      </c>
      <c r="I751" s="126" t="s">
        <v>2197</v>
      </c>
      <c r="J751" s="34" t="s">
        <v>45</v>
      </c>
      <c r="K751" s="126">
        <v>238.3</v>
      </c>
      <c r="L751" s="126" t="s">
        <v>1842</v>
      </c>
      <c r="M751" s="104" t="s">
        <v>2198</v>
      </c>
      <c r="N751" s="265">
        <v>42950</v>
      </c>
      <c r="O751" s="260"/>
      <c r="P751" s="106" t="s">
        <v>1295</v>
      </c>
      <c r="Q751" s="107" t="s">
        <v>2991</v>
      </c>
      <c r="R751" s="266">
        <v>1</v>
      </c>
      <c r="S751" s="37"/>
      <c r="T751" s="36" t="str">
        <f t="shared" ca="1" si="66"/>
        <v/>
      </c>
      <c r="U751" s="37"/>
      <c r="V751" s="37"/>
      <c r="W751" s="38"/>
      <c r="X751" s="39"/>
      <c r="Y751" s="116"/>
      <c r="Z751" s="40"/>
      <c r="AA751" s="136" t="str">
        <f t="shared" ca="1" si="67"/>
        <v/>
      </c>
      <c r="AB751" s="40"/>
      <c r="AC751" s="116"/>
      <c r="AD751" s="116"/>
      <c r="AE751" s="40"/>
      <c r="AF751" s="136" t="str">
        <f t="shared" ca="1" si="68"/>
        <v/>
      </c>
      <c r="AG751" s="127"/>
      <c r="AH751" s="127"/>
      <c r="AI751" s="127"/>
      <c r="AJ751" s="128"/>
      <c r="AK751" s="128"/>
      <c r="AL751" s="129"/>
    </row>
    <row r="752" spans="1:38" ht="23.25" x14ac:dyDescent="0.25">
      <c r="A752" s="343" t="str">
        <f t="shared" si="64"/>
        <v>17REF142</v>
      </c>
      <c r="B752" s="342">
        <v>142</v>
      </c>
      <c r="C752" s="343" t="s">
        <v>39</v>
      </c>
      <c r="D752" s="344" t="s">
        <v>40</v>
      </c>
      <c r="E752" s="124" t="s">
        <v>41</v>
      </c>
      <c r="F752" s="124" t="s">
        <v>117</v>
      </c>
      <c r="G752" s="251"/>
      <c r="H752" s="34" t="s">
        <v>43</v>
      </c>
      <c r="I752" s="126" t="s">
        <v>2399</v>
      </c>
      <c r="J752" s="34" t="s">
        <v>45</v>
      </c>
      <c r="K752" s="126">
        <v>105.09</v>
      </c>
      <c r="L752" s="126" t="s">
        <v>2400</v>
      </c>
      <c r="M752" s="104" t="s">
        <v>2401</v>
      </c>
      <c r="N752" s="265">
        <v>42950</v>
      </c>
      <c r="O752" s="260">
        <v>42968</v>
      </c>
      <c r="P752" s="106" t="s">
        <v>56</v>
      </c>
      <c r="Q752" s="107" t="s">
        <v>49</v>
      </c>
      <c r="R752" s="266">
        <v>1</v>
      </c>
      <c r="S752" s="37">
        <f>100000-127.5-128.03-91.8-65.6-120.5</f>
        <v>99466.569999999992</v>
      </c>
      <c r="T752" s="36">
        <f t="shared" ca="1" si="66"/>
        <v>403</v>
      </c>
      <c r="U752" s="37"/>
      <c r="V752" s="37"/>
      <c r="W752" s="38"/>
      <c r="X752" s="39"/>
      <c r="Y752" s="116"/>
      <c r="Z752" s="40"/>
      <c r="AA752" s="136" t="str">
        <f t="shared" ca="1" si="67"/>
        <v/>
      </c>
      <c r="AB752" s="40"/>
      <c r="AC752" s="116"/>
      <c r="AD752" s="116"/>
      <c r="AE752" s="40"/>
      <c r="AF752" s="136" t="str">
        <f t="shared" ca="1" si="68"/>
        <v/>
      </c>
      <c r="AG752" s="127"/>
      <c r="AH752" s="127"/>
      <c r="AI752" s="127"/>
      <c r="AJ752" s="128"/>
      <c r="AK752" s="128"/>
      <c r="AL752" s="129"/>
    </row>
    <row r="753" spans="1:38" ht="23.25" x14ac:dyDescent="0.25">
      <c r="A753" s="299" t="str">
        <f t="shared" si="64"/>
        <v>17SAM143</v>
      </c>
      <c r="B753" s="298">
        <v>143</v>
      </c>
      <c r="C753" s="299" t="s">
        <v>57</v>
      </c>
      <c r="D753" s="300" t="s">
        <v>170</v>
      </c>
      <c r="E753" s="124" t="s">
        <v>739</v>
      </c>
      <c r="F753" s="124" t="s">
        <v>1541</v>
      </c>
      <c r="G753" s="251" t="s">
        <v>802</v>
      </c>
      <c r="H753" s="34" t="s">
        <v>330</v>
      </c>
      <c r="I753" s="126" t="s">
        <v>1269</v>
      </c>
      <c r="J753" s="34" t="s">
        <v>180</v>
      </c>
      <c r="K753" s="126">
        <v>307.64999999999998</v>
      </c>
      <c r="L753" s="126" t="s">
        <v>804</v>
      </c>
      <c r="M753" s="104" t="s">
        <v>805</v>
      </c>
      <c r="N753" s="265">
        <v>42950</v>
      </c>
      <c r="O753" s="260">
        <v>42972</v>
      </c>
      <c r="P753" s="106" t="s">
        <v>183</v>
      </c>
      <c r="Q753" s="107" t="s">
        <v>2402</v>
      </c>
      <c r="R753" s="266">
        <v>1</v>
      </c>
      <c r="S753" s="37">
        <v>0</v>
      </c>
      <c r="T753" s="36" t="str">
        <f t="shared" ca="1" si="66"/>
        <v>Empty</v>
      </c>
      <c r="U753" s="37" t="s">
        <v>2380</v>
      </c>
      <c r="V753" s="37"/>
      <c r="W753" s="38">
        <v>42972</v>
      </c>
      <c r="X753" s="39" t="s">
        <v>722</v>
      </c>
      <c r="Y753" s="116" t="s">
        <v>1173</v>
      </c>
      <c r="Z753" s="40" t="s">
        <v>212</v>
      </c>
      <c r="AA753" s="136">
        <f t="shared" ca="1" si="67"/>
        <v>399</v>
      </c>
      <c r="AB753" s="40"/>
      <c r="AC753" s="116"/>
      <c r="AD753" s="116"/>
      <c r="AE753" s="40"/>
      <c r="AF753" s="136" t="str">
        <f t="shared" ca="1" si="68"/>
        <v/>
      </c>
      <c r="AG753" s="127"/>
      <c r="AH753" s="127"/>
      <c r="AI753" s="127"/>
      <c r="AJ753" s="128"/>
      <c r="AK753" s="128"/>
      <c r="AL753" s="129"/>
    </row>
    <row r="754" spans="1:38" ht="23.25" x14ac:dyDescent="0.25">
      <c r="A754" s="299" t="str">
        <f t="shared" si="64"/>
        <v>17SAM144</v>
      </c>
      <c r="B754" s="298">
        <v>144</v>
      </c>
      <c r="C754" s="299" t="s">
        <v>57</v>
      </c>
      <c r="D754" s="300" t="s">
        <v>170</v>
      </c>
      <c r="E754" s="124" t="s">
        <v>739</v>
      </c>
      <c r="F754" s="124" t="s">
        <v>779</v>
      </c>
      <c r="G754" s="251" t="s">
        <v>1126</v>
      </c>
      <c r="H754" s="34" t="s">
        <v>330</v>
      </c>
      <c r="I754" s="126" t="s">
        <v>1578</v>
      </c>
      <c r="J754" s="34" t="s">
        <v>180</v>
      </c>
      <c r="K754" s="126">
        <v>197.13</v>
      </c>
      <c r="L754" s="126" t="s">
        <v>781</v>
      </c>
      <c r="M754" s="104" t="s">
        <v>782</v>
      </c>
      <c r="N754" s="265">
        <v>42950</v>
      </c>
      <c r="O754" s="260">
        <v>42954</v>
      </c>
      <c r="P754" s="106" t="s">
        <v>183</v>
      </c>
      <c r="Q754" s="107" t="s">
        <v>3009</v>
      </c>
      <c r="R754" s="266">
        <v>1</v>
      </c>
      <c r="S754" s="37">
        <v>0</v>
      </c>
      <c r="T754" s="36" t="str">
        <f t="shared" ca="1" si="66"/>
        <v>Empty</v>
      </c>
      <c r="U754" s="37" t="s">
        <v>2380</v>
      </c>
      <c r="V754" s="37"/>
      <c r="W754" s="38">
        <v>42954</v>
      </c>
      <c r="X754" s="39" t="s">
        <v>728</v>
      </c>
      <c r="Y754" s="116" t="s">
        <v>2377</v>
      </c>
      <c r="Z754" s="40" t="s">
        <v>49</v>
      </c>
      <c r="AA754" s="136">
        <f t="shared" ca="1" si="67"/>
        <v>417</v>
      </c>
      <c r="AB754" s="40"/>
      <c r="AC754" s="116"/>
      <c r="AD754" s="116"/>
      <c r="AE754" s="40"/>
      <c r="AF754" s="136" t="str">
        <f t="shared" ca="1" si="68"/>
        <v/>
      </c>
      <c r="AG754" s="127"/>
      <c r="AH754" s="127"/>
      <c r="AI754" s="127"/>
      <c r="AJ754" s="128"/>
      <c r="AK754" s="128"/>
      <c r="AL754" s="129"/>
    </row>
    <row r="755" spans="1:38" ht="24.75" customHeight="1" x14ac:dyDescent="0.25">
      <c r="A755" s="343" t="str">
        <f t="shared" si="64"/>
        <v>17REF145</v>
      </c>
      <c r="B755" s="342">
        <v>145</v>
      </c>
      <c r="C755" s="343" t="s">
        <v>39</v>
      </c>
      <c r="D755" s="344" t="s">
        <v>744</v>
      </c>
      <c r="E755" s="124" t="s">
        <v>41</v>
      </c>
      <c r="F755" s="124" t="s">
        <v>779</v>
      </c>
      <c r="G755" s="251" t="s">
        <v>1126</v>
      </c>
      <c r="H755" s="34" t="s">
        <v>330</v>
      </c>
      <c r="I755" s="126" t="s">
        <v>1578</v>
      </c>
      <c r="J755" s="34" t="s">
        <v>180</v>
      </c>
      <c r="K755" s="126">
        <v>197.13</v>
      </c>
      <c r="L755" s="126" t="s">
        <v>781</v>
      </c>
      <c r="M755" s="104" t="s">
        <v>782</v>
      </c>
      <c r="N755" s="265">
        <v>42950</v>
      </c>
      <c r="O755" s="260">
        <v>42951</v>
      </c>
      <c r="P755" s="106" t="s">
        <v>183</v>
      </c>
      <c r="Q755" s="107" t="s">
        <v>3009</v>
      </c>
      <c r="R755" s="266">
        <v>1</v>
      </c>
      <c r="S755" s="37">
        <v>0</v>
      </c>
      <c r="T755" s="36" t="str">
        <f t="shared" ca="1" si="66"/>
        <v>Empty</v>
      </c>
      <c r="U755" s="37" t="s">
        <v>2379</v>
      </c>
      <c r="V755" s="37"/>
      <c r="W755" s="38">
        <v>42951</v>
      </c>
      <c r="X755" s="39" t="s">
        <v>2242</v>
      </c>
      <c r="Y755" s="116" t="s">
        <v>2396</v>
      </c>
      <c r="Z755" s="40" t="s">
        <v>49</v>
      </c>
      <c r="AA755" s="136">
        <f t="shared" ca="1" si="67"/>
        <v>420</v>
      </c>
      <c r="AB755" s="40"/>
      <c r="AC755" s="116"/>
      <c r="AD755" s="116"/>
      <c r="AE755" s="40"/>
      <c r="AF755" s="136" t="str">
        <f t="shared" ca="1" si="68"/>
        <v/>
      </c>
      <c r="AG755" s="127"/>
      <c r="AH755" s="127"/>
      <c r="AI755" s="127"/>
      <c r="AJ755" s="128"/>
      <c r="AK755" s="128"/>
      <c r="AL755" s="129"/>
    </row>
    <row r="756" spans="1:38" ht="30" x14ac:dyDescent="0.25">
      <c r="A756" s="299" t="str">
        <f t="shared" si="64"/>
        <v>17SAM146</v>
      </c>
      <c r="B756" s="298">
        <v>146</v>
      </c>
      <c r="C756" s="299" t="s">
        <v>57</v>
      </c>
      <c r="D756" s="300" t="s">
        <v>40</v>
      </c>
      <c r="E756" s="124" t="s">
        <v>2381</v>
      </c>
      <c r="F756" s="124" t="s">
        <v>2403</v>
      </c>
      <c r="G756" s="251" t="s">
        <v>2404</v>
      </c>
      <c r="H756" s="34" t="s">
        <v>112</v>
      </c>
      <c r="I756" s="126" t="s">
        <v>2405</v>
      </c>
      <c r="J756" s="47" t="s">
        <v>45</v>
      </c>
      <c r="K756" s="126">
        <v>438.71</v>
      </c>
      <c r="L756" s="126">
        <v>1248</v>
      </c>
      <c r="M756" s="104" t="s">
        <v>2323</v>
      </c>
      <c r="N756" s="265">
        <v>42954</v>
      </c>
      <c r="O756" s="260">
        <v>43357</v>
      </c>
      <c r="P756" s="106" t="s">
        <v>86</v>
      </c>
      <c r="Q756" s="107" t="s">
        <v>458</v>
      </c>
      <c r="R756" s="267">
        <v>0.999</v>
      </c>
      <c r="S756" s="37">
        <v>0</v>
      </c>
      <c r="T756" s="36" t="str">
        <f t="shared" ca="1" si="66"/>
        <v>Empty</v>
      </c>
      <c r="U756" s="37" t="s">
        <v>2337</v>
      </c>
      <c r="V756" s="37"/>
      <c r="W756" s="38"/>
      <c r="X756" s="39"/>
      <c r="Y756" s="116"/>
      <c r="Z756" s="40"/>
      <c r="AA756" s="136" t="str">
        <f t="shared" ca="1" si="67"/>
        <v/>
      </c>
      <c r="AB756" s="40"/>
      <c r="AC756" s="116"/>
      <c r="AD756" s="116"/>
      <c r="AE756" s="40"/>
      <c r="AF756" s="136" t="str">
        <f t="shared" ca="1" si="68"/>
        <v/>
      </c>
      <c r="AG756" s="127"/>
      <c r="AH756" s="127"/>
      <c r="AI756" s="127"/>
      <c r="AJ756" s="128"/>
      <c r="AK756" s="128"/>
      <c r="AL756" s="129"/>
    </row>
    <row r="757" spans="1:38" ht="23.25" customHeight="1" x14ac:dyDescent="0.25">
      <c r="A757" s="343" t="str">
        <f t="shared" si="64"/>
        <v>17REF147</v>
      </c>
      <c r="B757" s="342">
        <v>147</v>
      </c>
      <c r="C757" s="343" t="s">
        <v>39</v>
      </c>
      <c r="D757" s="344" t="s">
        <v>744</v>
      </c>
      <c r="E757" s="124" t="s">
        <v>41</v>
      </c>
      <c r="F757" s="124" t="s">
        <v>2406</v>
      </c>
      <c r="G757" s="251"/>
      <c r="H757" s="34" t="s">
        <v>43</v>
      </c>
      <c r="I757" s="126" t="s">
        <v>2407</v>
      </c>
      <c r="J757" s="47" t="s">
        <v>45</v>
      </c>
      <c r="K757" s="126" t="s">
        <v>2409</v>
      </c>
      <c r="L757" s="126">
        <v>2106</v>
      </c>
      <c r="M757" s="189" t="s">
        <v>2408</v>
      </c>
      <c r="N757" s="265">
        <v>42947</v>
      </c>
      <c r="O757" s="260"/>
      <c r="P757" s="106" t="s">
        <v>2410</v>
      </c>
      <c r="Q757" s="107" t="s">
        <v>2411</v>
      </c>
      <c r="R757" s="269" t="s">
        <v>61</v>
      </c>
      <c r="S757" s="37"/>
      <c r="T757" s="36" t="str">
        <f t="shared" ca="1" si="66"/>
        <v/>
      </c>
      <c r="U757" s="37"/>
      <c r="V757" s="37"/>
      <c r="W757" s="38"/>
      <c r="X757" s="39"/>
      <c r="Y757" s="116"/>
      <c r="Z757" s="40"/>
      <c r="AA757" s="136" t="str">
        <f t="shared" ca="1" si="67"/>
        <v/>
      </c>
      <c r="AB757" s="40"/>
      <c r="AC757" s="116"/>
      <c r="AD757" s="116"/>
      <c r="AE757" s="40"/>
      <c r="AF757" s="136" t="str">
        <f t="shared" ca="1" si="68"/>
        <v/>
      </c>
      <c r="AG757" s="127"/>
      <c r="AH757" s="127"/>
      <c r="AI757" s="127"/>
      <c r="AJ757" s="128"/>
      <c r="AK757" s="128"/>
      <c r="AL757" s="129"/>
    </row>
    <row r="758" spans="1:38" ht="23.25" customHeight="1" x14ac:dyDescent="0.25">
      <c r="A758" s="343" t="str">
        <f t="shared" si="64"/>
        <v>17REF148</v>
      </c>
      <c r="B758" s="342">
        <v>148</v>
      </c>
      <c r="C758" s="343" t="s">
        <v>39</v>
      </c>
      <c r="D758" s="344" t="s">
        <v>744</v>
      </c>
      <c r="E758" s="124" t="s">
        <v>41</v>
      </c>
      <c r="F758" s="124" t="s">
        <v>2406</v>
      </c>
      <c r="G758" s="251"/>
      <c r="H758" s="34" t="s">
        <v>43</v>
      </c>
      <c r="I758" s="126" t="s">
        <v>2407</v>
      </c>
      <c r="J758" s="47" t="s">
        <v>45</v>
      </c>
      <c r="K758" s="126" t="s">
        <v>2409</v>
      </c>
      <c r="L758" s="126">
        <v>2106</v>
      </c>
      <c r="M758" s="189" t="s">
        <v>2408</v>
      </c>
      <c r="N758" s="265">
        <v>42947</v>
      </c>
      <c r="O758" s="260">
        <v>43027</v>
      </c>
      <c r="P758" s="106" t="s">
        <v>2410</v>
      </c>
      <c r="Q758" s="107" t="s">
        <v>2411</v>
      </c>
      <c r="R758" s="269" t="s">
        <v>61</v>
      </c>
      <c r="S758" s="37">
        <v>0</v>
      </c>
      <c r="T758" s="36" t="str">
        <f t="shared" ca="1" si="66"/>
        <v>Empty</v>
      </c>
      <c r="U758" s="37" t="s">
        <v>2478</v>
      </c>
      <c r="V758" s="37"/>
      <c r="W758" s="38"/>
      <c r="X758" s="39"/>
      <c r="Y758" s="116"/>
      <c r="Z758" s="40"/>
      <c r="AA758" s="136" t="str">
        <f t="shared" ca="1" si="67"/>
        <v/>
      </c>
      <c r="AB758" s="40"/>
      <c r="AC758" s="116"/>
      <c r="AD758" s="116"/>
      <c r="AE758" s="40"/>
      <c r="AF758" s="136" t="str">
        <f t="shared" ca="1" si="68"/>
        <v/>
      </c>
      <c r="AG758" s="127"/>
      <c r="AH758" s="127"/>
      <c r="AI758" s="127"/>
      <c r="AJ758" s="128"/>
      <c r="AK758" s="128"/>
      <c r="AL758" s="129"/>
    </row>
    <row r="759" spans="1:38" ht="23.25" customHeight="1" x14ac:dyDescent="0.25">
      <c r="A759" s="343" t="str">
        <f t="shared" si="64"/>
        <v>17REF149</v>
      </c>
      <c r="B759" s="342">
        <v>149</v>
      </c>
      <c r="C759" s="343" t="s">
        <v>39</v>
      </c>
      <c r="D759" s="344" t="s">
        <v>744</v>
      </c>
      <c r="E759" s="124" t="s">
        <v>41</v>
      </c>
      <c r="F759" s="124" t="s">
        <v>2406</v>
      </c>
      <c r="G759" s="251"/>
      <c r="H759" s="34" t="s">
        <v>43</v>
      </c>
      <c r="I759" s="126" t="s">
        <v>2407</v>
      </c>
      <c r="J759" s="47" t="s">
        <v>45</v>
      </c>
      <c r="K759" s="126" t="s">
        <v>2409</v>
      </c>
      <c r="L759" s="126">
        <v>2106</v>
      </c>
      <c r="M759" s="189" t="s">
        <v>2408</v>
      </c>
      <c r="N759" s="265">
        <v>42947</v>
      </c>
      <c r="O759" s="260"/>
      <c r="P759" s="106" t="s">
        <v>2410</v>
      </c>
      <c r="Q759" s="107" t="s">
        <v>2411</v>
      </c>
      <c r="R759" s="269" t="s">
        <v>61</v>
      </c>
      <c r="S759" s="37"/>
      <c r="T759" s="36" t="str">
        <f t="shared" ca="1" si="66"/>
        <v/>
      </c>
      <c r="U759" s="37"/>
      <c r="V759" s="37"/>
      <c r="W759" s="38"/>
      <c r="X759" s="39"/>
      <c r="Y759" s="116"/>
      <c r="Z759" s="40"/>
      <c r="AA759" s="136" t="str">
        <f t="shared" ca="1" si="67"/>
        <v/>
      </c>
      <c r="AB759" s="40"/>
      <c r="AC759" s="116"/>
      <c r="AD759" s="116"/>
      <c r="AE759" s="40"/>
      <c r="AF759" s="136" t="str">
        <f t="shared" ca="1" si="68"/>
        <v/>
      </c>
      <c r="AG759" s="127"/>
      <c r="AH759" s="127"/>
      <c r="AI759" s="127"/>
      <c r="AJ759" s="128"/>
      <c r="AK759" s="128"/>
      <c r="AL759" s="129"/>
    </row>
    <row r="760" spans="1:38" ht="23.25" customHeight="1" x14ac:dyDescent="0.25">
      <c r="A760" s="343" t="str">
        <f t="shared" si="64"/>
        <v>17REF150</v>
      </c>
      <c r="B760" s="342">
        <v>150</v>
      </c>
      <c r="C760" s="343" t="s">
        <v>39</v>
      </c>
      <c r="D760" s="344" t="s">
        <v>744</v>
      </c>
      <c r="E760" s="124" t="s">
        <v>41</v>
      </c>
      <c r="F760" s="124" t="s">
        <v>2406</v>
      </c>
      <c r="G760" s="251"/>
      <c r="H760" s="34" t="s">
        <v>43</v>
      </c>
      <c r="I760" s="126" t="s">
        <v>2407</v>
      </c>
      <c r="J760" s="47" t="s">
        <v>45</v>
      </c>
      <c r="K760" s="126" t="s">
        <v>2409</v>
      </c>
      <c r="L760" s="126">
        <v>2106</v>
      </c>
      <c r="M760" s="189" t="s">
        <v>2408</v>
      </c>
      <c r="N760" s="265">
        <v>42947</v>
      </c>
      <c r="O760" s="260"/>
      <c r="P760" s="106" t="s">
        <v>2410</v>
      </c>
      <c r="Q760" s="107" t="s">
        <v>2411</v>
      </c>
      <c r="R760" s="269" t="s">
        <v>61</v>
      </c>
      <c r="S760" s="37"/>
      <c r="T760" s="36" t="str">
        <f t="shared" ca="1" si="66"/>
        <v/>
      </c>
      <c r="U760" s="37"/>
      <c r="V760" s="37"/>
      <c r="W760" s="38"/>
      <c r="X760" s="39"/>
      <c r="Y760" s="116"/>
      <c r="Z760" s="40"/>
      <c r="AA760" s="136" t="str">
        <f t="shared" ca="1" si="67"/>
        <v/>
      </c>
      <c r="AB760" s="40"/>
      <c r="AC760" s="116"/>
      <c r="AD760" s="116"/>
      <c r="AE760" s="40"/>
      <c r="AF760" s="136" t="str">
        <f t="shared" ca="1" si="68"/>
        <v/>
      </c>
      <c r="AG760" s="127"/>
      <c r="AH760" s="127"/>
      <c r="AI760" s="127"/>
      <c r="AJ760" s="128"/>
      <c r="AK760" s="128"/>
      <c r="AL760" s="129"/>
    </row>
    <row r="761" spans="1:38" ht="23.25" customHeight="1" x14ac:dyDescent="0.25">
      <c r="A761" s="343" t="str">
        <f t="shared" si="64"/>
        <v>17REF151</v>
      </c>
      <c r="B761" s="342">
        <v>151</v>
      </c>
      <c r="C761" s="343" t="s">
        <v>39</v>
      </c>
      <c r="D761" s="344" t="s">
        <v>744</v>
      </c>
      <c r="E761" s="124" t="s">
        <v>41</v>
      </c>
      <c r="F761" s="124" t="s">
        <v>2406</v>
      </c>
      <c r="G761" s="251"/>
      <c r="H761" s="34" t="s">
        <v>43</v>
      </c>
      <c r="I761" s="126" t="s">
        <v>2407</v>
      </c>
      <c r="J761" s="47" t="s">
        <v>45</v>
      </c>
      <c r="K761" s="126" t="s">
        <v>2409</v>
      </c>
      <c r="L761" s="126">
        <v>2106</v>
      </c>
      <c r="M761" s="189" t="s">
        <v>2408</v>
      </c>
      <c r="N761" s="265">
        <v>42947</v>
      </c>
      <c r="O761" s="260"/>
      <c r="P761" s="106" t="s">
        <v>2410</v>
      </c>
      <c r="Q761" s="107" t="s">
        <v>2411</v>
      </c>
      <c r="R761" s="269" t="s">
        <v>61</v>
      </c>
      <c r="S761" s="37"/>
      <c r="T761" s="36" t="str">
        <f t="shared" ca="1" si="66"/>
        <v/>
      </c>
      <c r="U761" s="37"/>
      <c r="V761" s="37"/>
      <c r="W761" s="38"/>
      <c r="X761" s="39"/>
      <c r="Y761" s="116"/>
      <c r="Z761" s="40"/>
      <c r="AA761" s="136" t="str">
        <f t="shared" ca="1" si="67"/>
        <v/>
      </c>
      <c r="AB761" s="40"/>
      <c r="AC761" s="116"/>
      <c r="AD761" s="116"/>
      <c r="AE761" s="40"/>
      <c r="AF761" s="136" t="str">
        <f t="shared" ca="1" si="68"/>
        <v/>
      </c>
      <c r="AG761" s="127"/>
      <c r="AH761" s="127"/>
      <c r="AI761" s="127"/>
      <c r="AJ761" s="128"/>
      <c r="AK761" s="128"/>
      <c r="AL761" s="129"/>
    </row>
    <row r="762" spans="1:38" ht="23.25" customHeight="1" x14ac:dyDescent="0.25">
      <c r="A762" s="343" t="str">
        <f t="shared" si="64"/>
        <v>17REF152</v>
      </c>
      <c r="B762" s="342">
        <v>152</v>
      </c>
      <c r="C762" s="343" t="s">
        <v>39</v>
      </c>
      <c r="D762" s="344" t="s">
        <v>744</v>
      </c>
      <c r="E762" s="124" t="s">
        <v>41</v>
      </c>
      <c r="F762" s="124" t="s">
        <v>2406</v>
      </c>
      <c r="G762" s="251"/>
      <c r="H762" s="34" t="s">
        <v>43</v>
      </c>
      <c r="I762" s="126" t="s">
        <v>2407</v>
      </c>
      <c r="J762" s="47" t="s">
        <v>45</v>
      </c>
      <c r="K762" s="126" t="s">
        <v>2409</v>
      </c>
      <c r="L762" s="126">
        <v>2106</v>
      </c>
      <c r="M762" s="189" t="s">
        <v>2408</v>
      </c>
      <c r="N762" s="265">
        <v>42947</v>
      </c>
      <c r="O762" s="260"/>
      <c r="P762" s="106" t="s">
        <v>2410</v>
      </c>
      <c r="Q762" s="107" t="s">
        <v>2411</v>
      </c>
      <c r="R762" s="269" t="s">
        <v>61</v>
      </c>
      <c r="S762" s="37"/>
      <c r="T762" s="36" t="str">
        <f t="shared" ca="1" si="66"/>
        <v/>
      </c>
      <c r="U762" s="37"/>
      <c r="V762" s="37"/>
      <c r="W762" s="38"/>
      <c r="X762" s="39"/>
      <c r="Y762" s="116"/>
      <c r="Z762" s="40"/>
      <c r="AA762" s="136" t="str">
        <f t="shared" ca="1" si="67"/>
        <v/>
      </c>
      <c r="AB762" s="40"/>
      <c r="AC762" s="116"/>
      <c r="AD762" s="116"/>
      <c r="AE762" s="40"/>
      <c r="AF762" s="136" t="str">
        <f t="shared" ca="1" si="68"/>
        <v/>
      </c>
      <c r="AG762" s="127"/>
      <c r="AH762" s="127"/>
      <c r="AI762" s="127"/>
      <c r="AJ762" s="128"/>
      <c r="AK762" s="128"/>
      <c r="AL762" s="129"/>
    </row>
    <row r="763" spans="1:38" ht="23.25" customHeight="1" x14ac:dyDescent="0.25">
      <c r="A763" s="343" t="str">
        <f t="shared" si="64"/>
        <v>17REF153</v>
      </c>
      <c r="B763" s="342">
        <v>153</v>
      </c>
      <c r="C763" s="343" t="s">
        <v>39</v>
      </c>
      <c r="D763" s="344" t="s">
        <v>744</v>
      </c>
      <c r="E763" s="124" t="s">
        <v>41</v>
      </c>
      <c r="F763" s="124" t="s">
        <v>2406</v>
      </c>
      <c r="G763" s="251"/>
      <c r="H763" s="34" t="s">
        <v>43</v>
      </c>
      <c r="I763" s="126" t="s">
        <v>2407</v>
      </c>
      <c r="J763" s="47" t="s">
        <v>45</v>
      </c>
      <c r="K763" s="126" t="s">
        <v>2409</v>
      </c>
      <c r="L763" s="126">
        <v>2106</v>
      </c>
      <c r="M763" s="189" t="s">
        <v>2408</v>
      </c>
      <c r="N763" s="265">
        <v>42947</v>
      </c>
      <c r="O763" s="260"/>
      <c r="P763" s="106" t="s">
        <v>2410</v>
      </c>
      <c r="Q763" s="107" t="s">
        <v>2411</v>
      </c>
      <c r="R763" s="269" t="s">
        <v>61</v>
      </c>
      <c r="S763" s="37"/>
      <c r="T763" s="36" t="str">
        <f t="shared" ca="1" si="66"/>
        <v/>
      </c>
      <c r="U763" s="37"/>
      <c r="V763" s="37"/>
      <c r="W763" s="38"/>
      <c r="X763" s="39"/>
      <c r="Y763" s="116"/>
      <c r="Z763" s="40"/>
      <c r="AA763" s="136" t="str">
        <f t="shared" ca="1" si="67"/>
        <v/>
      </c>
      <c r="AB763" s="40"/>
      <c r="AC763" s="116"/>
      <c r="AD763" s="116"/>
      <c r="AE763" s="40"/>
      <c r="AF763" s="136" t="str">
        <f t="shared" ca="1" si="68"/>
        <v/>
      </c>
      <c r="AG763" s="127"/>
      <c r="AH763" s="127"/>
      <c r="AI763" s="127"/>
      <c r="AJ763" s="128"/>
      <c r="AK763" s="128"/>
      <c r="AL763" s="129"/>
    </row>
    <row r="764" spans="1:38" ht="23.25" customHeight="1" x14ac:dyDescent="0.25">
      <c r="A764" s="343" t="str">
        <f t="shared" si="64"/>
        <v>17REF154</v>
      </c>
      <c r="B764" s="342">
        <v>154</v>
      </c>
      <c r="C764" s="343" t="s">
        <v>39</v>
      </c>
      <c r="D764" s="344" t="s">
        <v>744</v>
      </c>
      <c r="E764" s="124" t="s">
        <v>41</v>
      </c>
      <c r="F764" s="124" t="s">
        <v>2406</v>
      </c>
      <c r="G764" s="251"/>
      <c r="H764" s="34" t="s">
        <v>43</v>
      </c>
      <c r="I764" s="126" t="s">
        <v>2407</v>
      </c>
      <c r="J764" s="47" t="s">
        <v>45</v>
      </c>
      <c r="K764" s="126" t="s">
        <v>2409</v>
      </c>
      <c r="L764" s="126">
        <v>2106</v>
      </c>
      <c r="M764" s="189" t="s">
        <v>2408</v>
      </c>
      <c r="N764" s="265">
        <v>42947</v>
      </c>
      <c r="O764" s="260"/>
      <c r="P764" s="106" t="s">
        <v>2410</v>
      </c>
      <c r="Q764" s="107" t="s">
        <v>2411</v>
      </c>
      <c r="R764" s="269" t="s">
        <v>61</v>
      </c>
      <c r="S764" s="37"/>
      <c r="T764" s="36" t="str">
        <f t="shared" ca="1" si="66"/>
        <v/>
      </c>
      <c r="U764" s="37"/>
      <c r="V764" s="37"/>
      <c r="W764" s="38"/>
      <c r="X764" s="39"/>
      <c r="Y764" s="116"/>
      <c r="Z764" s="40"/>
      <c r="AA764" s="136" t="str">
        <f t="shared" ca="1" si="67"/>
        <v/>
      </c>
      <c r="AB764" s="40"/>
      <c r="AC764" s="116"/>
      <c r="AD764" s="116"/>
      <c r="AE764" s="40"/>
      <c r="AF764" s="136" t="str">
        <f t="shared" ca="1" si="68"/>
        <v/>
      </c>
      <c r="AG764" s="127"/>
      <c r="AH764" s="127"/>
      <c r="AI764" s="127"/>
      <c r="AJ764" s="128"/>
      <c r="AK764" s="128"/>
      <c r="AL764" s="129"/>
    </row>
    <row r="765" spans="1:38" ht="23.25" customHeight="1" x14ac:dyDescent="0.25">
      <c r="A765" s="343" t="str">
        <f t="shared" si="64"/>
        <v>17REF155</v>
      </c>
      <c r="B765" s="342">
        <v>155</v>
      </c>
      <c r="C765" s="343" t="s">
        <v>39</v>
      </c>
      <c r="D765" s="344" t="s">
        <v>744</v>
      </c>
      <c r="E765" s="124" t="s">
        <v>41</v>
      </c>
      <c r="F765" s="124" t="s">
        <v>2406</v>
      </c>
      <c r="G765" s="251"/>
      <c r="H765" s="34" t="s">
        <v>43</v>
      </c>
      <c r="I765" s="126" t="s">
        <v>2407</v>
      </c>
      <c r="J765" s="47" t="s">
        <v>45</v>
      </c>
      <c r="K765" s="126" t="s">
        <v>2409</v>
      </c>
      <c r="L765" s="126">
        <v>2106</v>
      </c>
      <c r="M765" s="189" t="s">
        <v>2408</v>
      </c>
      <c r="N765" s="265">
        <v>42947</v>
      </c>
      <c r="O765" s="260"/>
      <c r="P765" s="106" t="s">
        <v>2410</v>
      </c>
      <c r="Q765" s="107" t="s">
        <v>2411</v>
      </c>
      <c r="R765" s="269" t="s">
        <v>61</v>
      </c>
      <c r="S765" s="37"/>
      <c r="T765" s="36" t="str">
        <f t="shared" ca="1" si="66"/>
        <v/>
      </c>
      <c r="U765" s="37"/>
      <c r="V765" s="37"/>
      <c r="W765" s="38"/>
      <c r="X765" s="39"/>
      <c r="Y765" s="116"/>
      <c r="Z765" s="40"/>
      <c r="AA765" s="136" t="str">
        <f t="shared" ca="1" si="67"/>
        <v/>
      </c>
      <c r="AB765" s="40"/>
      <c r="AC765" s="116"/>
      <c r="AD765" s="116"/>
      <c r="AE765" s="40"/>
      <c r="AF765" s="136" t="str">
        <f t="shared" ca="1" si="68"/>
        <v/>
      </c>
      <c r="AG765" s="127"/>
      <c r="AH765" s="127"/>
      <c r="AI765" s="127"/>
      <c r="AJ765" s="128"/>
      <c r="AK765" s="128"/>
      <c r="AL765" s="129"/>
    </row>
    <row r="766" spans="1:38" ht="23.25" customHeight="1" x14ac:dyDescent="0.25">
      <c r="A766" s="343" t="str">
        <f t="shared" si="64"/>
        <v>17REF156</v>
      </c>
      <c r="B766" s="342">
        <v>156</v>
      </c>
      <c r="C766" s="343" t="s">
        <v>39</v>
      </c>
      <c r="D766" s="344" t="s">
        <v>744</v>
      </c>
      <c r="E766" s="124" t="s">
        <v>41</v>
      </c>
      <c r="F766" s="124" t="s">
        <v>2406</v>
      </c>
      <c r="G766" s="251"/>
      <c r="H766" s="34" t="s">
        <v>43</v>
      </c>
      <c r="I766" s="126" t="s">
        <v>2407</v>
      </c>
      <c r="J766" s="47" t="s">
        <v>45</v>
      </c>
      <c r="K766" s="126" t="s">
        <v>2409</v>
      </c>
      <c r="L766" s="126">
        <v>2106</v>
      </c>
      <c r="M766" s="189" t="s">
        <v>2408</v>
      </c>
      <c r="N766" s="265">
        <v>42947</v>
      </c>
      <c r="O766" s="260"/>
      <c r="P766" s="106" t="s">
        <v>2410</v>
      </c>
      <c r="Q766" s="107" t="s">
        <v>2411</v>
      </c>
      <c r="R766" s="269" t="s">
        <v>61</v>
      </c>
      <c r="S766" s="37"/>
      <c r="T766" s="36" t="str">
        <f t="shared" ca="1" si="66"/>
        <v/>
      </c>
      <c r="U766" s="37"/>
      <c r="V766" s="37"/>
      <c r="W766" s="38"/>
      <c r="X766" s="39"/>
      <c r="Y766" s="116"/>
      <c r="Z766" s="40"/>
      <c r="AA766" s="136" t="str">
        <f t="shared" ca="1" si="67"/>
        <v/>
      </c>
      <c r="AB766" s="40"/>
      <c r="AC766" s="116"/>
      <c r="AD766" s="116"/>
      <c r="AE766" s="40"/>
      <c r="AF766" s="136" t="str">
        <f t="shared" ca="1" si="68"/>
        <v/>
      </c>
      <c r="AG766" s="127"/>
      <c r="AH766" s="127"/>
      <c r="AI766" s="127"/>
      <c r="AJ766" s="128"/>
      <c r="AK766" s="128"/>
      <c r="AL766" s="129"/>
    </row>
    <row r="767" spans="1:38" ht="23.25" x14ac:dyDescent="0.25">
      <c r="A767" s="343" t="str">
        <f t="shared" si="64"/>
        <v>17REF157</v>
      </c>
      <c r="B767" s="342">
        <v>157</v>
      </c>
      <c r="C767" s="343" t="s">
        <v>39</v>
      </c>
      <c r="D767" s="344" t="s">
        <v>40</v>
      </c>
      <c r="E767" s="124" t="s">
        <v>41</v>
      </c>
      <c r="F767" s="124" t="s">
        <v>779</v>
      </c>
      <c r="G767" s="251" t="s">
        <v>1126</v>
      </c>
      <c r="H767" s="34" t="s">
        <v>330</v>
      </c>
      <c r="I767" s="126" t="s">
        <v>1578</v>
      </c>
      <c r="J767" s="47" t="s">
        <v>180</v>
      </c>
      <c r="K767" s="126">
        <v>197.13</v>
      </c>
      <c r="L767" s="126" t="s">
        <v>781</v>
      </c>
      <c r="M767" s="104" t="s">
        <v>782</v>
      </c>
      <c r="N767" s="265">
        <v>42955</v>
      </c>
      <c r="O767" s="260">
        <v>43059</v>
      </c>
      <c r="P767" s="106" t="s">
        <v>183</v>
      </c>
      <c r="Q767" s="107" t="s">
        <v>3009</v>
      </c>
      <c r="R767" s="266">
        <v>1</v>
      </c>
      <c r="S767" s="37">
        <v>0</v>
      </c>
      <c r="T767" s="36" t="str">
        <f t="shared" ca="1" si="66"/>
        <v>Empty</v>
      </c>
      <c r="U767" s="37" t="s">
        <v>2582</v>
      </c>
      <c r="V767" s="37"/>
      <c r="W767" s="38">
        <v>43059</v>
      </c>
      <c r="X767" s="39" t="s">
        <v>699</v>
      </c>
      <c r="Y767" s="116" t="s">
        <v>2310</v>
      </c>
      <c r="Z767" s="40" t="s">
        <v>49</v>
      </c>
      <c r="AA767" s="136">
        <f t="shared" ca="1" si="67"/>
        <v>314</v>
      </c>
      <c r="AB767" s="40"/>
      <c r="AC767" s="116"/>
      <c r="AD767" s="116"/>
      <c r="AE767" s="40"/>
      <c r="AF767" s="136" t="str">
        <f t="shared" ca="1" si="68"/>
        <v/>
      </c>
      <c r="AG767" s="127"/>
      <c r="AH767" s="127"/>
      <c r="AI767" s="127"/>
      <c r="AJ767" s="128"/>
      <c r="AK767" s="128"/>
      <c r="AL767" s="129"/>
    </row>
    <row r="768" spans="1:38" ht="23.25" customHeight="1" x14ac:dyDescent="0.25">
      <c r="A768" s="343" t="str">
        <f t="shared" si="64"/>
        <v>17REF158</v>
      </c>
      <c r="B768" s="342">
        <v>158</v>
      </c>
      <c r="C768" s="343" t="s">
        <v>39</v>
      </c>
      <c r="D768" s="344" t="s">
        <v>744</v>
      </c>
      <c r="E768" s="124" t="s">
        <v>41</v>
      </c>
      <c r="F768" s="124" t="s">
        <v>779</v>
      </c>
      <c r="G768" s="251" t="s">
        <v>1126</v>
      </c>
      <c r="H768" s="34" t="s">
        <v>330</v>
      </c>
      <c r="I768" s="126" t="s">
        <v>1578</v>
      </c>
      <c r="J768" s="47" t="s">
        <v>180</v>
      </c>
      <c r="K768" s="126">
        <v>197.13</v>
      </c>
      <c r="L768" s="126" t="s">
        <v>781</v>
      </c>
      <c r="M768" s="104" t="s">
        <v>782</v>
      </c>
      <c r="N768" s="265">
        <v>42955</v>
      </c>
      <c r="O768" s="260">
        <v>42990</v>
      </c>
      <c r="P768" s="106" t="s">
        <v>183</v>
      </c>
      <c r="Q768" s="107" t="s">
        <v>3009</v>
      </c>
      <c r="R768" s="266">
        <v>1</v>
      </c>
      <c r="S768" s="37">
        <v>0</v>
      </c>
      <c r="T768" s="36" t="str">
        <f t="shared" ca="1" si="66"/>
        <v>Empty</v>
      </c>
      <c r="U768" s="37"/>
      <c r="V768" s="37"/>
      <c r="W768" s="38"/>
      <c r="X768" s="39"/>
      <c r="Y768" s="116"/>
      <c r="Z768" s="40"/>
      <c r="AA768" s="136" t="str">
        <f t="shared" ca="1" si="67"/>
        <v/>
      </c>
      <c r="AB768" s="40"/>
      <c r="AC768" s="116"/>
      <c r="AD768" s="116"/>
      <c r="AE768" s="40"/>
      <c r="AF768" s="136" t="str">
        <f t="shared" ca="1" si="68"/>
        <v/>
      </c>
      <c r="AG768" s="127"/>
      <c r="AH768" s="127"/>
      <c r="AI768" s="127"/>
      <c r="AJ768" s="128"/>
      <c r="AK768" s="128"/>
      <c r="AL768" s="129"/>
    </row>
    <row r="769" spans="1:38" ht="23.25" x14ac:dyDescent="0.25">
      <c r="A769" s="299" t="str">
        <f t="shared" si="64"/>
        <v>17SAM159</v>
      </c>
      <c r="B769" s="298">
        <v>159</v>
      </c>
      <c r="C769" s="299" t="s">
        <v>57</v>
      </c>
      <c r="D769" s="300" t="s">
        <v>40</v>
      </c>
      <c r="E769" s="124" t="s">
        <v>2414</v>
      </c>
      <c r="F769" s="124" t="s">
        <v>2415</v>
      </c>
      <c r="G769" s="251"/>
      <c r="H769" s="34"/>
      <c r="I769" s="126" t="s">
        <v>2416</v>
      </c>
      <c r="J769" s="47" t="s">
        <v>180</v>
      </c>
      <c r="K769" s="126">
        <v>242.7</v>
      </c>
      <c r="L769" s="126"/>
      <c r="M769" s="104"/>
      <c r="N769" s="265">
        <v>42964</v>
      </c>
      <c r="O769" s="260">
        <v>42979</v>
      </c>
      <c r="P769" s="380" t="s">
        <v>139</v>
      </c>
      <c r="Q769" s="107" t="s">
        <v>2417</v>
      </c>
      <c r="R769" s="267">
        <v>0.98599999999999999</v>
      </c>
      <c r="S769" s="37">
        <f>50-10.59-10.4-14.11-5.32-4.56</f>
        <v>5.0199999999999987</v>
      </c>
      <c r="T769" s="36">
        <f t="shared" ca="1" si="66"/>
        <v>393</v>
      </c>
      <c r="U769" s="37" t="s">
        <v>2418</v>
      </c>
      <c r="V769" s="242" t="s">
        <v>2451</v>
      </c>
      <c r="W769" s="38"/>
      <c r="X769" s="39"/>
      <c r="Y769" s="116"/>
      <c r="Z769" s="40"/>
      <c r="AA769" s="136" t="str">
        <f t="shared" ca="1" si="67"/>
        <v/>
      </c>
      <c r="AB769" s="40"/>
      <c r="AC769" s="116"/>
      <c r="AD769" s="116"/>
      <c r="AE769" s="40"/>
      <c r="AF769" s="136" t="str">
        <f t="shared" ca="1" si="68"/>
        <v/>
      </c>
      <c r="AG769" s="127"/>
      <c r="AH769" s="127"/>
      <c r="AI769" s="127"/>
      <c r="AJ769" s="128"/>
      <c r="AK769" s="128"/>
      <c r="AL769" s="129"/>
    </row>
    <row r="770" spans="1:38" ht="23.25" x14ac:dyDescent="0.25">
      <c r="A770" s="299" t="str">
        <f t="shared" si="64"/>
        <v>17SAM160</v>
      </c>
      <c r="B770" s="298">
        <v>160</v>
      </c>
      <c r="C770" s="299" t="s">
        <v>57</v>
      </c>
      <c r="D770" s="300" t="s">
        <v>40</v>
      </c>
      <c r="E770" s="124" t="s">
        <v>2414</v>
      </c>
      <c r="F770" s="124" t="s">
        <v>2419</v>
      </c>
      <c r="G770" s="251"/>
      <c r="H770" s="34" t="s">
        <v>43</v>
      </c>
      <c r="I770" s="126" t="s">
        <v>2421</v>
      </c>
      <c r="J770" s="47" t="s">
        <v>45</v>
      </c>
      <c r="K770" s="126">
        <v>137.99</v>
      </c>
      <c r="L770" s="126">
        <v>71507</v>
      </c>
      <c r="M770" s="104" t="s">
        <v>2423</v>
      </c>
      <c r="N770" s="265">
        <v>42968</v>
      </c>
      <c r="O770" s="260">
        <v>42979</v>
      </c>
      <c r="P770" s="106" t="s">
        <v>1875</v>
      </c>
      <c r="Q770" s="107" t="s">
        <v>1365</v>
      </c>
      <c r="R770" s="266">
        <v>1</v>
      </c>
      <c r="S770" s="37">
        <f>250000-1380-1380-1380</f>
        <v>245860</v>
      </c>
      <c r="T770" s="36">
        <f t="shared" ca="1" si="66"/>
        <v>393</v>
      </c>
      <c r="U770" s="37" t="s">
        <v>2418</v>
      </c>
      <c r="V770" s="37"/>
      <c r="W770" s="38"/>
      <c r="X770" s="39"/>
      <c r="Y770" s="116"/>
      <c r="Z770" s="40"/>
      <c r="AA770" s="136" t="str">
        <f t="shared" ca="1" si="67"/>
        <v/>
      </c>
      <c r="AB770" s="40"/>
      <c r="AC770" s="116"/>
      <c r="AD770" s="116"/>
      <c r="AE770" s="40"/>
      <c r="AF770" s="136" t="str">
        <f t="shared" ca="1" si="68"/>
        <v/>
      </c>
      <c r="AG770" s="127"/>
      <c r="AH770" s="127"/>
      <c r="AI770" s="127"/>
      <c r="AJ770" s="128"/>
      <c r="AK770" s="128"/>
      <c r="AL770" s="129"/>
    </row>
    <row r="771" spans="1:38" ht="23.25" x14ac:dyDescent="0.25">
      <c r="A771" s="299" t="str">
        <f t="shared" si="64"/>
        <v>17SAM161</v>
      </c>
      <c r="B771" s="298">
        <v>161</v>
      </c>
      <c r="C771" s="299" t="s">
        <v>57</v>
      </c>
      <c r="D771" s="300" t="s">
        <v>40</v>
      </c>
      <c r="E771" s="124" t="s">
        <v>2414</v>
      </c>
      <c r="F771" s="124" t="s">
        <v>2420</v>
      </c>
      <c r="G771" s="251"/>
      <c r="H771" s="34" t="s">
        <v>43</v>
      </c>
      <c r="I771" s="126" t="s">
        <v>2422</v>
      </c>
      <c r="J771" s="47" t="s">
        <v>45</v>
      </c>
      <c r="K771" s="126">
        <v>141.96</v>
      </c>
      <c r="L771" s="126" t="s">
        <v>2424</v>
      </c>
      <c r="M771" s="104" t="s">
        <v>2425</v>
      </c>
      <c r="N771" s="265">
        <v>42968</v>
      </c>
      <c r="O771" s="260">
        <v>42979</v>
      </c>
      <c r="P771" s="106" t="s">
        <v>1875</v>
      </c>
      <c r="Q771" s="107" t="s">
        <v>2426</v>
      </c>
      <c r="R771" s="267">
        <v>0.99299999999999999</v>
      </c>
      <c r="S771" s="37">
        <f>25000-2840-2840-2840</f>
        <v>16480</v>
      </c>
      <c r="T771" s="36">
        <f t="shared" ca="1" si="66"/>
        <v>393</v>
      </c>
      <c r="U771" s="37" t="s">
        <v>2418</v>
      </c>
      <c r="V771" s="37"/>
      <c r="W771" s="38"/>
      <c r="X771" s="39"/>
      <c r="Y771" s="116"/>
      <c r="Z771" s="40"/>
      <c r="AA771" s="136" t="str">
        <f t="shared" ca="1" si="67"/>
        <v/>
      </c>
      <c r="AB771" s="40"/>
      <c r="AC771" s="116"/>
      <c r="AD771" s="116"/>
      <c r="AE771" s="40"/>
      <c r="AF771" s="136" t="str">
        <f t="shared" ca="1" si="68"/>
        <v/>
      </c>
      <c r="AG771" s="127"/>
      <c r="AH771" s="127"/>
      <c r="AI771" s="127"/>
      <c r="AJ771" s="128"/>
      <c r="AK771" s="128"/>
      <c r="AL771" s="129"/>
    </row>
    <row r="772" spans="1:38" ht="26.25" customHeight="1" x14ac:dyDescent="0.25">
      <c r="A772" s="343" t="str">
        <f t="shared" si="64"/>
        <v>17REF162</v>
      </c>
      <c r="B772" s="342">
        <v>162</v>
      </c>
      <c r="C772" s="343" t="s">
        <v>39</v>
      </c>
      <c r="D772" s="344" t="s">
        <v>744</v>
      </c>
      <c r="E772" s="124" t="s">
        <v>41</v>
      </c>
      <c r="F772" s="124" t="s">
        <v>3188</v>
      </c>
      <c r="G772" s="251" t="s">
        <v>2201</v>
      </c>
      <c r="H772" s="34" t="s">
        <v>43</v>
      </c>
      <c r="I772" s="126" t="s">
        <v>807</v>
      </c>
      <c r="J772" s="47" t="s">
        <v>180</v>
      </c>
      <c r="K772" s="126">
        <v>509.29</v>
      </c>
      <c r="L772" s="126">
        <v>14343</v>
      </c>
      <c r="M772" s="104" t="s">
        <v>808</v>
      </c>
      <c r="N772" s="265">
        <v>42968</v>
      </c>
      <c r="O772" s="260">
        <v>42990</v>
      </c>
      <c r="P772" s="106" t="s">
        <v>183</v>
      </c>
      <c r="Q772" s="107" t="s">
        <v>2307</v>
      </c>
      <c r="R772" s="267">
        <v>0.95599999999999996</v>
      </c>
      <c r="S772" s="37">
        <v>0</v>
      </c>
      <c r="T772" s="36" t="str">
        <f t="shared" ca="1" si="66"/>
        <v>Empty</v>
      </c>
      <c r="U772" s="37" t="s">
        <v>2454</v>
      </c>
      <c r="V772" s="37"/>
      <c r="W772" s="38">
        <v>42990</v>
      </c>
      <c r="X772" s="39" t="s">
        <v>722</v>
      </c>
      <c r="Y772" s="116" t="s">
        <v>2001</v>
      </c>
      <c r="Z772" s="40"/>
      <c r="AA772" s="136">
        <f t="shared" ca="1" si="67"/>
        <v>382</v>
      </c>
      <c r="AB772" s="40"/>
      <c r="AC772" s="116"/>
      <c r="AD772" s="116"/>
      <c r="AE772" s="40"/>
      <c r="AF772" s="136" t="str">
        <f t="shared" ca="1" si="68"/>
        <v/>
      </c>
      <c r="AG772" s="127"/>
      <c r="AH772" s="127"/>
      <c r="AI772" s="127"/>
      <c r="AJ772" s="128"/>
      <c r="AK772" s="128"/>
      <c r="AL772" s="129"/>
    </row>
    <row r="773" spans="1:38" ht="26.25" customHeight="1" x14ac:dyDescent="0.25">
      <c r="A773" s="343" t="str">
        <f t="shared" si="64"/>
        <v>17REF163</v>
      </c>
      <c r="B773" s="342">
        <v>163</v>
      </c>
      <c r="C773" s="343" t="s">
        <v>39</v>
      </c>
      <c r="D773" s="344" t="s">
        <v>744</v>
      </c>
      <c r="E773" s="124" t="s">
        <v>41</v>
      </c>
      <c r="F773" s="124" t="s">
        <v>3188</v>
      </c>
      <c r="G773" s="251" t="s">
        <v>2201</v>
      </c>
      <c r="H773" s="34" t="s">
        <v>43</v>
      </c>
      <c r="I773" s="126" t="s">
        <v>807</v>
      </c>
      <c r="J773" s="47" t="s">
        <v>180</v>
      </c>
      <c r="K773" s="126">
        <v>509.29</v>
      </c>
      <c r="L773" s="126">
        <v>14343</v>
      </c>
      <c r="M773" s="104" t="s">
        <v>808</v>
      </c>
      <c r="N773" s="265">
        <v>42968</v>
      </c>
      <c r="O773" s="260">
        <v>43010</v>
      </c>
      <c r="P773" s="106" t="s">
        <v>183</v>
      </c>
      <c r="Q773" s="107" t="s">
        <v>2307</v>
      </c>
      <c r="R773" s="244" t="s">
        <v>2427</v>
      </c>
      <c r="S773" s="37">
        <v>0</v>
      </c>
      <c r="T773" s="36" t="str">
        <f t="shared" ca="1" si="66"/>
        <v>Empty</v>
      </c>
      <c r="U773" s="37"/>
      <c r="V773" s="37"/>
      <c r="W773" s="38"/>
      <c r="X773" s="39"/>
      <c r="Y773" s="116"/>
      <c r="Z773" s="40"/>
      <c r="AA773" s="136" t="str">
        <f t="shared" ca="1" si="67"/>
        <v/>
      </c>
      <c r="AB773" s="40"/>
      <c r="AC773" s="116"/>
      <c r="AD773" s="116"/>
      <c r="AE773" s="40"/>
      <c r="AF773" s="136" t="str">
        <f t="shared" ca="1" si="68"/>
        <v/>
      </c>
      <c r="AG773" s="127"/>
      <c r="AH773" s="127"/>
      <c r="AI773" s="127"/>
      <c r="AJ773" s="128"/>
      <c r="AK773" s="128"/>
      <c r="AL773" s="129"/>
    </row>
    <row r="774" spans="1:38" ht="23.25" x14ac:dyDescent="0.25">
      <c r="A774" s="299" t="str">
        <f t="shared" si="64"/>
        <v>17SAM164</v>
      </c>
      <c r="B774" s="298">
        <v>164</v>
      </c>
      <c r="C774" s="299" t="s">
        <v>57</v>
      </c>
      <c r="D774" s="300" t="s">
        <v>40</v>
      </c>
      <c r="E774" s="124" t="s">
        <v>1373</v>
      </c>
      <c r="F774" s="124" t="s">
        <v>2279</v>
      </c>
      <c r="G774" s="251"/>
      <c r="H774" s="34"/>
      <c r="I774" s="126" t="s">
        <v>2428</v>
      </c>
      <c r="J774" s="47" t="s">
        <v>105</v>
      </c>
      <c r="K774" s="126">
        <v>491.68</v>
      </c>
      <c r="L774" s="126"/>
      <c r="M774" s="104"/>
      <c r="N774" s="265">
        <v>42969</v>
      </c>
      <c r="O774" s="260">
        <v>42975</v>
      </c>
      <c r="P774" s="106" t="s">
        <v>2429</v>
      </c>
      <c r="Q774" s="107" t="s">
        <v>1056</v>
      </c>
      <c r="R774" s="267">
        <v>0.98599999999999999</v>
      </c>
      <c r="S774" s="37">
        <v>0</v>
      </c>
      <c r="T774" s="36" t="str">
        <f t="shared" ca="1" si="66"/>
        <v>Empty</v>
      </c>
      <c r="U774" s="37" t="s">
        <v>2435</v>
      </c>
      <c r="V774" s="37"/>
      <c r="W774" s="38"/>
      <c r="X774" s="39"/>
      <c r="Y774" s="116"/>
      <c r="Z774" s="40"/>
      <c r="AA774" s="136" t="str">
        <f ca="1">IF(W774="","",IF(W774,DAYS360(W774,TODAY())))</f>
        <v/>
      </c>
      <c r="AB774" s="40"/>
      <c r="AC774" s="116"/>
      <c r="AD774" s="116"/>
      <c r="AE774" s="40"/>
      <c r="AF774" s="136" t="str">
        <f t="shared" ca="1" si="68"/>
        <v/>
      </c>
      <c r="AG774" s="127"/>
      <c r="AH774" s="127"/>
      <c r="AI774" s="127"/>
      <c r="AJ774" s="128"/>
      <c r="AK774" s="128"/>
      <c r="AL774" s="129"/>
    </row>
    <row r="775" spans="1:38" ht="29.25" customHeight="1" x14ac:dyDescent="0.25">
      <c r="A775" s="343" t="str">
        <f t="shared" ref="A775:A838" si="69">IF(C775="","",CONCATENATE(17,MID(C775,1,3),B775))</f>
        <v>17REF165</v>
      </c>
      <c r="B775" s="342">
        <v>165</v>
      </c>
      <c r="C775" s="343" t="s">
        <v>39</v>
      </c>
      <c r="D775" s="344" t="s">
        <v>744</v>
      </c>
      <c r="E775" s="124" t="s">
        <v>41</v>
      </c>
      <c r="F775" s="124" t="s">
        <v>860</v>
      </c>
      <c r="G775" s="251" t="s">
        <v>802</v>
      </c>
      <c r="H775" s="34" t="s">
        <v>330</v>
      </c>
      <c r="I775" s="126" t="s">
        <v>861</v>
      </c>
      <c r="J775" s="47" t="s">
        <v>180</v>
      </c>
      <c r="K775" s="126">
        <v>340.78</v>
      </c>
      <c r="L775" s="126" t="s">
        <v>862</v>
      </c>
      <c r="M775" s="104" t="s">
        <v>863</v>
      </c>
      <c r="N775" s="265">
        <v>42970</v>
      </c>
      <c r="O775" s="260">
        <v>42970</v>
      </c>
      <c r="P775" s="106" t="s">
        <v>183</v>
      </c>
      <c r="Q775" s="107" t="s">
        <v>2920</v>
      </c>
      <c r="R775" s="266">
        <v>0.99</v>
      </c>
      <c r="S775" s="37">
        <v>0</v>
      </c>
      <c r="T775" s="36" t="str">
        <f t="shared" ca="1" si="66"/>
        <v>Empty</v>
      </c>
      <c r="U775" s="37" t="s">
        <v>2379</v>
      </c>
      <c r="V775" s="37"/>
      <c r="W775" s="38">
        <v>42970</v>
      </c>
      <c r="X775" s="39" t="s">
        <v>722</v>
      </c>
      <c r="Y775" s="116" t="s">
        <v>2090</v>
      </c>
      <c r="Z775" s="40" t="s">
        <v>212</v>
      </c>
      <c r="AA775" s="136">
        <f t="shared" ca="1" si="67"/>
        <v>401</v>
      </c>
      <c r="AB775" s="40"/>
      <c r="AC775" s="116"/>
      <c r="AD775" s="116"/>
      <c r="AE775" s="40"/>
      <c r="AF775" s="136" t="str">
        <f t="shared" ca="1" si="68"/>
        <v/>
      </c>
      <c r="AG775" s="127"/>
      <c r="AH775" s="127"/>
      <c r="AI775" s="127"/>
      <c r="AJ775" s="128"/>
      <c r="AK775" s="128"/>
      <c r="AL775" s="129"/>
    </row>
    <row r="776" spans="1:38" ht="30.75" customHeight="1" x14ac:dyDescent="0.25">
      <c r="A776" s="343" t="str">
        <f t="shared" si="69"/>
        <v>17REF166</v>
      </c>
      <c r="B776" s="342">
        <v>166</v>
      </c>
      <c r="C776" s="343" t="s">
        <v>39</v>
      </c>
      <c r="D776" s="344" t="s">
        <v>744</v>
      </c>
      <c r="E776" s="124" t="s">
        <v>41</v>
      </c>
      <c r="F776" s="124" t="s">
        <v>860</v>
      </c>
      <c r="G776" s="251" t="s">
        <v>802</v>
      </c>
      <c r="H776" s="34" t="s">
        <v>330</v>
      </c>
      <c r="I776" s="126" t="s">
        <v>861</v>
      </c>
      <c r="J776" s="47" t="s">
        <v>180</v>
      </c>
      <c r="K776" s="126">
        <v>340.78</v>
      </c>
      <c r="L776" s="126" t="s">
        <v>862</v>
      </c>
      <c r="M776" s="104" t="s">
        <v>863</v>
      </c>
      <c r="N776" s="265">
        <v>42970</v>
      </c>
      <c r="O776" s="260">
        <v>42986</v>
      </c>
      <c r="P776" s="106" t="s">
        <v>183</v>
      </c>
      <c r="Q776" s="107" t="s">
        <v>2920</v>
      </c>
      <c r="R776" s="266">
        <v>0.99</v>
      </c>
      <c r="S776" s="37">
        <v>0</v>
      </c>
      <c r="T776" s="36" t="str">
        <f t="shared" ca="1" si="66"/>
        <v>Empty</v>
      </c>
      <c r="U776" s="37" t="s">
        <v>2229</v>
      </c>
      <c r="V776" s="37"/>
      <c r="W776" s="38">
        <v>43088</v>
      </c>
      <c r="X776" s="39" t="s">
        <v>248</v>
      </c>
      <c r="Y776" s="116" t="s">
        <v>2647</v>
      </c>
      <c r="Z776" s="40" t="s">
        <v>212</v>
      </c>
      <c r="AA776" s="136">
        <f t="shared" ca="1" si="67"/>
        <v>285</v>
      </c>
      <c r="AB776" s="40"/>
      <c r="AC776" s="116"/>
      <c r="AD776" s="116"/>
      <c r="AE776" s="40"/>
      <c r="AF776" s="136" t="str">
        <f t="shared" ca="1" si="68"/>
        <v/>
      </c>
      <c r="AG776" s="127"/>
      <c r="AH776" s="127"/>
      <c r="AI776" s="127"/>
      <c r="AJ776" s="128"/>
      <c r="AK776" s="128"/>
      <c r="AL776" s="129"/>
    </row>
    <row r="777" spans="1:38" ht="27" customHeight="1" x14ac:dyDescent="0.25">
      <c r="A777" s="343" t="str">
        <f t="shared" si="69"/>
        <v>17REF167</v>
      </c>
      <c r="B777" s="342">
        <v>167</v>
      </c>
      <c r="C777" s="343" t="s">
        <v>39</v>
      </c>
      <c r="D777" s="344" t="s">
        <v>744</v>
      </c>
      <c r="E777" s="124" t="s">
        <v>41</v>
      </c>
      <c r="F777" s="124" t="s">
        <v>779</v>
      </c>
      <c r="G777" s="251" t="s">
        <v>1126</v>
      </c>
      <c r="H777" s="34" t="s">
        <v>112</v>
      </c>
      <c r="I777" s="126" t="s">
        <v>2436</v>
      </c>
      <c r="J777" s="47" t="s">
        <v>45</v>
      </c>
      <c r="K777" s="126">
        <v>197.13</v>
      </c>
      <c r="L777" s="126">
        <v>106</v>
      </c>
      <c r="M777" s="104" t="s">
        <v>782</v>
      </c>
      <c r="N777" s="265">
        <v>42978</v>
      </c>
      <c r="O777" s="260">
        <v>43087</v>
      </c>
      <c r="P777" s="106" t="s">
        <v>124</v>
      </c>
      <c r="Q777" s="107" t="s">
        <v>3009</v>
      </c>
      <c r="R777" s="266">
        <v>1</v>
      </c>
      <c r="S777" s="37">
        <f>100-7.62-12.66-42</f>
        <v>37.72</v>
      </c>
      <c r="T777" s="36">
        <f t="shared" ca="1" si="66"/>
        <v>286</v>
      </c>
      <c r="U777" s="37"/>
      <c r="V777" s="37"/>
      <c r="W777" s="38"/>
      <c r="X777" s="39"/>
      <c r="Y777" s="116"/>
      <c r="Z777" s="40"/>
      <c r="AA777" s="136" t="str">
        <f t="shared" ca="1" si="67"/>
        <v/>
      </c>
      <c r="AB777" s="40"/>
      <c r="AC777" s="116"/>
      <c r="AD777" s="116"/>
      <c r="AE777" s="40"/>
      <c r="AF777" s="136" t="str">
        <f t="shared" ca="1" si="68"/>
        <v/>
      </c>
      <c r="AG777" s="127"/>
      <c r="AH777" s="127"/>
      <c r="AI777" s="127"/>
      <c r="AJ777" s="128"/>
      <c r="AK777" s="128"/>
      <c r="AL777" s="129"/>
    </row>
    <row r="778" spans="1:38" ht="21.75" customHeight="1" x14ac:dyDescent="0.25">
      <c r="A778" s="343" t="str">
        <f t="shared" si="69"/>
        <v>17REF168</v>
      </c>
      <c r="B778" s="342">
        <v>168</v>
      </c>
      <c r="C778" s="343" t="s">
        <v>39</v>
      </c>
      <c r="D778" s="344" t="s">
        <v>744</v>
      </c>
      <c r="E778" s="124" t="s">
        <v>41</v>
      </c>
      <c r="F778" s="124" t="s">
        <v>779</v>
      </c>
      <c r="G778" s="251" t="s">
        <v>1126</v>
      </c>
      <c r="H778" s="34" t="s">
        <v>112</v>
      </c>
      <c r="I778" s="126" t="s">
        <v>2437</v>
      </c>
      <c r="J778" s="47" t="s">
        <v>45</v>
      </c>
      <c r="K778" s="126">
        <v>197.13</v>
      </c>
      <c r="L778" s="126">
        <v>106</v>
      </c>
      <c r="M778" s="104" t="s">
        <v>782</v>
      </c>
      <c r="N778" s="265">
        <v>42978</v>
      </c>
      <c r="O778" s="260">
        <v>42998</v>
      </c>
      <c r="P778" s="106" t="s">
        <v>183</v>
      </c>
      <c r="Q778" s="107" t="s">
        <v>3009</v>
      </c>
      <c r="R778" s="266">
        <v>1</v>
      </c>
      <c r="S778" s="37">
        <v>0</v>
      </c>
      <c r="T778" s="36" t="str">
        <f t="shared" ca="1" si="66"/>
        <v>Empty</v>
      </c>
      <c r="U778" s="37"/>
      <c r="V778" s="37"/>
      <c r="W778" s="38"/>
      <c r="X778" s="39"/>
      <c r="Y778" s="116"/>
      <c r="Z778" s="40"/>
      <c r="AA778" s="136" t="str">
        <f t="shared" ca="1" si="67"/>
        <v/>
      </c>
      <c r="AB778" s="40"/>
      <c r="AC778" s="116"/>
      <c r="AD778" s="116"/>
      <c r="AE778" s="40"/>
      <c r="AF778" s="136" t="str">
        <f t="shared" ca="1" si="68"/>
        <v/>
      </c>
      <c r="AG778" s="127"/>
      <c r="AH778" s="127"/>
      <c r="AI778" s="127"/>
      <c r="AJ778" s="128"/>
      <c r="AK778" s="128"/>
      <c r="AL778" s="129"/>
    </row>
    <row r="779" spans="1:38" ht="31.5" customHeight="1" x14ac:dyDescent="0.25">
      <c r="A779" s="343" t="str">
        <f t="shared" si="69"/>
        <v>17REF169</v>
      </c>
      <c r="B779" s="342">
        <v>169</v>
      </c>
      <c r="C779" s="343" t="s">
        <v>39</v>
      </c>
      <c r="D779" s="344" t="s">
        <v>744</v>
      </c>
      <c r="E779" s="124" t="s">
        <v>41</v>
      </c>
      <c r="F779" s="124" t="s">
        <v>2043</v>
      </c>
      <c r="G779" s="251" t="s">
        <v>2044</v>
      </c>
      <c r="H779" s="34" t="s">
        <v>112</v>
      </c>
      <c r="I779" s="126" t="s">
        <v>2438</v>
      </c>
      <c r="J779" s="47" t="s">
        <v>45</v>
      </c>
      <c r="K779" s="126">
        <v>201.12</v>
      </c>
      <c r="L779" s="126">
        <v>103</v>
      </c>
      <c r="M779" s="104" t="s">
        <v>2047</v>
      </c>
      <c r="N779" s="265">
        <v>42978</v>
      </c>
      <c r="O779" s="260">
        <v>42978</v>
      </c>
      <c r="P779" s="106" t="s">
        <v>183</v>
      </c>
      <c r="Q779" s="107" t="s">
        <v>2441</v>
      </c>
      <c r="R779" s="267">
        <v>0.99399999999999999</v>
      </c>
      <c r="S779" s="37">
        <v>0</v>
      </c>
      <c r="T779" s="36" t="str">
        <f t="shared" ca="1" si="66"/>
        <v>Empty</v>
      </c>
      <c r="U779" s="37" t="s">
        <v>2442</v>
      </c>
      <c r="V779" s="37"/>
      <c r="W779" s="38">
        <v>42978</v>
      </c>
      <c r="X779" s="39" t="s">
        <v>728</v>
      </c>
      <c r="Y779" s="116" t="s">
        <v>1532</v>
      </c>
      <c r="Z779" s="40" t="s">
        <v>1947</v>
      </c>
      <c r="AA779" s="136">
        <f t="shared" ca="1" si="67"/>
        <v>394</v>
      </c>
      <c r="AB779" s="40"/>
      <c r="AC779" s="116"/>
      <c r="AD779" s="116"/>
      <c r="AE779" s="40"/>
      <c r="AF779" s="136" t="str">
        <f t="shared" ca="1" si="68"/>
        <v/>
      </c>
      <c r="AG779" s="127"/>
      <c r="AH779" s="127"/>
      <c r="AI779" s="127"/>
      <c r="AJ779" s="128"/>
      <c r="AK779" s="128"/>
      <c r="AL779" s="129"/>
    </row>
    <row r="780" spans="1:38" ht="28.5" customHeight="1" x14ac:dyDescent="0.25">
      <c r="A780" s="343" t="str">
        <f t="shared" si="69"/>
        <v>17REF170</v>
      </c>
      <c r="B780" s="342">
        <v>170</v>
      </c>
      <c r="C780" s="343" t="s">
        <v>39</v>
      </c>
      <c r="D780" s="344" t="s">
        <v>744</v>
      </c>
      <c r="E780" s="124" t="s">
        <v>41</v>
      </c>
      <c r="F780" s="124" t="s">
        <v>2043</v>
      </c>
      <c r="G780" s="251" t="s">
        <v>2044</v>
      </c>
      <c r="H780" s="34" t="s">
        <v>112</v>
      </c>
      <c r="I780" s="126" t="s">
        <v>2439</v>
      </c>
      <c r="J780" s="47" t="s">
        <v>45</v>
      </c>
      <c r="K780" s="126">
        <v>201.12</v>
      </c>
      <c r="L780" s="126">
        <v>103</v>
      </c>
      <c r="M780" s="104" t="s">
        <v>2047</v>
      </c>
      <c r="N780" s="265">
        <v>42978</v>
      </c>
      <c r="O780" s="260"/>
      <c r="P780" s="106" t="s">
        <v>183</v>
      </c>
      <c r="Q780" s="107" t="s">
        <v>2441</v>
      </c>
      <c r="R780" s="267">
        <v>0.99399999999999999</v>
      </c>
      <c r="S780" s="37"/>
      <c r="T780" s="36" t="str">
        <f t="shared" ca="1" si="66"/>
        <v/>
      </c>
      <c r="U780" s="37"/>
      <c r="V780" s="37"/>
      <c r="W780" s="38"/>
      <c r="X780" s="39"/>
      <c r="Y780" s="116"/>
      <c r="Z780" s="40"/>
      <c r="AA780" s="136" t="str">
        <f t="shared" ca="1" si="67"/>
        <v/>
      </c>
      <c r="AB780" s="40"/>
      <c r="AC780" s="116"/>
      <c r="AD780" s="116"/>
      <c r="AE780" s="40"/>
      <c r="AF780" s="136" t="str">
        <f t="shared" ca="1" si="68"/>
        <v/>
      </c>
      <c r="AG780" s="127"/>
      <c r="AH780" s="127"/>
      <c r="AI780" s="127"/>
      <c r="AJ780" s="128"/>
      <c r="AK780" s="128"/>
      <c r="AL780" s="129"/>
    </row>
    <row r="781" spans="1:38" ht="28.5" customHeight="1" x14ac:dyDescent="0.25">
      <c r="A781" s="343" t="str">
        <f t="shared" si="69"/>
        <v>17REF171</v>
      </c>
      <c r="B781" s="342">
        <v>171</v>
      </c>
      <c r="C781" s="343" t="s">
        <v>39</v>
      </c>
      <c r="D781" s="344" t="s">
        <v>744</v>
      </c>
      <c r="E781" s="124" t="s">
        <v>41</v>
      </c>
      <c r="F781" s="124" t="s">
        <v>2043</v>
      </c>
      <c r="G781" s="251" t="s">
        <v>2044</v>
      </c>
      <c r="H781" s="34" t="s">
        <v>112</v>
      </c>
      <c r="I781" s="126" t="s">
        <v>2439</v>
      </c>
      <c r="J781" s="47" t="s">
        <v>45</v>
      </c>
      <c r="K781" s="126">
        <v>201.12</v>
      </c>
      <c r="L781" s="126">
        <v>103</v>
      </c>
      <c r="M781" s="104" t="s">
        <v>2047</v>
      </c>
      <c r="N781" s="265">
        <v>42978</v>
      </c>
      <c r="O781" s="260"/>
      <c r="P781" s="106" t="s">
        <v>183</v>
      </c>
      <c r="Q781" s="107" t="s">
        <v>2441</v>
      </c>
      <c r="R781" s="267">
        <v>0.99399999999999999</v>
      </c>
      <c r="S781" s="37"/>
      <c r="T781" s="36" t="str">
        <f t="shared" ca="1" si="66"/>
        <v/>
      </c>
      <c r="U781" s="37"/>
      <c r="V781" s="37"/>
      <c r="W781" s="38"/>
      <c r="X781" s="39"/>
      <c r="Y781" s="116"/>
      <c r="Z781" s="40"/>
      <c r="AA781" s="136" t="str">
        <f t="shared" ca="1" si="67"/>
        <v/>
      </c>
      <c r="AB781" s="40"/>
      <c r="AC781" s="116"/>
      <c r="AD781" s="116"/>
      <c r="AE781" s="40"/>
      <c r="AF781" s="136" t="str">
        <f t="shared" ca="1" si="68"/>
        <v/>
      </c>
      <c r="AG781" s="127"/>
      <c r="AH781" s="127"/>
      <c r="AI781" s="127"/>
      <c r="AJ781" s="128"/>
      <c r="AK781" s="128"/>
      <c r="AL781" s="129"/>
    </row>
    <row r="782" spans="1:38" ht="23.25" x14ac:dyDescent="0.25">
      <c r="A782" s="343" t="str">
        <f t="shared" si="69"/>
        <v>17REF172</v>
      </c>
      <c r="B782" s="298">
        <v>172</v>
      </c>
      <c r="C782" s="343" t="s">
        <v>39</v>
      </c>
      <c r="D782" s="344" t="s">
        <v>170</v>
      </c>
      <c r="E782" s="124" t="s">
        <v>41</v>
      </c>
      <c r="F782" s="124" t="s">
        <v>1541</v>
      </c>
      <c r="G782" s="251" t="s">
        <v>802</v>
      </c>
      <c r="H782" s="34" t="s">
        <v>112</v>
      </c>
      <c r="I782" s="126" t="s">
        <v>2388</v>
      </c>
      <c r="J782" s="47" t="s">
        <v>45</v>
      </c>
      <c r="K782" s="126">
        <v>316.64999999999998</v>
      </c>
      <c r="L782" s="126">
        <v>1045</v>
      </c>
      <c r="M782" s="104" t="s">
        <v>805</v>
      </c>
      <c r="N782" s="265">
        <v>42978</v>
      </c>
      <c r="O782" s="260">
        <v>42978</v>
      </c>
      <c r="P782" s="106" t="s">
        <v>183</v>
      </c>
      <c r="Q782" s="107" t="s">
        <v>2390</v>
      </c>
      <c r="R782" s="267">
        <v>0.99199999999999999</v>
      </c>
      <c r="S782" s="37">
        <v>0</v>
      </c>
      <c r="T782" s="36" t="str">
        <f t="shared" ca="1" si="66"/>
        <v>Empty</v>
      </c>
      <c r="U782" s="37" t="s">
        <v>2442</v>
      </c>
      <c r="V782" s="37"/>
      <c r="W782" s="38">
        <v>42978</v>
      </c>
      <c r="X782" s="39" t="s">
        <v>722</v>
      </c>
      <c r="Y782" s="116" t="s">
        <v>2450</v>
      </c>
      <c r="Z782" s="40" t="s">
        <v>49</v>
      </c>
      <c r="AA782" s="136">
        <f t="shared" ca="1" si="67"/>
        <v>394</v>
      </c>
      <c r="AB782" s="40"/>
      <c r="AC782" s="116"/>
      <c r="AD782" s="116"/>
      <c r="AE782" s="40"/>
      <c r="AF782" s="136" t="str">
        <f t="shared" ca="1" si="68"/>
        <v/>
      </c>
      <c r="AG782" s="127"/>
      <c r="AH782" s="127"/>
      <c r="AI782" s="127"/>
      <c r="AJ782" s="128"/>
      <c r="AK782" s="128"/>
      <c r="AL782" s="129"/>
    </row>
    <row r="783" spans="1:38" ht="23.25" x14ac:dyDescent="0.25">
      <c r="A783" s="343" t="str">
        <f t="shared" si="69"/>
        <v>17REF173</v>
      </c>
      <c r="B783" s="298">
        <v>173</v>
      </c>
      <c r="C783" s="343" t="s">
        <v>39</v>
      </c>
      <c r="D783" s="344" t="s">
        <v>170</v>
      </c>
      <c r="E783" s="124" t="s">
        <v>41</v>
      </c>
      <c r="F783" s="124" t="s">
        <v>1541</v>
      </c>
      <c r="G783" s="251" t="s">
        <v>802</v>
      </c>
      <c r="H783" s="34" t="s">
        <v>112</v>
      </c>
      <c r="I783" s="126" t="s">
        <v>2440</v>
      </c>
      <c r="J783" s="47" t="s">
        <v>45</v>
      </c>
      <c r="K783" s="126">
        <v>316.64999999999998</v>
      </c>
      <c r="L783" s="126">
        <v>1045</v>
      </c>
      <c r="M783" s="104" t="s">
        <v>805</v>
      </c>
      <c r="N783" s="265">
        <v>42978</v>
      </c>
      <c r="O783" s="260">
        <v>43088</v>
      </c>
      <c r="P783" s="106" t="s">
        <v>183</v>
      </c>
      <c r="Q783" s="107" t="s">
        <v>2390</v>
      </c>
      <c r="R783" s="267">
        <v>0.99199999999999999</v>
      </c>
      <c r="S783" s="37">
        <v>0</v>
      </c>
      <c r="T783" s="36" t="str">
        <f t="shared" ca="1" si="66"/>
        <v>Empty</v>
      </c>
      <c r="U783" s="37"/>
      <c r="V783" s="37"/>
      <c r="W783" s="38"/>
      <c r="X783" s="39"/>
      <c r="Y783" s="116"/>
      <c r="Z783" s="40"/>
      <c r="AA783" s="136" t="str">
        <f t="shared" ca="1" si="67"/>
        <v/>
      </c>
      <c r="AB783" s="40"/>
      <c r="AC783" s="116"/>
      <c r="AD783" s="116"/>
      <c r="AE783" s="40"/>
      <c r="AF783" s="136" t="str">
        <f t="shared" ca="1" si="68"/>
        <v/>
      </c>
      <c r="AG783" s="127"/>
      <c r="AH783" s="127"/>
      <c r="AI783" s="127"/>
      <c r="AJ783" s="128"/>
      <c r="AK783" s="128"/>
      <c r="AL783" s="129"/>
    </row>
    <row r="784" spans="1:38" ht="23.25" x14ac:dyDescent="0.25">
      <c r="A784" s="343" t="str">
        <f t="shared" si="69"/>
        <v>17REF174</v>
      </c>
      <c r="B784" s="298">
        <v>174</v>
      </c>
      <c r="C784" s="343" t="s">
        <v>39</v>
      </c>
      <c r="D784" s="344" t="s">
        <v>170</v>
      </c>
      <c r="E784" s="124" t="s">
        <v>41</v>
      </c>
      <c r="F784" s="124" t="s">
        <v>1541</v>
      </c>
      <c r="G784" s="251" t="s">
        <v>802</v>
      </c>
      <c r="H784" s="34" t="s">
        <v>112</v>
      </c>
      <c r="I784" s="126" t="s">
        <v>2388</v>
      </c>
      <c r="J784" s="47" t="s">
        <v>45</v>
      </c>
      <c r="K784" s="126">
        <v>316.64999999999998</v>
      </c>
      <c r="L784" s="126">
        <v>1045</v>
      </c>
      <c r="M784" s="104" t="s">
        <v>805</v>
      </c>
      <c r="N784" s="265">
        <v>42978</v>
      </c>
      <c r="O784" s="260">
        <v>43112</v>
      </c>
      <c r="P784" s="106" t="s">
        <v>183</v>
      </c>
      <c r="Q784" s="107" t="s">
        <v>2390</v>
      </c>
      <c r="R784" s="267">
        <v>0.99199999999999999</v>
      </c>
      <c r="S784" s="37">
        <v>0</v>
      </c>
      <c r="T784" s="36" t="str">
        <f t="shared" ca="1" si="66"/>
        <v>Empty</v>
      </c>
      <c r="U784" s="37"/>
      <c r="V784" s="37"/>
      <c r="W784" s="38"/>
      <c r="X784" s="39"/>
      <c r="Y784" s="116"/>
      <c r="Z784" s="40"/>
      <c r="AA784" s="136" t="str">
        <f t="shared" ca="1" si="67"/>
        <v/>
      </c>
      <c r="AB784" s="40"/>
      <c r="AC784" s="116"/>
      <c r="AD784" s="116"/>
      <c r="AE784" s="40"/>
      <c r="AF784" s="136" t="str">
        <f t="shared" ca="1" si="68"/>
        <v/>
      </c>
      <c r="AG784" s="127"/>
      <c r="AH784" s="127"/>
      <c r="AI784" s="127"/>
      <c r="AJ784" s="128"/>
      <c r="AK784" s="128"/>
      <c r="AL784" s="129"/>
    </row>
    <row r="785" spans="1:38" ht="23.25" x14ac:dyDescent="0.25">
      <c r="A785" s="299" t="str">
        <f t="shared" si="69"/>
        <v>17SAM175</v>
      </c>
      <c r="B785" s="298">
        <v>175</v>
      </c>
      <c r="C785" s="299" t="s">
        <v>57</v>
      </c>
      <c r="D785" s="300" t="s">
        <v>170</v>
      </c>
      <c r="E785" s="124" t="s">
        <v>739</v>
      </c>
      <c r="F785" s="124" t="s">
        <v>2191</v>
      </c>
      <c r="G785" s="251" t="s">
        <v>2443</v>
      </c>
      <c r="H785" s="34" t="s">
        <v>60</v>
      </c>
      <c r="I785" s="126"/>
      <c r="J785" s="47" t="s">
        <v>45</v>
      </c>
      <c r="K785" s="126">
        <v>389.42</v>
      </c>
      <c r="L785" s="126" t="s">
        <v>61</v>
      </c>
      <c r="M785" s="104" t="s">
        <v>61</v>
      </c>
      <c r="N785" s="265">
        <v>42979</v>
      </c>
      <c r="O785" s="260"/>
      <c r="P785" s="106" t="s">
        <v>2444</v>
      </c>
      <c r="Q785" s="107" t="s">
        <v>212</v>
      </c>
      <c r="R785" s="244"/>
      <c r="S785" s="37"/>
      <c r="T785" s="36" t="str">
        <f t="shared" ca="1" si="66"/>
        <v/>
      </c>
      <c r="U785" s="37"/>
      <c r="V785" s="37"/>
      <c r="W785" s="38"/>
      <c r="X785" s="39"/>
      <c r="Y785" s="116"/>
      <c r="Z785" s="40"/>
      <c r="AA785" s="136" t="str">
        <f t="shared" ca="1" si="67"/>
        <v/>
      </c>
      <c r="AB785" s="40"/>
      <c r="AC785" s="116"/>
      <c r="AD785" s="116"/>
      <c r="AE785" s="40"/>
      <c r="AF785" s="136" t="str">
        <f t="shared" ca="1" si="68"/>
        <v/>
      </c>
      <c r="AG785" s="127"/>
      <c r="AH785" s="127"/>
      <c r="AI785" s="127"/>
      <c r="AJ785" s="128"/>
      <c r="AK785" s="128"/>
      <c r="AL785" s="129"/>
    </row>
    <row r="786" spans="1:38" ht="23.25" x14ac:dyDescent="0.25">
      <c r="A786" s="299" t="str">
        <f t="shared" si="69"/>
        <v>17SAM176</v>
      </c>
      <c r="B786" s="298">
        <v>176</v>
      </c>
      <c r="C786" s="299" t="s">
        <v>57</v>
      </c>
      <c r="D786" s="300" t="s">
        <v>170</v>
      </c>
      <c r="E786" s="124" t="s">
        <v>416</v>
      </c>
      <c r="F786" s="124" t="s">
        <v>2318</v>
      </c>
      <c r="G786" s="251"/>
      <c r="H786" s="34" t="s">
        <v>60</v>
      </c>
      <c r="I786" s="126"/>
      <c r="J786" s="47" t="s">
        <v>180</v>
      </c>
      <c r="K786" s="126">
        <v>457.471</v>
      </c>
      <c r="L786" s="126" t="s">
        <v>61</v>
      </c>
      <c r="M786" s="104" t="s">
        <v>61</v>
      </c>
      <c r="N786" s="265">
        <v>42979</v>
      </c>
      <c r="O786" s="260">
        <v>42982</v>
      </c>
      <c r="P786" s="106" t="s">
        <v>124</v>
      </c>
      <c r="Q786" s="107" t="s">
        <v>212</v>
      </c>
      <c r="R786" s="244"/>
      <c r="S786" s="37">
        <f>100-49.05</f>
        <v>50.95</v>
      </c>
      <c r="T786" s="36">
        <f t="shared" ca="1" si="66"/>
        <v>390</v>
      </c>
      <c r="U786" s="37" t="s">
        <v>2442</v>
      </c>
      <c r="V786" s="37"/>
      <c r="W786" s="38">
        <v>42982</v>
      </c>
      <c r="X786" s="39" t="s">
        <v>248</v>
      </c>
      <c r="Y786" s="116" t="s">
        <v>2452</v>
      </c>
      <c r="Z786" s="40" t="s">
        <v>212</v>
      </c>
      <c r="AA786" s="136">
        <f t="shared" ca="1" si="67"/>
        <v>390</v>
      </c>
      <c r="AB786" s="40"/>
      <c r="AC786" s="116"/>
      <c r="AD786" s="116"/>
      <c r="AE786" s="40"/>
      <c r="AF786" s="136" t="str">
        <f t="shared" ca="1" si="68"/>
        <v/>
      </c>
      <c r="AG786" s="127"/>
      <c r="AH786" s="127"/>
      <c r="AI786" s="127"/>
      <c r="AJ786" s="128"/>
      <c r="AK786" s="128"/>
      <c r="AL786" s="129"/>
    </row>
    <row r="787" spans="1:38" ht="23.25" x14ac:dyDescent="0.25">
      <c r="A787" s="343" t="str">
        <f t="shared" si="69"/>
        <v>17REF177</v>
      </c>
      <c r="B787" s="342">
        <v>177</v>
      </c>
      <c r="C787" s="343" t="s">
        <v>39</v>
      </c>
      <c r="D787" s="344" t="s">
        <v>744</v>
      </c>
      <c r="E787" s="124" t="s">
        <v>41</v>
      </c>
      <c r="F787" s="124" t="s">
        <v>2043</v>
      </c>
      <c r="G787" s="251" t="s">
        <v>2044</v>
      </c>
      <c r="H787" s="34" t="s">
        <v>112</v>
      </c>
      <c r="I787" s="126" t="s">
        <v>2445</v>
      </c>
      <c r="J787" s="47" t="s">
        <v>45</v>
      </c>
      <c r="K787" s="126">
        <v>201.12</v>
      </c>
      <c r="L787" s="126">
        <v>103</v>
      </c>
      <c r="M787" s="104" t="s">
        <v>2047</v>
      </c>
      <c r="N787" s="265">
        <v>42982</v>
      </c>
      <c r="O787" s="260"/>
      <c r="P787" s="106" t="s">
        <v>183</v>
      </c>
      <c r="Q787" s="107" t="s">
        <v>2441</v>
      </c>
      <c r="R787" s="267">
        <v>0.99399999999999999</v>
      </c>
      <c r="S787" s="37"/>
      <c r="T787" s="36" t="str">
        <f t="shared" ca="1" si="66"/>
        <v/>
      </c>
      <c r="U787" s="37"/>
      <c r="V787" s="37"/>
      <c r="W787" s="38"/>
      <c r="X787" s="39"/>
      <c r="Y787" s="150"/>
      <c r="Z787" s="40"/>
      <c r="AA787" s="136" t="str">
        <f t="shared" ca="1" si="67"/>
        <v/>
      </c>
      <c r="AB787" s="40"/>
      <c r="AC787" s="116"/>
      <c r="AD787" s="116"/>
      <c r="AE787" s="40"/>
      <c r="AF787" s="136" t="str">
        <f t="shared" ca="1" si="68"/>
        <v/>
      </c>
      <c r="AG787" s="127"/>
      <c r="AH787" s="127"/>
      <c r="AI787" s="127"/>
      <c r="AJ787" s="128"/>
      <c r="AK787" s="128"/>
      <c r="AL787" s="129"/>
    </row>
    <row r="788" spans="1:38" ht="23.25" x14ac:dyDescent="0.25">
      <c r="A788" s="343" t="str">
        <f t="shared" si="69"/>
        <v>17REF178</v>
      </c>
      <c r="B788" s="342">
        <v>178</v>
      </c>
      <c r="C788" s="343" t="s">
        <v>39</v>
      </c>
      <c r="D788" s="344" t="s">
        <v>744</v>
      </c>
      <c r="E788" s="124" t="s">
        <v>41</v>
      </c>
      <c r="F788" s="124" t="s">
        <v>2366</v>
      </c>
      <c r="G788" s="248" t="s">
        <v>324</v>
      </c>
      <c r="H788" s="378" t="s">
        <v>43</v>
      </c>
      <c r="I788" s="531" t="s">
        <v>2447</v>
      </c>
      <c r="J788" s="378" t="s">
        <v>45</v>
      </c>
      <c r="K788" s="126">
        <v>198.11</v>
      </c>
      <c r="L788" s="126" t="s">
        <v>2448</v>
      </c>
      <c r="M788" s="104" t="s">
        <v>326</v>
      </c>
      <c r="N788" s="265">
        <v>42984</v>
      </c>
      <c r="O788" s="260">
        <v>43047</v>
      </c>
      <c r="P788" s="106" t="s">
        <v>1295</v>
      </c>
      <c r="Q788" s="107"/>
      <c r="R788" s="266">
        <v>1</v>
      </c>
      <c r="S788" s="37">
        <v>0</v>
      </c>
      <c r="T788" s="36" t="str">
        <f t="shared" ca="1" si="66"/>
        <v>Empty</v>
      </c>
      <c r="U788" s="37"/>
      <c r="V788" s="37"/>
      <c r="W788" s="38"/>
      <c r="X788" s="39"/>
      <c r="Y788" s="150"/>
      <c r="Z788" s="40"/>
      <c r="AA788" s="136" t="str">
        <f t="shared" ca="1" si="67"/>
        <v/>
      </c>
      <c r="AB788" s="40"/>
      <c r="AC788" s="116"/>
      <c r="AD788" s="116"/>
      <c r="AE788" s="40"/>
      <c r="AF788" s="136" t="str">
        <f t="shared" ca="1" si="68"/>
        <v/>
      </c>
      <c r="AG788" s="127"/>
      <c r="AH788" s="127"/>
      <c r="AI788" s="127"/>
      <c r="AJ788" s="128"/>
      <c r="AK788" s="128"/>
      <c r="AL788" s="129"/>
    </row>
    <row r="789" spans="1:38" ht="23.25" x14ac:dyDescent="0.25">
      <c r="A789" s="343" t="str">
        <f t="shared" si="69"/>
        <v>17REF179</v>
      </c>
      <c r="B789" s="342">
        <v>179</v>
      </c>
      <c r="C789" s="343" t="s">
        <v>39</v>
      </c>
      <c r="D789" s="344" t="s">
        <v>744</v>
      </c>
      <c r="E789" s="124" t="s">
        <v>41</v>
      </c>
      <c r="F789" s="124" t="s">
        <v>2366</v>
      </c>
      <c r="G789" s="248" t="s">
        <v>324</v>
      </c>
      <c r="H789" s="378" t="s">
        <v>43</v>
      </c>
      <c r="I789" s="531" t="s">
        <v>2447</v>
      </c>
      <c r="J789" s="378" t="s">
        <v>45</v>
      </c>
      <c r="K789" s="126">
        <v>198.11</v>
      </c>
      <c r="L789" s="126" t="s">
        <v>2448</v>
      </c>
      <c r="M789" s="104" t="s">
        <v>326</v>
      </c>
      <c r="N789" s="265">
        <v>42984</v>
      </c>
      <c r="O789" s="260">
        <v>43199</v>
      </c>
      <c r="P789" s="106" t="s">
        <v>1295</v>
      </c>
      <c r="Q789" s="107"/>
      <c r="R789" s="266">
        <v>1</v>
      </c>
      <c r="S789" s="37">
        <v>0</v>
      </c>
      <c r="T789" s="36" t="str">
        <f t="shared" ca="1" si="66"/>
        <v>Empty</v>
      </c>
      <c r="U789" s="37"/>
      <c r="V789" s="37"/>
      <c r="W789" s="38"/>
      <c r="X789" s="39"/>
      <c r="Y789" s="150"/>
      <c r="Z789" s="40"/>
      <c r="AA789" s="136" t="str">
        <f t="shared" ca="1" si="67"/>
        <v/>
      </c>
      <c r="AB789" s="40"/>
      <c r="AC789" s="116"/>
      <c r="AD789" s="116"/>
      <c r="AE789" s="40"/>
      <c r="AF789" s="136" t="str">
        <f t="shared" ca="1" si="68"/>
        <v/>
      </c>
      <c r="AG789" s="127"/>
      <c r="AH789" s="127"/>
      <c r="AI789" s="127"/>
      <c r="AJ789" s="128"/>
      <c r="AK789" s="128"/>
      <c r="AL789" s="129"/>
    </row>
    <row r="790" spans="1:38" ht="23.25" x14ac:dyDescent="0.25">
      <c r="A790" s="299" t="str">
        <f t="shared" si="69"/>
        <v>17SAM180</v>
      </c>
      <c r="B790" s="298">
        <v>180</v>
      </c>
      <c r="C790" s="299" t="s">
        <v>57</v>
      </c>
      <c r="D790" s="300" t="s">
        <v>170</v>
      </c>
      <c r="E790" s="124" t="s">
        <v>79</v>
      </c>
      <c r="F790" s="124" t="s">
        <v>2456</v>
      </c>
      <c r="G790" s="251" t="s">
        <v>2461</v>
      </c>
      <c r="H790" s="381" t="s">
        <v>330</v>
      </c>
      <c r="I790" s="126" t="s">
        <v>1191</v>
      </c>
      <c r="J790" s="381" t="s">
        <v>180</v>
      </c>
      <c r="K790" s="126">
        <v>429.39</v>
      </c>
      <c r="L790" s="126" t="s">
        <v>1192</v>
      </c>
      <c r="M790" s="104" t="s">
        <v>1193</v>
      </c>
      <c r="N790" s="265">
        <v>43078</v>
      </c>
      <c r="O790" s="260">
        <v>43011</v>
      </c>
      <c r="P790" s="106" t="s">
        <v>183</v>
      </c>
      <c r="Q790" s="107" t="s">
        <v>2460</v>
      </c>
      <c r="R790" s="266">
        <v>0.99</v>
      </c>
      <c r="S790" s="37">
        <v>0</v>
      </c>
      <c r="T790" s="36" t="str">
        <f t="shared" ca="1" si="66"/>
        <v>Empty</v>
      </c>
      <c r="U790" s="37"/>
      <c r="V790" s="37"/>
      <c r="W790" s="38"/>
      <c r="X790" s="39"/>
      <c r="Y790" s="150"/>
      <c r="Z790" s="40"/>
      <c r="AA790" s="136" t="str">
        <f t="shared" ca="1" si="67"/>
        <v/>
      </c>
      <c r="AB790" s="40"/>
      <c r="AC790" s="116"/>
      <c r="AD790" s="116"/>
      <c r="AE790" s="40"/>
      <c r="AF790" s="136" t="str">
        <f t="shared" ca="1" si="68"/>
        <v/>
      </c>
      <c r="AG790" s="127"/>
      <c r="AH790" s="127"/>
      <c r="AI790" s="127"/>
      <c r="AJ790" s="128"/>
      <c r="AK790" s="128"/>
      <c r="AL790" s="129"/>
    </row>
    <row r="791" spans="1:38" ht="23.25" x14ac:dyDescent="0.25">
      <c r="A791" s="299" t="str">
        <f t="shared" si="69"/>
        <v>17SAM181</v>
      </c>
      <c r="B791" s="298">
        <v>181</v>
      </c>
      <c r="C791" s="299" t="s">
        <v>57</v>
      </c>
      <c r="D791" s="300" t="s">
        <v>170</v>
      </c>
      <c r="E791" s="124" t="s">
        <v>79</v>
      </c>
      <c r="F791" s="124" t="s">
        <v>2457</v>
      </c>
      <c r="G791" s="251" t="s">
        <v>2458</v>
      </c>
      <c r="H791" s="34"/>
      <c r="I791" s="132" t="s">
        <v>61</v>
      </c>
      <c r="J791" s="381" t="s">
        <v>45</v>
      </c>
      <c r="K791" s="126">
        <v>327.8</v>
      </c>
      <c r="L791" s="132" t="s">
        <v>61</v>
      </c>
      <c r="M791" s="105" t="s">
        <v>61</v>
      </c>
      <c r="N791" s="265">
        <v>42996</v>
      </c>
      <c r="O791" s="260"/>
      <c r="P791" s="106" t="s">
        <v>2459</v>
      </c>
      <c r="Q791" s="107"/>
      <c r="R791" s="266">
        <v>1</v>
      </c>
      <c r="S791" s="37">
        <v>0</v>
      </c>
      <c r="T791" s="36" t="str">
        <f t="shared" ca="1" si="66"/>
        <v>Empty</v>
      </c>
      <c r="U791" s="37"/>
      <c r="V791" s="37"/>
      <c r="W791" s="38"/>
      <c r="X791" s="39"/>
      <c r="Y791" s="150"/>
      <c r="Z791" s="40"/>
      <c r="AA791" s="136" t="str">
        <f t="shared" ca="1" si="67"/>
        <v/>
      </c>
      <c r="AB791" s="40"/>
      <c r="AC791" s="116"/>
      <c r="AD791" s="116"/>
      <c r="AE791" s="40"/>
      <c r="AF791" s="136" t="str">
        <f t="shared" ca="1" si="68"/>
        <v/>
      </c>
      <c r="AG791" s="127"/>
      <c r="AH791" s="127"/>
      <c r="AI791" s="127"/>
      <c r="AJ791" s="128"/>
      <c r="AK791" s="128"/>
      <c r="AL791" s="129"/>
    </row>
    <row r="792" spans="1:38" ht="23.25" x14ac:dyDescent="0.25">
      <c r="A792" s="299" t="str">
        <f t="shared" si="69"/>
        <v>17SAM182</v>
      </c>
      <c r="B792" s="298">
        <v>182</v>
      </c>
      <c r="C792" s="299" t="s">
        <v>57</v>
      </c>
      <c r="D792" s="300" t="s">
        <v>170</v>
      </c>
      <c r="E792" s="124" t="s">
        <v>739</v>
      </c>
      <c r="F792" s="124" t="s">
        <v>779</v>
      </c>
      <c r="G792" s="251" t="s">
        <v>1126</v>
      </c>
      <c r="H792" s="34" t="s">
        <v>330</v>
      </c>
      <c r="I792" s="126" t="s">
        <v>1578</v>
      </c>
      <c r="J792" s="47" t="s">
        <v>180</v>
      </c>
      <c r="K792" s="126">
        <v>197.13</v>
      </c>
      <c r="L792" s="126" t="s">
        <v>781</v>
      </c>
      <c r="M792" s="104" t="s">
        <v>782</v>
      </c>
      <c r="N792" s="265">
        <v>42997</v>
      </c>
      <c r="O792" s="260">
        <v>43084</v>
      </c>
      <c r="P792" s="106" t="s">
        <v>124</v>
      </c>
      <c r="Q792" s="107" t="s">
        <v>3009</v>
      </c>
      <c r="R792" s="266">
        <v>0.99</v>
      </c>
      <c r="S792" s="37">
        <v>0</v>
      </c>
      <c r="T792" s="36" t="str">
        <f t="shared" ca="1" si="66"/>
        <v>Empty</v>
      </c>
      <c r="U792" s="37"/>
      <c r="V792" s="37"/>
      <c r="W792" s="38"/>
      <c r="X792" s="39"/>
      <c r="Y792" s="150"/>
      <c r="Z792" s="40"/>
      <c r="AA792" s="136" t="str">
        <f t="shared" ca="1" si="67"/>
        <v/>
      </c>
      <c r="AB792" s="40"/>
      <c r="AC792" s="116"/>
      <c r="AD792" s="116"/>
      <c r="AE792" s="40"/>
      <c r="AF792" s="136" t="str">
        <f t="shared" ca="1" si="68"/>
        <v/>
      </c>
      <c r="AG792" s="127"/>
      <c r="AH792" s="127"/>
      <c r="AI792" s="127"/>
      <c r="AJ792" s="128"/>
      <c r="AK792" s="128"/>
      <c r="AL792" s="129"/>
    </row>
    <row r="793" spans="1:38" ht="23.25" x14ac:dyDescent="0.25">
      <c r="A793" s="343" t="str">
        <f t="shared" si="69"/>
        <v>17REF183</v>
      </c>
      <c r="B793" s="342">
        <v>183</v>
      </c>
      <c r="C793" s="343" t="s">
        <v>39</v>
      </c>
      <c r="D793" s="344" t="s">
        <v>40</v>
      </c>
      <c r="E793" s="124" t="s">
        <v>41</v>
      </c>
      <c r="F793" s="124" t="s">
        <v>3188</v>
      </c>
      <c r="G793" s="251" t="s">
        <v>2201</v>
      </c>
      <c r="H793" s="34" t="s">
        <v>43</v>
      </c>
      <c r="I793" s="126" t="s">
        <v>807</v>
      </c>
      <c r="J793" s="47" t="s">
        <v>180</v>
      </c>
      <c r="K793" s="126">
        <v>509.29</v>
      </c>
      <c r="L793" s="126">
        <v>14343</v>
      </c>
      <c r="M793" s="104" t="s">
        <v>808</v>
      </c>
      <c r="N793" s="265">
        <v>42998</v>
      </c>
      <c r="O793" s="260">
        <v>43021</v>
      </c>
      <c r="P793" s="106" t="s">
        <v>183</v>
      </c>
      <c r="Q793" s="107" t="s">
        <v>2307</v>
      </c>
      <c r="R793" s="267">
        <v>0.95599999999999996</v>
      </c>
      <c r="S793" s="37">
        <v>0</v>
      </c>
      <c r="T793" s="36" t="str">
        <f t="shared" ca="1" si="66"/>
        <v>Empty</v>
      </c>
      <c r="U793" s="37"/>
      <c r="V793" s="37" t="s">
        <v>2564</v>
      </c>
      <c r="W793" s="38"/>
      <c r="X793" s="39"/>
      <c r="Y793" s="150"/>
      <c r="Z793" s="40"/>
      <c r="AA793" s="136" t="str">
        <f t="shared" ca="1" si="67"/>
        <v/>
      </c>
      <c r="AB793" s="40"/>
      <c r="AC793" s="116"/>
      <c r="AD793" s="116"/>
      <c r="AE793" s="40"/>
      <c r="AF793" s="136" t="str">
        <f t="shared" ca="1" si="68"/>
        <v/>
      </c>
      <c r="AG793" s="127"/>
      <c r="AH793" s="127"/>
      <c r="AI793" s="127"/>
      <c r="AJ793" s="128"/>
      <c r="AK793" s="128"/>
      <c r="AL793" s="129"/>
    </row>
    <row r="794" spans="1:38" ht="23.25" x14ac:dyDescent="0.25">
      <c r="A794" s="343" t="str">
        <f t="shared" si="69"/>
        <v>17REF184</v>
      </c>
      <c r="B794" s="342">
        <v>184</v>
      </c>
      <c r="C794" s="343" t="s">
        <v>39</v>
      </c>
      <c r="D794" s="344" t="s">
        <v>40</v>
      </c>
      <c r="E794" s="124" t="s">
        <v>41</v>
      </c>
      <c r="F794" s="124" t="s">
        <v>3188</v>
      </c>
      <c r="G794" s="251" t="s">
        <v>2201</v>
      </c>
      <c r="H794" s="34" t="s">
        <v>43</v>
      </c>
      <c r="I794" s="126" t="s">
        <v>807</v>
      </c>
      <c r="J794" s="47" t="s">
        <v>180</v>
      </c>
      <c r="K794" s="126">
        <v>509.29</v>
      </c>
      <c r="L794" s="126">
        <v>14343</v>
      </c>
      <c r="M794" s="104" t="s">
        <v>808</v>
      </c>
      <c r="N794" s="265">
        <v>42998</v>
      </c>
      <c r="O794" s="260">
        <v>43042</v>
      </c>
      <c r="P794" s="106" t="s">
        <v>183</v>
      </c>
      <c r="Q794" s="107" t="s">
        <v>2307</v>
      </c>
      <c r="R794" s="267">
        <v>0.95599999999999996</v>
      </c>
      <c r="S794" s="37">
        <v>0</v>
      </c>
      <c r="T794" s="36" t="str">
        <f t="shared" ca="1" si="66"/>
        <v>Empty</v>
      </c>
      <c r="U794" s="37"/>
      <c r="V794" s="37"/>
      <c r="W794" s="38">
        <v>43042</v>
      </c>
      <c r="X794" s="39" t="s">
        <v>248</v>
      </c>
      <c r="Y794" s="116" t="s">
        <v>853</v>
      </c>
      <c r="Z794" s="40" t="s">
        <v>49</v>
      </c>
      <c r="AA794" s="136">
        <f t="shared" ca="1" si="67"/>
        <v>331</v>
      </c>
      <c r="AB794" s="40"/>
      <c r="AC794" s="116"/>
      <c r="AD794" s="116"/>
      <c r="AE794" s="40"/>
      <c r="AF794" s="136" t="str">
        <f t="shared" ca="1" si="68"/>
        <v/>
      </c>
      <c r="AG794" s="127"/>
      <c r="AH794" s="127"/>
      <c r="AI794" s="127"/>
      <c r="AJ794" s="128"/>
      <c r="AK794" s="128"/>
      <c r="AL794" s="129"/>
    </row>
    <row r="795" spans="1:38" ht="23.25" x14ac:dyDescent="0.25">
      <c r="A795" s="299" t="str">
        <f t="shared" si="69"/>
        <v>17SAM185</v>
      </c>
      <c r="B795" s="298">
        <v>185</v>
      </c>
      <c r="C795" s="299" t="s">
        <v>57</v>
      </c>
      <c r="D795" s="300" t="s">
        <v>40</v>
      </c>
      <c r="E795" s="124" t="s">
        <v>2332</v>
      </c>
      <c r="F795" s="124" t="s">
        <v>2333</v>
      </c>
      <c r="G795" s="251"/>
      <c r="H795" s="34" t="s">
        <v>60</v>
      </c>
      <c r="I795" s="126" t="s">
        <v>2462</v>
      </c>
      <c r="J795" s="47" t="s">
        <v>105</v>
      </c>
      <c r="K795" s="126">
        <v>181.18</v>
      </c>
      <c r="L795" s="132" t="s">
        <v>61</v>
      </c>
      <c r="M795" s="105" t="s">
        <v>61</v>
      </c>
      <c r="N795" s="265">
        <v>42999</v>
      </c>
      <c r="O795" s="260">
        <v>43006</v>
      </c>
      <c r="P795" s="106" t="s">
        <v>2463</v>
      </c>
      <c r="Q795" s="107" t="s">
        <v>2464</v>
      </c>
      <c r="R795" s="244" t="s">
        <v>60</v>
      </c>
      <c r="S795" s="37">
        <f>1000-193.53-324.06-67.7-194.34-14.6-19.6</f>
        <v>186.17000000000004</v>
      </c>
      <c r="T795" s="36">
        <f t="shared" ca="1" si="66"/>
        <v>366</v>
      </c>
      <c r="U795" s="37" t="s">
        <v>2478</v>
      </c>
      <c r="V795" s="37"/>
      <c r="W795" s="38"/>
      <c r="X795" s="39"/>
      <c r="Y795" s="150"/>
      <c r="Z795" s="40"/>
      <c r="AA795" s="136" t="str">
        <f t="shared" ca="1" si="67"/>
        <v/>
      </c>
      <c r="AB795" s="40"/>
      <c r="AC795" s="116"/>
      <c r="AD795" s="116"/>
      <c r="AE795" s="40"/>
      <c r="AF795" s="136" t="str">
        <f t="shared" ca="1" si="68"/>
        <v/>
      </c>
      <c r="AG795" s="127"/>
      <c r="AH795" s="127"/>
      <c r="AI795" s="127"/>
      <c r="AJ795" s="128"/>
      <c r="AK795" s="128"/>
      <c r="AL795" s="129"/>
    </row>
    <row r="796" spans="1:38" ht="23.25" x14ac:dyDescent="0.25">
      <c r="A796" s="299" t="str">
        <f t="shared" si="69"/>
        <v>17SAM186</v>
      </c>
      <c r="B796" s="298">
        <v>186</v>
      </c>
      <c r="C796" s="299" t="s">
        <v>57</v>
      </c>
      <c r="D796" s="300" t="s">
        <v>40</v>
      </c>
      <c r="E796" s="124" t="s">
        <v>2332</v>
      </c>
      <c r="F796" s="124" t="s">
        <v>2465</v>
      </c>
      <c r="G796" s="251"/>
      <c r="H796" s="34" t="s">
        <v>60</v>
      </c>
      <c r="I796" s="132" t="s">
        <v>61</v>
      </c>
      <c r="J796" s="47" t="s">
        <v>180</v>
      </c>
      <c r="K796" s="132" t="s">
        <v>61</v>
      </c>
      <c r="L796" s="132" t="s">
        <v>61</v>
      </c>
      <c r="M796" s="105" t="s">
        <v>61</v>
      </c>
      <c r="N796" s="265">
        <v>42999</v>
      </c>
      <c r="O796" s="260">
        <v>43007</v>
      </c>
      <c r="P796" s="106" t="s">
        <v>2466</v>
      </c>
      <c r="Q796" s="107"/>
      <c r="R796" s="244" t="s">
        <v>60</v>
      </c>
      <c r="S796" s="37">
        <f>250-15-15</f>
        <v>220</v>
      </c>
      <c r="T796" s="36">
        <f t="shared" ca="1" si="66"/>
        <v>365</v>
      </c>
      <c r="U796" s="37" t="s">
        <v>2478</v>
      </c>
      <c r="V796" s="37"/>
      <c r="W796" s="38"/>
      <c r="X796" s="39"/>
      <c r="Y796" s="150"/>
      <c r="Z796" s="40"/>
      <c r="AA796" s="136" t="str">
        <f t="shared" ca="1" si="67"/>
        <v/>
      </c>
      <c r="AB796" s="40"/>
      <c r="AC796" s="116"/>
      <c r="AD796" s="116"/>
      <c r="AE796" s="40"/>
      <c r="AF796" s="136" t="str">
        <f t="shared" ca="1" si="68"/>
        <v/>
      </c>
      <c r="AG796" s="127"/>
      <c r="AH796" s="127"/>
      <c r="AI796" s="127"/>
      <c r="AJ796" s="128"/>
      <c r="AK796" s="128"/>
      <c r="AL796" s="129"/>
    </row>
    <row r="797" spans="1:38" ht="23.25" x14ac:dyDescent="0.25">
      <c r="A797" s="299" t="str">
        <f t="shared" si="69"/>
        <v>17SAM187</v>
      </c>
      <c r="B797" s="298">
        <v>187</v>
      </c>
      <c r="C797" s="299" t="s">
        <v>57</v>
      </c>
      <c r="D797" s="300" t="s">
        <v>170</v>
      </c>
      <c r="E797" s="124" t="s">
        <v>739</v>
      </c>
      <c r="F797" s="124" t="s">
        <v>2467</v>
      </c>
      <c r="G797" s="251"/>
      <c r="H797" s="34" t="s">
        <v>43</v>
      </c>
      <c r="I797" s="126" t="s">
        <v>2468</v>
      </c>
      <c r="J797" s="47" t="s">
        <v>105</v>
      </c>
      <c r="K797" s="126">
        <v>1637.88</v>
      </c>
      <c r="L797" s="126" t="s">
        <v>2469</v>
      </c>
      <c r="M797" s="104" t="s">
        <v>2470</v>
      </c>
      <c r="N797" s="265">
        <v>42999</v>
      </c>
      <c r="O797" s="260">
        <v>42999</v>
      </c>
      <c r="P797" s="106" t="s">
        <v>194</v>
      </c>
      <c r="Q797" s="107" t="s">
        <v>49</v>
      </c>
      <c r="R797" s="266">
        <v>0.8</v>
      </c>
      <c r="S797" s="37">
        <v>0</v>
      </c>
      <c r="T797" s="36" t="str">
        <f t="shared" ca="1" si="66"/>
        <v>Empty</v>
      </c>
      <c r="U797" s="37"/>
      <c r="V797" s="37"/>
      <c r="W797" s="38"/>
      <c r="X797" s="39"/>
      <c r="Y797" s="150"/>
      <c r="Z797" s="40"/>
      <c r="AA797" s="136" t="str">
        <f t="shared" ca="1" si="67"/>
        <v/>
      </c>
      <c r="AB797" s="40"/>
      <c r="AC797" s="116"/>
      <c r="AD797" s="116"/>
      <c r="AE797" s="40"/>
      <c r="AF797" s="136" t="str">
        <f t="shared" ca="1" si="68"/>
        <v/>
      </c>
      <c r="AG797" s="127"/>
      <c r="AH797" s="127"/>
      <c r="AI797" s="127"/>
      <c r="AJ797" s="128"/>
      <c r="AK797" s="128"/>
      <c r="AL797" s="129"/>
    </row>
    <row r="798" spans="1:38" ht="23.25" x14ac:dyDescent="0.25">
      <c r="A798" s="299" t="str">
        <f t="shared" si="69"/>
        <v>17SAM188</v>
      </c>
      <c r="B798" s="298">
        <v>188</v>
      </c>
      <c r="C798" s="299" t="s">
        <v>57</v>
      </c>
      <c r="D798" s="300" t="s">
        <v>170</v>
      </c>
      <c r="E798" s="124" t="s">
        <v>739</v>
      </c>
      <c r="F798" s="124" t="s">
        <v>2467</v>
      </c>
      <c r="G798" s="251"/>
      <c r="H798" s="34" t="s">
        <v>43</v>
      </c>
      <c r="I798" s="126" t="s">
        <v>2468</v>
      </c>
      <c r="J798" s="47" t="s">
        <v>105</v>
      </c>
      <c r="K798" s="126">
        <v>1637.88</v>
      </c>
      <c r="L798" s="126" t="s">
        <v>2469</v>
      </c>
      <c r="M798" s="104" t="s">
        <v>2470</v>
      </c>
      <c r="N798" s="265">
        <v>42999</v>
      </c>
      <c r="O798" s="260">
        <v>42999</v>
      </c>
      <c r="P798" s="106" t="s">
        <v>194</v>
      </c>
      <c r="Q798" s="107" t="s">
        <v>49</v>
      </c>
      <c r="R798" s="266">
        <v>0.8</v>
      </c>
      <c r="S798" s="37">
        <v>0</v>
      </c>
      <c r="T798" s="36" t="str">
        <f t="shared" ca="1" si="66"/>
        <v>Empty</v>
      </c>
      <c r="U798" s="37"/>
      <c r="V798" s="37"/>
      <c r="W798" s="38"/>
      <c r="X798" s="39"/>
      <c r="Y798" s="150"/>
      <c r="Z798" s="40"/>
      <c r="AA798" s="136" t="str">
        <f t="shared" ca="1" si="67"/>
        <v/>
      </c>
      <c r="AB798" s="40"/>
      <c r="AC798" s="116"/>
      <c r="AD798" s="116"/>
      <c r="AE798" s="40"/>
      <c r="AF798" s="136" t="str">
        <f t="shared" ca="1" si="68"/>
        <v/>
      </c>
      <c r="AG798" s="127"/>
      <c r="AH798" s="127"/>
      <c r="AI798" s="127"/>
      <c r="AJ798" s="128"/>
      <c r="AK798" s="128"/>
      <c r="AL798" s="129"/>
    </row>
    <row r="799" spans="1:38" ht="23.25" x14ac:dyDescent="0.25">
      <c r="A799" s="299" t="str">
        <f t="shared" si="69"/>
        <v>17SAM189</v>
      </c>
      <c r="B799" s="298">
        <v>189</v>
      </c>
      <c r="C799" s="299" t="s">
        <v>57</v>
      </c>
      <c r="D799" s="300" t="s">
        <v>170</v>
      </c>
      <c r="E799" s="124" t="s">
        <v>739</v>
      </c>
      <c r="F799" s="124" t="s">
        <v>2467</v>
      </c>
      <c r="G799" s="251"/>
      <c r="H799" s="34" t="s">
        <v>43</v>
      </c>
      <c r="I799" s="126" t="s">
        <v>2468</v>
      </c>
      <c r="J799" s="47" t="s">
        <v>105</v>
      </c>
      <c r="K799" s="126">
        <v>1637.88</v>
      </c>
      <c r="L799" s="126" t="s">
        <v>2469</v>
      </c>
      <c r="M799" s="104" t="s">
        <v>2470</v>
      </c>
      <c r="N799" s="265">
        <v>42999</v>
      </c>
      <c r="O799" s="260">
        <v>43005</v>
      </c>
      <c r="P799" s="106" t="s">
        <v>194</v>
      </c>
      <c r="Q799" s="107" t="s">
        <v>49</v>
      </c>
      <c r="R799" s="266">
        <v>0.8</v>
      </c>
      <c r="S799" s="37">
        <v>0</v>
      </c>
      <c r="T799" s="36" t="str">
        <f t="shared" ca="1" si="66"/>
        <v>Empty</v>
      </c>
      <c r="U799" s="37"/>
      <c r="V799" s="37"/>
      <c r="W799" s="38"/>
      <c r="X799" s="39"/>
      <c r="Y799" s="150"/>
      <c r="Z799" s="40"/>
      <c r="AA799" s="136" t="str">
        <f t="shared" ca="1" si="67"/>
        <v/>
      </c>
      <c r="AB799" s="40"/>
      <c r="AC799" s="116"/>
      <c r="AD799" s="116"/>
      <c r="AE799" s="40"/>
      <c r="AF799" s="136" t="str">
        <f t="shared" ca="1" si="68"/>
        <v/>
      </c>
      <c r="AG799" s="127"/>
      <c r="AH799" s="127"/>
      <c r="AI799" s="127"/>
      <c r="AJ799" s="128"/>
      <c r="AK799" s="128"/>
      <c r="AL799" s="129"/>
    </row>
    <row r="800" spans="1:38" ht="23.25" x14ac:dyDescent="0.25">
      <c r="A800" s="299" t="str">
        <f t="shared" si="69"/>
        <v>17SAM190</v>
      </c>
      <c r="B800" s="298">
        <v>190</v>
      </c>
      <c r="C800" s="299" t="s">
        <v>57</v>
      </c>
      <c r="D800" s="300" t="s">
        <v>40</v>
      </c>
      <c r="E800" s="124" t="s">
        <v>2381</v>
      </c>
      <c r="F800" s="124" t="s">
        <v>2471</v>
      </c>
      <c r="G800" s="251"/>
      <c r="H800" s="34" t="s">
        <v>43</v>
      </c>
      <c r="I800" s="126" t="s">
        <v>2472</v>
      </c>
      <c r="J800" s="47" t="s">
        <v>45</v>
      </c>
      <c r="K800" s="126">
        <v>393.9</v>
      </c>
      <c r="L800" s="126" t="s">
        <v>2473</v>
      </c>
      <c r="M800" s="104" t="s">
        <v>2474</v>
      </c>
      <c r="N800" s="265">
        <v>42999</v>
      </c>
      <c r="O800" s="260"/>
      <c r="P800" s="106" t="s">
        <v>139</v>
      </c>
      <c r="Q800" s="107" t="s">
        <v>1527</v>
      </c>
      <c r="R800" s="266">
        <v>1</v>
      </c>
      <c r="S800" s="37"/>
      <c r="T800" s="36" t="str">
        <f t="shared" ca="1" si="66"/>
        <v/>
      </c>
      <c r="U800" s="37"/>
      <c r="V800" s="37"/>
      <c r="W800" s="38"/>
      <c r="X800" s="39"/>
      <c r="Y800" s="150"/>
      <c r="Z800" s="40"/>
      <c r="AA800" s="136" t="str">
        <f t="shared" ca="1" si="67"/>
        <v/>
      </c>
      <c r="AB800" s="40"/>
      <c r="AC800" s="116"/>
      <c r="AD800" s="116"/>
      <c r="AE800" s="40"/>
      <c r="AF800" s="136" t="str">
        <f t="shared" ca="1" si="68"/>
        <v/>
      </c>
      <c r="AG800" s="127"/>
      <c r="AH800" s="127"/>
      <c r="AI800" s="127"/>
      <c r="AJ800" s="128"/>
      <c r="AK800" s="128"/>
      <c r="AL800" s="129"/>
    </row>
    <row r="801" spans="1:38" ht="23.25" x14ac:dyDescent="0.25">
      <c r="A801" s="299" t="str">
        <f t="shared" si="69"/>
        <v>17SAM191</v>
      </c>
      <c r="B801" s="298">
        <v>191</v>
      </c>
      <c r="C801" s="299" t="s">
        <v>57</v>
      </c>
      <c r="D801" s="300" t="s">
        <v>170</v>
      </c>
      <c r="E801" s="124" t="s">
        <v>79</v>
      </c>
      <c r="F801" s="124" t="s">
        <v>2225</v>
      </c>
      <c r="G801" s="251" t="s">
        <v>2476</v>
      </c>
      <c r="H801" s="34" t="s">
        <v>60</v>
      </c>
      <c r="I801" s="126" t="s">
        <v>61</v>
      </c>
      <c r="J801" s="47" t="s">
        <v>45</v>
      </c>
      <c r="K801" s="126">
        <v>407.7</v>
      </c>
      <c r="L801" s="126" t="s">
        <v>61</v>
      </c>
      <c r="M801" s="104" t="s">
        <v>61</v>
      </c>
      <c r="N801" s="265">
        <v>43003</v>
      </c>
      <c r="O801" s="260">
        <v>43007</v>
      </c>
      <c r="P801" s="106" t="s">
        <v>1865</v>
      </c>
      <c r="Q801" s="107" t="s">
        <v>1056</v>
      </c>
      <c r="R801" s="244"/>
      <c r="S801" s="37">
        <v>0</v>
      </c>
      <c r="T801" s="36" t="str">
        <f t="shared" ca="1" si="66"/>
        <v>Empty</v>
      </c>
      <c r="U801" s="37" t="s">
        <v>2229</v>
      </c>
      <c r="V801" s="37" t="s">
        <v>2477</v>
      </c>
      <c r="W801" s="38"/>
      <c r="X801" s="39"/>
      <c r="Y801" s="150"/>
      <c r="Z801" s="40"/>
      <c r="AA801" s="136" t="str">
        <f t="shared" ca="1" si="67"/>
        <v/>
      </c>
      <c r="AB801" s="40"/>
      <c r="AC801" s="116"/>
      <c r="AD801" s="116"/>
      <c r="AE801" s="40"/>
      <c r="AF801" s="136" t="str">
        <f t="shared" ca="1" si="68"/>
        <v/>
      </c>
      <c r="AG801" s="127"/>
      <c r="AH801" s="127"/>
      <c r="AI801" s="127"/>
      <c r="AJ801" s="128"/>
      <c r="AK801" s="128"/>
      <c r="AL801" s="129"/>
    </row>
    <row r="802" spans="1:38" ht="23.25" x14ac:dyDescent="0.25">
      <c r="A802" s="299" t="str">
        <f t="shared" si="69"/>
        <v>17SAM192</v>
      </c>
      <c r="B802" s="298">
        <v>192</v>
      </c>
      <c r="C802" s="299" t="s">
        <v>57</v>
      </c>
      <c r="D802" s="300" t="s">
        <v>170</v>
      </c>
      <c r="E802" s="124" t="s">
        <v>739</v>
      </c>
      <c r="F802" s="124" t="s">
        <v>1541</v>
      </c>
      <c r="G802" s="251" t="s">
        <v>802</v>
      </c>
      <c r="H802" s="382" t="s">
        <v>330</v>
      </c>
      <c r="I802" s="126" t="s">
        <v>1269</v>
      </c>
      <c r="J802" s="382" t="s">
        <v>180</v>
      </c>
      <c r="K802" s="126">
        <v>307.64999999999998</v>
      </c>
      <c r="L802" s="126" t="s">
        <v>804</v>
      </c>
      <c r="M802" s="104" t="s">
        <v>805</v>
      </c>
      <c r="N802" s="265">
        <v>43004</v>
      </c>
      <c r="O802" s="260">
        <v>43200</v>
      </c>
      <c r="P802" s="106" t="s">
        <v>183</v>
      </c>
      <c r="Q802" s="107" t="s">
        <v>628</v>
      </c>
      <c r="R802" s="266">
        <v>0.99</v>
      </c>
      <c r="S802" s="37">
        <v>0</v>
      </c>
      <c r="T802" s="36" t="str">
        <f t="shared" ca="1" si="66"/>
        <v>Empty</v>
      </c>
      <c r="U802" s="37" t="s">
        <v>2434</v>
      </c>
      <c r="V802" s="37"/>
      <c r="W802" s="38"/>
      <c r="X802" s="39"/>
      <c r="Y802" s="150"/>
      <c r="Z802" s="40"/>
      <c r="AA802" s="136" t="str">
        <f t="shared" ca="1" si="67"/>
        <v/>
      </c>
      <c r="AB802" s="40"/>
      <c r="AC802" s="116"/>
      <c r="AD802" s="116"/>
      <c r="AE802" s="40"/>
      <c r="AF802" s="136" t="str">
        <f t="shared" ca="1" si="68"/>
        <v/>
      </c>
      <c r="AG802" s="127"/>
      <c r="AH802" s="127"/>
      <c r="AI802" s="127"/>
      <c r="AJ802" s="128"/>
      <c r="AK802" s="128"/>
      <c r="AL802" s="129"/>
    </row>
    <row r="803" spans="1:38" ht="23.25" x14ac:dyDescent="0.25">
      <c r="A803" s="343" t="str">
        <f t="shared" si="69"/>
        <v>17REF193</v>
      </c>
      <c r="B803" s="298">
        <v>193</v>
      </c>
      <c r="C803" s="343" t="s">
        <v>39</v>
      </c>
      <c r="D803" s="344" t="s">
        <v>744</v>
      </c>
      <c r="E803" s="124" t="s">
        <v>41</v>
      </c>
      <c r="F803" s="124" t="s">
        <v>2741</v>
      </c>
      <c r="G803" s="251"/>
      <c r="H803" s="34" t="s">
        <v>43</v>
      </c>
      <c r="I803" s="126" t="s">
        <v>2398</v>
      </c>
      <c r="J803" s="47" t="s">
        <v>45</v>
      </c>
      <c r="K803" s="126">
        <v>195.21</v>
      </c>
      <c r="L803" s="126" t="s">
        <v>2329</v>
      </c>
      <c r="M803" s="104" t="s">
        <v>2330</v>
      </c>
      <c r="N803" s="265">
        <v>43010</v>
      </c>
      <c r="O803" s="260" t="s">
        <v>168</v>
      </c>
      <c r="P803" s="106" t="s">
        <v>271</v>
      </c>
      <c r="Q803" s="107"/>
      <c r="R803" s="266">
        <v>1</v>
      </c>
      <c r="S803" s="37">
        <v>0</v>
      </c>
      <c r="T803" s="36" t="str">
        <f t="shared" ca="1" si="66"/>
        <v>Empty</v>
      </c>
      <c r="U803" s="37"/>
      <c r="V803" s="37"/>
      <c r="W803" s="38"/>
      <c r="X803" s="39"/>
      <c r="Y803" s="150"/>
      <c r="Z803" s="40"/>
      <c r="AA803" s="136" t="str">
        <f t="shared" ca="1" si="67"/>
        <v/>
      </c>
      <c r="AB803" s="40"/>
      <c r="AC803" s="116"/>
      <c r="AD803" s="116"/>
      <c r="AE803" s="40"/>
      <c r="AF803" s="136" t="str">
        <f t="shared" ca="1" si="68"/>
        <v/>
      </c>
      <c r="AG803" s="127"/>
      <c r="AH803" s="127"/>
      <c r="AI803" s="127"/>
      <c r="AJ803" s="128"/>
      <c r="AK803" s="128"/>
      <c r="AL803" s="129"/>
    </row>
    <row r="804" spans="1:38" ht="23.25" x14ac:dyDescent="0.25">
      <c r="A804" s="299" t="str">
        <f t="shared" si="69"/>
        <v>17SAM194</v>
      </c>
      <c r="B804" s="298">
        <v>194</v>
      </c>
      <c r="C804" s="299" t="s">
        <v>57</v>
      </c>
      <c r="D804" s="300" t="s">
        <v>170</v>
      </c>
      <c r="E804" s="124" t="s">
        <v>739</v>
      </c>
      <c r="F804" s="124" t="s">
        <v>2467</v>
      </c>
      <c r="G804" s="251"/>
      <c r="H804" s="34" t="s">
        <v>43</v>
      </c>
      <c r="I804" s="126" t="s">
        <v>2480</v>
      </c>
      <c r="J804" s="47" t="s">
        <v>105</v>
      </c>
      <c r="K804" s="126">
        <v>1637.88</v>
      </c>
      <c r="L804" s="126" t="s">
        <v>2469</v>
      </c>
      <c r="M804" s="104" t="s">
        <v>2470</v>
      </c>
      <c r="N804" s="265">
        <v>43011</v>
      </c>
      <c r="O804" s="260">
        <v>43042</v>
      </c>
      <c r="P804" s="106" t="s">
        <v>497</v>
      </c>
      <c r="Q804" s="107" t="s">
        <v>49</v>
      </c>
      <c r="R804" s="266">
        <v>0.8</v>
      </c>
      <c r="S804" s="37">
        <v>0</v>
      </c>
      <c r="T804" s="36" t="str">
        <f t="shared" ref="T804:T868" ca="1" si="70">IF(S804="","",IF(S804=0,"Empty",IF(O804="","",IF(O804,DAYS360(O804,TODAY())))))</f>
        <v>Empty</v>
      </c>
      <c r="U804" s="37" t="s">
        <v>2071</v>
      </c>
      <c r="V804" s="37"/>
      <c r="W804" s="38"/>
      <c r="X804" s="39"/>
      <c r="Y804" s="150"/>
      <c r="Z804" s="40"/>
      <c r="AA804" s="136" t="str">
        <f t="shared" ref="AA804:AA868" ca="1" si="71">IF(W804="","",IF(W804,DAYS360(W804,TODAY())))</f>
        <v/>
      </c>
      <c r="AB804" s="40"/>
      <c r="AC804" s="116"/>
      <c r="AD804" s="116"/>
      <c r="AE804" s="40"/>
      <c r="AF804" s="136" t="str">
        <f t="shared" ref="AF804:AF868" ca="1" si="72">IF(AB804="","",IF(AB804,DAYS360(AB804,TODAY())))</f>
        <v/>
      </c>
      <c r="AG804" s="127"/>
      <c r="AH804" s="127"/>
      <c r="AI804" s="127"/>
      <c r="AJ804" s="128"/>
      <c r="AK804" s="128"/>
      <c r="AL804" s="129"/>
    </row>
    <row r="805" spans="1:38" ht="23.25" x14ac:dyDescent="0.25">
      <c r="A805" s="299" t="str">
        <f t="shared" si="69"/>
        <v>17SAM195</v>
      </c>
      <c r="B805" s="298">
        <v>195</v>
      </c>
      <c r="C805" s="299" t="s">
        <v>57</v>
      </c>
      <c r="D805" s="300" t="s">
        <v>40</v>
      </c>
      <c r="E805" s="124" t="s">
        <v>2414</v>
      </c>
      <c r="F805" s="124" t="s">
        <v>2483</v>
      </c>
      <c r="G805" s="251" t="s">
        <v>2484</v>
      </c>
      <c r="H805" s="34" t="s">
        <v>112</v>
      </c>
      <c r="I805" s="126" t="s">
        <v>2485</v>
      </c>
      <c r="J805" s="47" t="s">
        <v>45</v>
      </c>
      <c r="K805" s="126">
        <v>259.10000000000002</v>
      </c>
      <c r="L805" s="126">
        <v>3697</v>
      </c>
      <c r="M805" s="104" t="s">
        <v>2486</v>
      </c>
      <c r="N805" s="265">
        <v>43014</v>
      </c>
      <c r="O805" s="260">
        <v>43017</v>
      </c>
      <c r="P805" s="106" t="s">
        <v>86</v>
      </c>
      <c r="Q805" s="107" t="s">
        <v>1025</v>
      </c>
      <c r="R805" s="266">
        <v>0.98</v>
      </c>
      <c r="S805" s="37">
        <v>0</v>
      </c>
      <c r="T805" s="36" t="str">
        <f t="shared" ca="1" si="70"/>
        <v>Empty</v>
      </c>
      <c r="U805" s="37" t="s">
        <v>2487</v>
      </c>
      <c r="V805" s="37"/>
      <c r="W805" s="38"/>
      <c r="X805" s="39"/>
      <c r="Y805" s="150"/>
      <c r="Z805" s="40"/>
      <c r="AA805" s="136" t="str">
        <f t="shared" ca="1" si="71"/>
        <v/>
      </c>
      <c r="AB805" s="40"/>
      <c r="AC805" s="116"/>
      <c r="AD805" s="116"/>
      <c r="AE805" s="40"/>
      <c r="AF805" s="136" t="str">
        <f t="shared" ca="1" si="72"/>
        <v/>
      </c>
      <c r="AG805" s="127"/>
      <c r="AH805" s="127"/>
      <c r="AI805" s="127"/>
      <c r="AJ805" s="128"/>
      <c r="AK805" s="128"/>
      <c r="AL805" s="129"/>
    </row>
    <row r="806" spans="1:38" ht="23.25" x14ac:dyDescent="0.25">
      <c r="A806" s="343" t="str">
        <f t="shared" si="69"/>
        <v>17REF196</v>
      </c>
      <c r="B806" s="342">
        <v>196</v>
      </c>
      <c r="C806" s="343" t="s">
        <v>39</v>
      </c>
      <c r="D806" s="344" t="s">
        <v>40</v>
      </c>
      <c r="E806" s="124" t="s">
        <v>41</v>
      </c>
      <c r="F806" s="124" t="s">
        <v>2488</v>
      </c>
      <c r="G806" s="251" t="s">
        <v>2489</v>
      </c>
      <c r="H806" s="34" t="s">
        <v>112</v>
      </c>
      <c r="I806" s="126" t="s">
        <v>2490</v>
      </c>
      <c r="J806" s="47" t="s">
        <v>45</v>
      </c>
      <c r="K806" s="126">
        <v>356.26</v>
      </c>
      <c r="L806" s="384">
        <v>2349</v>
      </c>
      <c r="M806" s="126" t="s">
        <v>2491</v>
      </c>
      <c r="N806" s="265">
        <v>43014</v>
      </c>
      <c r="O806" s="260"/>
      <c r="P806" s="106" t="s">
        <v>86</v>
      </c>
      <c r="Q806" s="107" t="s">
        <v>2492</v>
      </c>
      <c r="R806" s="266">
        <v>0.98</v>
      </c>
      <c r="S806" s="37"/>
      <c r="T806" s="36" t="str">
        <f t="shared" ca="1" si="70"/>
        <v/>
      </c>
      <c r="U806" s="37"/>
      <c r="V806" s="37"/>
      <c r="W806" s="38"/>
      <c r="X806" s="39"/>
      <c r="Y806" s="150"/>
      <c r="Z806" s="40"/>
      <c r="AA806" s="136" t="str">
        <f t="shared" ca="1" si="71"/>
        <v/>
      </c>
      <c r="AB806" s="40"/>
      <c r="AC806" s="116"/>
      <c r="AD806" s="116"/>
      <c r="AE806" s="40"/>
      <c r="AF806" s="136" t="str">
        <f t="shared" ca="1" si="72"/>
        <v/>
      </c>
      <c r="AG806" s="127"/>
      <c r="AH806" s="127"/>
      <c r="AI806" s="127"/>
      <c r="AJ806" s="128"/>
      <c r="AK806" s="128"/>
      <c r="AL806" s="129"/>
    </row>
    <row r="807" spans="1:38" ht="23.25" x14ac:dyDescent="0.25">
      <c r="A807" s="343" t="str">
        <f t="shared" si="69"/>
        <v>17REF197</v>
      </c>
      <c r="B807" s="342">
        <v>197</v>
      </c>
      <c r="C807" s="343" t="s">
        <v>39</v>
      </c>
      <c r="D807" s="344" t="s">
        <v>40</v>
      </c>
      <c r="E807" s="124" t="s">
        <v>41</v>
      </c>
      <c r="F807" s="124" t="s">
        <v>492</v>
      </c>
      <c r="G807" s="248" t="s">
        <v>493</v>
      </c>
      <c r="H807" s="34" t="s">
        <v>112</v>
      </c>
      <c r="I807" s="126" t="s">
        <v>2493</v>
      </c>
      <c r="J807" s="47" t="s">
        <v>105</v>
      </c>
      <c r="K807" s="126">
        <v>901.95</v>
      </c>
      <c r="L807" s="126">
        <v>1029</v>
      </c>
      <c r="M807" s="104" t="s">
        <v>2494</v>
      </c>
      <c r="N807" s="265">
        <v>43014</v>
      </c>
      <c r="O807" s="260">
        <v>43026</v>
      </c>
      <c r="P807" s="106" t="s">
        <v>497</v>
      </c>
      <c r="Q807" s="107" t="s">
        <v>2495</v>
      </c>
      <c r="R807" s="386" t="s">
        <v>2496</v>
      </c>
      <c r="S807" s="37">
        <v>0</v>
      </c>
      <c r="T807" s="36" t="str">
        <f t="shared" ca="1" si="70"/>
        <v>Empty</v>
      </c>
      <c r="U807" s="37" t="s">
        <v>2446</v>
      </c>
      <c r="V807" s="37"/>
      <c r="W807" s="38">
        <v>43026</v>
      </c>
      <c r="X807" s="39" t="s">
        <v>50</v>
      </c>
      <c r="Y807" s="150" t="s">
        <v>2377</v>
      </c>
      <c r="Z807" s="40" t="s">
        <v>49</v>
      </c>
      <c r="AA807" s="136">
        <f t="shared" ca="1" si="71"/>
        <v>346</v>
      </c>
      <c r="AB807" s="40"/>
      <c r="AC807" s="116"/>
      <c r="AD807" s="116"/>
      <c r="AE807" s="40"/>
      <c r="AF807" s="136" t="str">
        <f t="shared" ca="1" si="72"/>
        <v/>
      </c>
      <c r="AG807" s="127"/>
      <c r="AH807" s="127"/>
      <c r="AI807" s="127"/>
      <c r="AJ807" s="128"/>
      <c r="AK807" s="128"/>
      <c r="AL807" s="129"/>
    </row>
    <row r="808" spans="1:38" ht="30" x14ac:dyDescent="0.25">
      <c r="A808" s="299" t="str">
        <f t="shared" si="69"/>
        <v>17SAM198</v>
      </c>
      <c r="B808" s="298">
        <v>198</v>
      </c>
      <c r="C808" s="299" t="s">
        <v>57</v>
      </c>
      <c r="D808" s="300" t="s">
        <v>40</v>
      </c>
      <c r="E808" s="124" t="s">
        <v>1597</v>
      </c>
      <c r="F808" s="124" t="s">
        <v>1598</v>
      </c>
      <c r="G808" s="251" t="s">
        <v>2497</v>
      </c>
      <c r="H808" s="34" t="s">
        <v>112</v>
      </c>
      <c r="I808" s="126" t="s">
        <v>2498</v>
      </c>
      <c r="J808" s="47" t="s">
        <v>105</v>
      </c>
      <c r="K808" s="126">
        <v>159.22999999999999</v>
      </c>
      <c r="L808" s="126">
        <v>3775</v>
      </c>
      <c r="M808" s="104" t="s">
        <v>1653</v>
      </c>
      <c r="N808" s="265">
        <v>43017</v>
      </c>
      <c r="O808" s="260">
        <v>43019</v>
      </c>
      <c r="P808" s="106" t="s">
        <v>183</v>
      </c>
      <c r="Q808" s="107" t="s">
        <v>2499</v>
      </c>
      <c r="R808" s="266">
        <v>1</v>
      </c>
      <c r="S808" s="37">
        <f>50-10.43-10.42-4.96-15.7-5.74</f>
        <v>2.7499999999999982</v>
      </c>
      <c r="T808" s="36">
        <f t="shared" ca="1" si="70"/>
        <v>353</v>
      </c>
      <c r="U808" s="37" t="s">
        <v>2482</v>
      </c>
      <c r="V808" s="37" t="s">
        <v>2500</v>
      </c>
      <c r="W808" s="38"/>
      <c r="X808" s="39"/>
      <c r="Y808" s="150"/>
      <c r="Z808" s="40"/>
      <c r="AA808" s="136" t="str">
        <f t="shared" ca="1" si="71"/>
        <v/>
      </c>
      <c r="AB808" s="40"/>
      <c r="AC808" s="116"/>
      <c r="AD808" s="116"/>
      <c r="AE808" s="40"/>
      <c r="AF808" s="136" t="str">
        <f t="shared" ca="1" si="72"/>
        <v/>
      </c>
      <c r="AG808" s="127"/>
      <c r="AH808" s="127"/>
      <c r="AI808" s="127"/>
      <c r="AJ808" s="128"/>
      <c r="AK808" s="128"/>
      <c r="AL808" s="129"/>
    </row>
    <row r="809" spans="1:38" ht="30" x14ac:dyDescent="0.25">
      <c r="A809" s="299" t="str">
        <f t="shared" si="69"/>
        <v>17SAM199</v>
      </c>
      <c r="B809" s="298">
        <v>199</v>
      </c>
      <c r="C809" s="299" t="s">
        <v>57</v>
      </c>
      <c r="D809" s="300" t="s">
        <v>40</v>
      </c>
      <c r="E809" s="124" t="s">
        <v>1597</v>
      </c>
      <c r="F809" s="124" t="s">
        <v>1598</v>
      </c>
      <c r="G809" s="251" t="s">
        <v>2497</v>
      </c>
      <c r="H809" s="385" t="s">
        <v>112</v>
      </c>
      <c r="I809" s="126" t="s">
        <v>2498</v>
      </c>
      <c r="J809" s="47" t="s">
        <v>105</v>
      </c>
      <c r="K809" s="126">
        <v>159.22999999999999</v>
      </c>
      <c r="L809" s="126">
        <v>3775</v>
      </c>
      <c r="M809" s="104" t="s">
        <v>1653</v>
      </c>
      <c r="N809" s="265">
        <v>43017</v>
      </c>
      <c r="O809" s="260"/>
      <c r="P809" s="106" t="s">
        <v>183</v>
      </c>
      <c r="Q809" s="107" t="s">
        <v>2499</v>
      </c>
      <c r="R809" s="266">
        <v>1</v>
      </c>
      <c r="S809" s="37"/>
      <c r="T809" s="36" t="str">
        <f t="shared" ca="1" si="70"/>
        <v/>
      </c>
      <c r="U809" s="37" t="s">
        <v>2482</v>
      </c>
      <c r="V809" s="37" t="s">
        <v>2500</v>
      </c>
      <c r="W809" s="38"/>
      <c r="X809" s="39"/>
      <c r="Y809" s="150"/>
      <c r="Z809" s="40"/>
      <c r="AA809" s="136" t="str">
        <f t="shared" ca="1" si="71"/>
        <v/>
      </c>
      <c r="AB809" s="40"/>
      <c r="AC809" s="116"/>
      <c r="AD809" s="116"/>
      <c r="AE809" s="40"/>
      <c r="AF809" s="136" t="str">
        <f t="shared" ca="1" si="72"/>
        <v/>
      </c>
      <c r="AG809" s="127"/>
      <c r="AH809" s="127"/>
      <c r="AI809" s="127"/>
      <c r="AJ809" s="128"/>
      <c r="AK809" s="128"/>
      <c r="AL809" s="129"/>
    </row>
    <row r="810" spans="1:38" ht="23.25" x14ac:dyDescent="0.25">
      <c r="A810" s="343" t="str">
        <f t="shared" si="69"/>
        <v>17REF200</v>
      </c>
      <c r="B810" s="342">
        <v>200</v>
      </c>
      <c r="C810" s="343" t="s">
        <v>39</v>
      </c>
      <c r="D810" s="344" t="s">
        <v>170</v>
      </c>
      <c r="E810" s="124" t="s">
        <v>701</v>
      </c>
      <c r="F810" s="124" t="s">
        <v>2502</v>
      </c>
      <c r="G810" s="251" t="s">
        <v>2505</v>
      </c>
      <c r="H810" s="34" t="s">
        <v>43</v>
      </c>
      <c r="I810" s="126" t="s">
        <v>2503</v>
      </c>
      <c r="J810" s="47" t="s">
        <v>105</v>
      </c>
      <c r="K810" s="126">
        <v>682.8</v>
      </c>
      <c r="L810" s="126" t="s">
        <v>2504</v>
      </c>
      <c r="M810" s="104" t="s">
        <v>2494</v>
      </c>
      <c r="N810" s="265">
        <v>43017</v>
      </c>
      <c r="O810" s="260"/>
      <c r="P810" s="106" t="s">
        <v>497</v>
      </c>
      <c r="Q810" s="107" t="s">
        <v>2506</v>
      </c>
      <c r="R810" s="267">
        <v>0.97399999999999998</v>
      </c>
      <c r="S810" s="37"/>
      <c r="T810" s="36" t="str">
        <f t="shared" ca="1" si="70"/>
        <v/>
      </c>
      <c r="U810" s="37"/>
      <c r="V810" s="37"/>
      <c r="W810" s="38"/>
      <c r="X810" s="39"/>
      <c r="Y810" s="150"/>
      <c r="Z810" s="40"/>
      <c r="AA810" s="136" t="str">
        <f t="shared" ca="1" si="71"/>
        <v/>
      </c>
      <c r="AB810" s="40"/>
      <c r="AC810" s="116"/>
      <c r="AD810" s="116"/>
      <c r="AE810" s="40"/>
      <c r="AF810" s="136" t="str">
        <f t="shared" ca="1" si="72"/>
        <v/>
      </c>
      <c r="AG810" s="127"/>
      <c r="AH810" s="127"/>
      <c r="AI810" s="127"/>
      <c r="AJ810" s="128"/>
      <c r="AK810" s="128"/>
      <c r="AL810" s="129"/>
    </row>
    <row r="811" spans="1:38" ht="30" x14ac:dyDescent="0.25">
      <c r="A811" s="343" t="str">
        <f t="shared" si="69"/>
        <v>17REF201</v>
      </c>
      <c r="B811" s="342">
        <v>201</v>
      </c>
      <c r="C811" s="343" t="s">
        <v>39</v>
      </c>
      <c r="D811" s="344" t="s">
        <v>170</v>
      </c>
      <c r="E811" s="124" t="s">
        <v>701</v>
      </c>
      <c r="F811" s="124" t="s">
        <v>195</v>
      </c>
      <c r="G811" s="251" t="s">
        <v>2507</v>
      </c>
      <c r="H811" s="34" t="s">
        <v>43</v>
      </c>
      <c r="I811" s="126" t="s">
        <v>2508</v>
      </c>
      <c r="J811" s="47" t="s">
        <v>45</v>
      </c>
      <c r="K811" s="126">
        <v>289.37</v>
      </c>
      <c r="L811" s="126" t="s">
        <v>198</v>
      </c>
      <c r="M811" s="104" t="s">
        <v>199</v>
      </c>
      <c r="N811" s="265">
        <v>43017</v>
      </c>
      <c r="O811" s="260">
        <v>43090</v>
      </c>
      <c r="P811" s="106" t="s">
        <v>160</v>
      </c>
      <c r="Q811" s="107" t="s">
        <v>2509</v>
      </c>
      <c r="R811" s="266">
        <v>0.99</v>
      </c>
      <c r="S811" s="37">
        <f>1000-2</f>
        <v>998</v>
      </c>
      <c r="T811" s="36">
        <f t="shared" ca="1" si="70"/>
        <v>283</v>
      </c>
      <c r="U811" s="37"/>
      <c r="V811" s="37"/>
      <c r="W811" s="38"/>
      <c r="X811" s="39"/>
      <c r="Y811" s="150"/>
      <c r="Z811" s="40"/>
      <c r="AA811" s="136" t="str">
        <f t="shared" ca="1" si="71"/>
        <v/>
      </c>
      <c r="AB811" s="40"/>
      <c r="AC811" s="116"/>
      <c r="AD811" s="116"/>
      <c r="AE811" s="40"/>
      <c r="AF811" s="136" t="str">
        <f t="shared" ca="1" si="72"/>
        <v/>
      </c>
      <c r="AG811" s="127"/>
      <c r="AH811" s="127"/>
      <c r="AI811" s="127"/>
      <c r="AJ811" s="128"/>
      <c r="AK811" s="128"/>
      <c r="AL811" s="129"/>
    </row>
    <row r="812" spans="1:38" ht="23.25" x14ac:dyDescent="0.25">
      <c r="A812" s="343" t="str">
        <f t="shared" si="69"/>
        <v>17REF202</v>
      </c>
      <c r="B812" s="342">
        <v>202</v>
      </c>
      <c r="C812" s="343" t="s">
        <v>39</v>
      </c>
      <c r="D812" s="344" t="s">
        <v>170</v>
      </c>
      <c r="E812" s="124" t="s">
        <v>701</v>
      </c>
      <c r="F812" s="124" t="s">
        <v>2510</v>
      </c>
      <c r="G812" s="251"/>
      <c r="H812" s="34" t="s">
        <v>43</v>
      </c>
      <c r="I812" s="126" t="s">
        <v>2511</v>
      </c>
      <c r="J812" s="47" t="s">
        <v>45</v>
      </c>
      <c r="K812" s="126">
        <v>181.66</v>
      </c>
      <c r="L812" s="126" t="s">
        <v>2512</v>
      </c>
      <c r="M812" s="104" t="s">
        <v>2513</v>
      </c>
      <c r="N812" s="265">
        <v>43017</v>
      </c>
      <c r="O812" s="260">
        <v>43018</v>
      </c>
      <c r="P812" s="106" t="s">
        <v>48</v>
      </c>
      <c r="Q812" s="107" t="s">
        <v>2514</v>
      </c>
      <c r="R812" s="266">
        <v>1</v>
      </c>
      <c r="S812" s="37">
        <f>25000-19.6-23.72-1.37</f>
        <v>24955.31</v>
      </c>
      <c r="T812" s="36">
        <f t="shared" ca="1" si="70"/>
        <v>354</v>
      </c>
      <c r="U812" s="37"/>
      <c r="V812" s="37"/>
      <c r="W812" s="38"/>
      <c r="X812" s="39"/>
      <c r="Y812" s="150"/>
      <c r="Z812" s="40"/>
      <c r="AA812" s="136" t="str">
        <f t="shared" ca="1" si="71"/>
        <v/>
      </c>
      <c r="AB812" s="40"/>
      <c r="AC812" s="116"/>
      <c r="AD812" s="116"/>
      <c r="AE812" s="40"/>
      <c r="AF812" s="136" t="str">
        <f t="shared" ca="1" si="72"/>
        <v/>
      </c>
      <c r="AG812" s="127"/>
      <c r="AH812" s="127"/>
      <c r="AI812" s="127"/>
      <c r="AJ812" s="128"/>
      <c r="AK812" s="128"/>
      <c r="AL812" s="129"/>
    </row>
    <row r="813" spans="1:38" ht="23.25" x14ac:dyDescent="0.25">
      <c r="A813" s="343" t="str">
        <f t="shared" si="69"/>
        <v>17REF203</v>
      </c>
      <c r="B813" s="342">
        <v>203</v>
      </c>
      <c r="C813" s="343" t="s">
        <v>39</v>
      </c>
      <c r="D813" s="344" t="s">
        <v>40</v>
      </c>
      <c r="E813" s="124" t="s">
        <v>701</v>
      </c>
      <c r="F813" s="124" t="s">
        <v>2518</v>
      </c>
      <c r="G813" s="251"/>
      <c r="H813" s="34" t="s">
        <v>43</v>
      </c>
      <c r="I813" s="126" t="s">
        <v>2519</v>
      </c>
      <c r="J813" s="47" t="s">
        <v>45</v>
      </c>
      <c r="K813" s="126">
        <v>34.46</v>
      </c>
      <c r="L813" s="126" t="s">
        <v>1304</v>
      </c>
      <c r="M813" s="104" t="s">
        <v>1305</v>
      </c>
      <c r="N813" s="265">
        <v>43033</v>
      </c>
      <c r="O813" s="260"/>
      <c r="P813" s="106" t="s">
        <v>945</v>
      </c>
      <c r="Q813" s="107"/>
      <c r="R813" s="244"/>
      <c r="S813" s="37"/>
      <c r="T813" s="36" t="str">
        <f t="shared" ca="1" si="70"/>
        <v/>
      </c>
      <c r="U813" s="37"/>
      <c r="V813" s="37"/>
      <c r="W813" s="38"/>
      <c r="X813" s="39"/>
      <c r="Y813" s="150"/>
      <c r="Z813" s="40"/>
      <c r="AA813" s="136" t="str">
        <f t="shared" ca="1" si="71"/>
        <v/>
      </c>
      <c r="AB813" s="40"/>
      <c r="AC813" s="116"/>
      <c r="AD813" s="116"/>
      <c r="AE813" s="40"/>
      <c r="AF813" s="136" t="str">
        <f t="shared" ca="1" si="72"/>
        <v/>
      </c>
      <c r="AG813" s="127"/>
      <c r="AH813" s="127"/>
      <c r="AI813" s="127"/>
      <c r="AJ813" s="128"/>
      <c r="AK813" s="128"/>
      <c r="AL813" s="129"/>
    </row>
    <row r="814" spans="1:38" ht="23.25" x14ac:dyDescent="0.25">
      <c r="A814" s="343" t="str">
        <f t="shared" si="69"/>
        <v>17REF204</v>
      </c>
      <c r="B814" s="342">
        <v>204</v>
      </c>
      <c r="C814" s="343" t="s">
        <v>39</v>
      </c>
      <c r="D814" s="344" t="s">
        <v>40</v>
      </c>
      <c r="E814" s="124" t="s">
        <v>701</v>
      </c>
      <c r="F814" s="124" t="s">
        <v>2520</v>
      </c>
      <c r="G814" s="251"/>
      <c r="H814" s="34" t="s">
        <v>43</v>
      </c>
      <c r="I814" s="126" t="s">
        <v>2521</v>
      </c>
      <c r="J814" s="47" t="s">
        <v>45</v>
      </c>
      <c r="K814" s="126">
        <v>40</v>
      </c>
      <c r="L814" s="126" t="s">
        <v>1299</v>
      </c>
      <c r="M814" s="104" t="s">
        <v>1300</v>
      </c>
      <c r="N814" s="265">
        <v>43033</v>
      </c>
      <c r="O814" s="260"/>
      <c r="P814" s="106" t="s">
        <v>945</v>
      </c>
      <c r="Q814" s="107"/>
      <c r="R814" s="244"/>
      <c r="S814" s="37"/>
      <c r="T814" s="36" t="str">
        <f t="shared" ca="1" si="70"/>
        <v/>
      </c>
      <c r="U814" s="37"/>
      <c r="V814" s="37"/>
      <c r="W814" s="38"/>
      <c r="X814" s="39"/>
      <c r="Y814" s="150"/>
      <c r="Z814" s="40"/>
      <c r="AA814" s="136" t="str">
        <f t="shared" ca="1" si="71"/>
        <v/>
      </c>
      <c r="AB814" s="40"/>
      <c r="AC814" s="116"/>
      <c r="AD814" s="116"/>
      <c r="AE814" s="40"/>
      <c r="AF814" s="136" t="str">
        <f t="shared" ca="1" si="72"/>
        <v/>
      </c>
      <c r="AG814" s="127"/>
      <c r="AH814" s="127"/>
      <c r="AI814" s="127"/>
      <c r="AJ814" s="128"/>
      <c r="AK814" s="128"/>
      <c r="AL814" s="129"/>
    </row>
    <row r="815" spans="1:38" ht="39" customHeight="1" x14ac:dyDescent="0.25">
      <c r="A815" s="343" t="str">
        <f t="shared" si="69"/>
        <v>17REF205</v>
      </c>
      <c r="B815" s="342">
        <v>205</v>
      </c>
      <c r="C815" s="343" t="s">
        <v>39</v>
      </c>
      <c r="D815" s="344" t="s">
        <v>744</v>
      </c>
      <c r="E815" s="124" t="s">
        <v>701</v>
      </c>
      <c r="F815" s="124" t="s">
        <v>1777</v>
      </c>
      <c r="G815" s="251" t="s">
        <v>2524</v>
      </c>
      <c r="H815" s="34" t="s">
        <v>43</v>
      </c>
      <c r="I815" s="126" t="s">
        <v>2522</v>
      </c>
      <c r="J815" s="47" t="s">
        <v>45</v>
      </c>
      <c r="K815" s="126">
        <v>298.85000000000002</v>
      </c>
      <c r="L815" s="126" t="s">
        <v>1779</v>
      </c>
      <c r="M815" s="189" t="s">
        <v>1780</v>
      </c>
      <c r="N815" s="265">
        <v>43035</v>
      </c>
      <c r="O815" s="260">
        <v>43039</v>
      </c>
      <c r="P815" s="106" t="s">
        <v>133</v>
      </c>
      <c r="Q815" s="107" t="s">
        <v>49</v>
      </c>
      <c r="R815" s="266">
        <v>0.99</v>
      </c>
      <c r="S815" s="37">
        <f>500-20.8-1-150.8-0.59</f>
        <v>326.81</v>
      </c>
      <c r="T815" s="36">
        <f t="shared" ca="1" si="70"/>
        <v>334</v>
      </c>
      <c r="U815" s="37"/>
      <c r="V815" s="392" t="s">
        <v>2523</v>
      </c>
      <c r="W815" s="38"/>
      <c r="X815" s="39"/>
      <c r="Y815" s="150"/>
      <c r="Z815" s="40"/>
      <c r="AA815" s="136" t="str">
        <f t="shared" ca="1" si="71"/>
        <v/>
      </c>
      <c r="AB815" s="40"/>
      <c r="AC815" s="116"/>
      <c r="AD815" s="116"/>
      <c r="AE815" s="40"/>
      <c r="AF815" s="136" t="str">
        <f t="shared" ca="1" si="72"/>
        <v/>
      </c>
      <c r="AG815" s="127"/>
      <c r="AH815" s="127"/>
      <c r="AI815" s="127"/>
      <c r="AJ815" s="128"/>
      <c r="AK815" s="128"/>
      <c r="AL815" s="129"/>
    </row>
    <row r="816" spans="1:38" ht="23.25" x14ac:dyDescent="0.25">
      <c r="A816" s="299" t="str">
        <f t="shared" si="69"/>
        <v>17SAM206</v>
      </c>
      <c r="B816" s="298">
        <v>206</v>
      </c>
      <c r="C816" s="299" t="s">
        <v>57</v>
      </c>
      <c r="D816" s="300" t="s">
        <v>40</v>
      </c>
      <c r="E816" s="124" t="s">
        <v>2381</v>
      </c>
      <c r="F816" s="124" t="s">
        <v>1356</v>
      </c>
      <c r="G816" s="251" t="s">
        <v>2525</v>
      </c>
      <c r="H816" s="34" t="s">
        <v>43</v>
      </c>
      <c r="I816" s="126" t="s">
        <v>2526</v>
      </c>
      <c r="J816" s="47" t="s">
        <v>45</v>
      </c>
      <c r="K816" s="126">
        <v>151.16</v>
      </c>
      <c r="L816" s="126" t="s">
        <v>1359</v>
      </c>
      <c r="M816" s="104" t="s">
        <v>1360</v>
      </c>
      <c r="N816" s="265">
        <v>43041</v>
      </c>
      <c r="O816" s="260">
        <v>43045</v>
      </c>
      <c r="P816" s="106" t="s">
        <v>1295</v>
      </c>
      <c r="Q816" s="107" t="s">
        <v>2527</v>
      </c>
      <c r="R816" s="266">
        <v>1</v>
      </c>
      <c r="S816" s="37">
        <f>100000-1.93-3.9-3.01</f>
        <v>99991.160000000018</v>
      </c>
      <c r="T816" s="36">
        <f t="shared" ca="1" si="70"/>
        <v>328</v>
      </c>
      <c r="U816" s="37" t="s">
        <v>2528</v>
      </c>
      <c r="V816" s="37"/>
      <c r="W816" s="38">
        <v>43055</v>
      </c>
      <c r="X816" s="39" t="s">
        <v>1790</v>
      </c>
      <c r="Y816" s="116" t="s">
        <v>2210</v>
      </c>
      <c r="Z816" s="40" t="s">
        <v>212</v>
      </c>
      <c r="AA816" s="136">
        <f t="shared" ca="1" si="71"/>
        <v>318</v>
      </c>
      <c r="AB816" s="40"/>
      <c r="AC816" s="116"/>
      <c r="AD816" s="116"/>
      <c r="AE816" s="40"/>
      <c r="AF816" s="136" t="str">
        <f t="shared" ca="1" si="72"/>
        <v/>
      </c>
      <c r="AG816" s="127"/>
      <c r="AH816" s="127"/>
      <c r="AI816" s="127"/>
      <c r="AJ816" s="128"/>
      <c r="AK816" s="128"/>
      <c r="AL816" s="129"/>
    </row>
    <row r="817" spans="1:38" ht="30" x14ac:dyDescent="0.25">
      <c r="A817" s="299" t="str">
        <f t="shared" si="69"/>
        <v>17SAM207</v>
      </c>
      <c r="B817" s="298">
        <v>207</v>
      </c>
      <c r="C817" s="299" t="s">
        <v>57</v>
      </c>
      <c r="D817" s="300" t="s">
        <v>40</v>
      </c>
      <c r="E817" s="124" t="s">
        <v>2529</v>
      </c>
      <c r="F817" s="124" t="s">
        <v>2530</v>
      </c>
      <c r="G817" s="251" t="s">
        <v>2537</v>
      </c>
      <c r="H817" s="34" t="s">
        <v>43</v>
      </c>
      <c r="I817" s="126" t="s">
        <v>2532</v>
      </c>
      <c r="J817" s="47" t="s">
        <v>45</v>
      </c>
      <c r="K817" s="126">
        <v>180.16</v>
      </c>
      <c r="L817" s="126" t="s">
        <v>2533</v>
      </c>
      <c r="M817" s="104" t="s">
        <v>2538</v>
      </c>
      <c r="N817" s="265">
        <v>43041</v>
      </c>
      <c r="O817" s="260">
        <v>43047</v>
      </c>
      <c r="P817" s="106" t="s">
        <v>77</v>
      </c>
      <c r="Q817" s="107" t="s">
        <v>2534</v>
      </c>
      <c r="R817" s="267">
        <v>0.99199999999999999</v>
      </c>
      <c r="S817" s="37">
        <f>2000-10.3-18.8-10.46-13.8-20-16.1-5.46</f>
        <v>1905.0800000000002</v>
      </c>
      <c r="T817" s="36">
        <f t="shared" ca="1" si="70"/>
        <v>326</v>
      </c>
      <c r="U817" s="37" t="s">
        <v>2535</v>
      </c>
      <c r="V817" s="37"/>
      <c r="W817" s="38">
        <v>43047</v>
      </c>
      <c r="X817" s="39" t="s">
        <v>2481</v>
      </c>
      <c r="Y817" s="150" t="s">
        <v>2210</v>
      </c>
      <c r="Z817" s="40" t="s">
        <v>212</v>
      </c>
      <c r="AA817" s="136">
        <f t="shared" ca="1" si="71"/>
        <v>326</v>
      </c>
      <c r="AB817" s="40"/>
      <c r="AC817" s="116"/>
      <c r="AD817" s="116"/>
      <c r="AE817" s="40"/>
      <c r="AF817" s="136" t="str">
        <f t="shared" ca="1" si="72"/>
        <v/>
      </c>
      <c r="AG817" s="127"/>
      <c r="AH817" s="127"/>
      <c r="AI817" s="127"/>
      <c r="AJ817" s="128"/>
      <c r="AK817" s="128"/>
      <c r="AL817" s="129"/>
    </row>
    <row r="818" spans="1:38" ht="23.25" x14ac:dyDescent="0.25">
      <c r="A818" s="299" t="str">
        <f t="shared" si="69"/>
        <v>17SAM208</v>
      </c>
      <c r="B818" s="298">
        <v>208</v>
      </c>
      <c r="C818" s="299" t="s">
        <v>57</v>
      </c>
      <c r="D818" s="300" t="s">
        <v>40</v>
      </c>
      <c r="E818" s="124" t="s">
        <v>2529</v>
      </c>
      <c r="F818" s="124" t="s">
        <v>2565</v>
      </c>
      <c r="G818" s="251"/>
      <c r="H818" s="34" t="s">
        <v>43</v>
      </c>
      <c r="I818" s="126" t="s">
        <v>2539</v>
      </c>
      <c r="J818" s="47" t="s">
        <v>45</v>
      </c>
      <c r="K818" s="126">
        <v>354.31</v>
      </c>
      <c r="L818" s="126" t="s">
        <v>2540</v>
      </c>
      <c r="M818" s="104" t="s">
        <v>2541</v>
      </c>
      <c r="N818" s="265">
        <v>43041</v>
      </c>
      <c r="O818" s="260">
        <v>43047</v>
      </c>
      <c r="P818" s="106" t="s">
        <v>776</v>
      </c>
      <c r="Q818" s="107" t="s">
        <v>2542</v>
      </c>
      <c r="R818" s="266">
        <v>0.99</v>
      </c>
      <c r="S818" s="37">
        <f>250-11.1-16-18.3-39.2-36.2</f>
        <v>129.19999999999999</v>
      </c>
      <c r="T818" s="36">
        <f t="shared" ca="1" si="70"/>
        <v>326</v>
      </c>
      <c r="U818" s="37" t="s">
        <v>2535</v>
      </c>
      <c r="V818" s="37"/>
      <c r="W818" s="38"/>
      <c r="X818" s="39"/>
      <c r="Y818" s="150"/>
      <c r="Z818" s="40"/>
      <c r="AA818" s="136" t="str">
        <f t="shared" ca="1" si="71"/>
        <v/>
      </c>
      <c r="AB818" s="40"/>
      <c r="AC818" s="116"/>
      <c r="AD818" s="116"/>
      <c r="AE818" s="40"/>
      <c r="AF818" s="136" t="str">
        <f t="shared" ca="1" si="72"/>
        <v/>
      </c>
      <c r="AG818" s="127"/>
      <c r="AH818" s="127"/>
      <c r="AI818" s="127"/>
      <c r="AJ818" s="128"/>
      <c r="AK818" s="128"/>
      <c r="AL818" s="129"/>
    </row>
    <row r="819" spans="1:38" ht="23.25" x14ac:dyDescent="0.25">
      <c r="A819" s="299" t="str">
        <f t="shared" si="69"/>
        <v>17SAM209</v>
      </c>
      <c r="B819" s="298">
        <v>209</v>
      </c>
      <c r="C819" s="299" t="s">
        <v>57</v>
      </c>
      <c r="D819" s="300" t="s">
        <v>40</v>
      </c>
      <c r="E819" s="124" t="s">
        <v>2529</v>
      </c>
      <c r="F819" s="124" t="s">
        <v>2531</v>
      </c>
      <c r="G819" s="251" t="s">
        <v>2536</v>
      </c>
      <c r="H819" s="34" t="s">
        <v>43</v>
      </c>
      <c r="I819" s="126" t="s">
        <v>2543</v>
      </c>
      <c r="J819" s="47" t="s">
        <v>45</v>
      </c>
      <c r="K819" s="126">
        <v>194.18</v>
      </c>
      <c r="L819" s="126">
        <v>128708</v>
      </c>
      <c r="M819" s="104" t="s">
        <v>2544</v>
      </c>
      <c r="N819" s="265">
        <v>43041</v>
      </c>
      <c r="O819" s="260">
        <v>43047</v>
      </c>
      <c r="P819" s="106" t="s">
        <v>56</v>
      </c>
      <c r="Q819" s="107" t="s">
        <v>2545</v>
      </c>
      <c r="R819" s="267">
        <v>0.999</v>
      </c>
      <c r="S819" s="37">
        <f>5000-16-21.2-15.1-27</f>
        <v>4920.7</v>
      </c>
      <c r="T819" s="36">
        <f t="shared" ca="1" si="70"/>
        <v>326</v>
      </c>
      <c r="U819" s="37" t="s">
        <v>2535</v>
      </c>
      <c r="V819" s="37"/>
      <c r="W819" s="38">
        <v>43047</v>
      </c>
      <c r="X819" s="39" t="s">
        <v>2481</v>
      </c>
      <c r="Y819" s="150" t="s">
        <v>2210</v>
      </c>
      <c r="Z819" s="40" t="s">
        <v>212</v>
      </c>
      <c r="AA819" s="136">
        <f t="shared" ca="1" si="71"/>
        <v>326</v>
      </c>
      <c r="AB819" s="40"/>
      <c r="AC819" s="116"/>
      <c r="AD819" s="116"/>
      <c r="AE819" s="40"/>
      <c r="AF819" s="136" t="str">
        <f t="shared" ca="1" si="72"/>
        <v/>
      </c>
      <c r="AG819" s="127"/>
      <c r="AH819" s="127"/>
      <c r="AI819" s="127"/>
      <c r="AJ819" s="128"/>
      <c r="AK819" s="128"/>
      <c r="AL819" s="129"/>
    </row>
    <row r="820" spans="1:38" ht="27.75" customHeight="1" x14ac:dyDescent="0.25">
      <c r="A820" s="343" t="str">
        <f t="shared" si="69"/>
        <v>17REF210</v>
      </c>
      <c r="B820" s="342">
        <v>210</v>
      </c>
      <c r="C820" s="343" t="s">
        <v>39</v>
      </c>
      <c r="D820" s="344" t="s">
        <v>744</v>
      </c>
      <c r="E820" s="124" t="s">
        <v>41</v>
      </c>
      <c r="F820" s="124" t="s">
        <v>2986</v>
      </c>
      <c r="G820" s="251"/>
      <c r="H820" s="34" t="s">
        <v>43</v>
      </c>
      <c r="I820" s="126" t="s">
        <v>2546</v>
      </c>
      <c r="J820" s="47" t="s">
        <v>45</v>
      </c>
      <c r="K820" s="132" t="s">
        <v>61</v>
      </c>
      <c r="L820" s="126" t="s">
        <v>1869</v>
      </c>
      <c r="M820" s="104" t="s">
        <v>1870</v>
      </c>
      <c r="N820" s="265">
        <v>43041</v>
      </c>
      <c r="O820" s="260">
        <v>43124</v>
      </c>
      <c r="P820" s="106" t="s">
        <v>48</v>
      </c>
      <c r="Q820" s="107"/>
      <c r="R820" s="269" t="s">
        <v>61</v>
      </c>
      <c r="S820" s="37">
        <v>0</v>
      </c>
      <c r="T820" s="36" t="str">
        <f t="shared" ca="1" si="70"/>
        <v>Empty</v>
      </c>
      <c r="U820" s="37"/>
      <c r="V820" s="37"/>
      <c r="W820" s="38"/>
      <c r="X820" s="39"/>
      <c r="Y820" s="150"/>
      <c r="Z820" s="40"/>
      <c r="AA820" s="136" t="str">
        <f t="shared" ca="1" si="71"/>
        <v/>
      </c>
      <c r="AB820" s="40"/>
      <c r="AC820" s="116"/>
      <c r="AD820" s="116"/>
      <c r="AE820" s="40"/>
      <c r="AF820" s="136" t="str">
        <f t="shared" ca="1" si="72"/>
        <v/>
      </c>
      <c r="AG820" s="127"/>
      <c r="AH820" s="127"/>
      <c r="AI820" s="127"/>
      <c r="AJ820" s="128"/>
      <c r="AK820" s="128"/>
      <c r="AL820" s="129"/>
    </row>
    <row r="821" spans="1:38" ht="24.75" customHeight="1" x14ac:dyDescent="0.25">
      <c r="A821" s="343" t="str">
        <f t="shared" si="69"/>
        <v>17REF211</v>
      </c>
      <c r="B821" s="342">
        <v>211</v>
      </c>
      <c r="C821" s="343" t="s">
        <v>39</v>
      </c>
      <c r="D821" s="344" t="s">
        <v>744</v>
      </c>
      <c r="E821" s="124" t="s">
        <v>41</v>
      </c>
      <c r="F821" s="124" t="s">
        <v>2741</v>
      </c>
      <c r="G821" s="251"/>
      <c r="H821" s="34" t="s">
        <v>43</v>
      </c>
      <c r="I821" s="126" t="s">
        <v>2398</v>
      </c>
      <c r="J821" s="47" t="s">
        <v>45</v>
      </c>
      <c r="K821" s="126">
        <v>195.21</v>
      </c>
      <c r="L821" s="126" t="s">
        <v>2329</v>
      </c>
      <c r="M821" s="104" t="s">
        <v>2330</v>
      </c>
      <c r="N821" s="265">
        <v>43041</v>
      </c>
      <c r="O821" s="260">
        <v>43115</v>
      </c>
      <c r="P821" s="106" t="s">
        <v>271</v>
      </c>
      <c r="Q821" s="107"/>
      <c r="R821" s="394">
        <v>1</v>
      </c>
      <c r="S821" s="37">
        <v>0</v>
      </c>
      <c r="T821" s="36" t="str">
        <f t="shared" ca="1" si="70"/>
        <v>Empty</v>
      </c>
      <c r="U821" s="37"/>
      <c r="V821" s="37"/>
      <c r="W821" s="38"/>
      <c r="X821" s="39"/>
      <c r="Y821" s="150"/>
      <c r="Z821" s="40"/>
      <c r="AA821" s="136" t="str">
        <f t="shared" ca="1" si="71"/>
        <v/>
      </c>
      <c r="AB821" s="40"/>
      <c r="AC821" s="116"/>
      <c r="AD821" s="116"/>
      <c r="AE821" s="40"/>
      <c r="AF821" s="136" t="str">
        <f t="shared" ca="1" si="72"/>
        <v/>
      </c>
      <c r="AG821" s="127"/>
      <c r="AH821" s="127"/>
      <c r="AI821" s="127"/>
      <c r="AJ821" s="128"/>
      <c r="AK821" s="128"/>
      <c r="AL821" s="129"/>
    </row>
    <row r="822" spans="1:38" ht="23.25" x14ac:dyDescent="0.25">
      <c r="A822" s="299" t="str">
        <f t="shared" si="69"/>
        <v>17SAM212</v>
      </c>
      <c r="B822" s="298">
        <v>212</v>
      </c>
      <c r="C822" s="299" t="s">
        <v>57</v>
      </c>
      <c r="D822" s="300" t="s">
        <v>40</v>
      </c>
      <c r="E822" s="124" t="s">
        <v>2529</v>
      </c>
      <c r="F822" s="124" t="s">
        <v>2547</v>
      </c>
      <c r="G822" s="251"/>
      <c r="H822" s="34" t="s">
        <v>60</v>
      </c>
      <c r="I822" s="132" t="s">
        <v>61</v>
      </c>
      <c r="J822" s="47" t="s">
        <v>180</v>
      </c>
      <c r="K822" s="126">
        <v>368.34</v>
      </c>
      <c r="L822" s="132" t="s">
        <v>61</v>
      </c>
      <c r="M822" s="105" t="s">
        <v>61</v>
      </c>
      <c r="N822" s="265">
        <v>43045</v>
      </c>
      <c r="O822" s="260">
        <v>43047</v>
      </c>
      <c r="P822" s="106" t="s">
        <v>2548</v>
      </c>
      <c r="Q822" s="107" t="s">
        <v>2549</v>
      </c>
      <c r="R822" s="244" t="s">
        <v>60</v>
      </c>
      <c r="S822" s="37">
        <f>251.1-12.3-19.8-55.1-18.8-38.02</f>
        <v>107.07999999999996</v>
      </c>
      <c r="T822" s="36">
        <f t="shared" ca="1" si="70"/>
        <v>326</v>
      </c>
      <c r="U822" s="37" t="s">
        <v>2535</v>
      </c>
      <c r="V822" s="37"/>
      <c r="W822" s="38">
        <v>43047</v>
      </c>
      <c r="X822" s="39" t="s">
        <v>2481</v>
      </c>
      <c r="Y822" s="150" t="s">
        <v>2210</v>
      </c>
      <c r="Z822" s="40" t="s">
        <v>212</v>
      </c>
      <c r="AA822" s="136">
        <f t="shared" ca="1" si="71"/>
        <v>326</v>
      </c>
      <c r="AB822" s="40"/>
      <c r="AC822" s="116"/>
      <c r="AD822" s="116"/>
      <c r="AE822" s="40"/>
      <c r="AF822" s="136" t="str">
        <f t="shared" ca="1" si="72"/>
        <v/>
      </c>
      <c r="AG822" s="127"/>
      <c r="AH822" s="127"/>
      <c r="AI822" s="127"/>
      <c r="AJ822" s="128"/>
      <c r="AK822" s="128"/>
      <c r="AL822" s="129"/>
    </row>
    <row r="823" spans="1:38" ht="23.25" x14ac:dyDescent="0.25">
      <c r="A823" s="343" t="str">
        <f t="shared" si="69"/>
        <v>17REF213</v>
      </c>
      <c r="B823" s="342">
        <v>213</v>
      </c>
      <c r="C823" s="343" t="s">
        <v>39</v>
      </c>
      <c r="D823" s="344" t="s">
        <v>40</v>
      </c>
      <c r="E823" s="124" t="s">
        <v>41</v>
      </c>
      <c r="F823" s="124" t="s">
        <v>1598</v>
      </c>
      <c r="G823" s="251"/>
      <c r="H823" s="34" t="s">
        <v>112</v>
      </c>
      <c r="I823" s="126" t="s">
        <v>2553</v>
      </c>
      <c r="J823" s="47" t="s">
        <v>45</v>
      </c>
      <c r="K823" s="126">
        <v>159.22999999999999</v>
      </c>
      <c r="L823" s="126">
        <v>3775</v>
      </c>
      <c r="M823" s="104" t="s">
        <v>1653</v>
      </c>
      <c r="N823" s="265">
        <v>43047</v>
      </c>
      <c r="O823" s="260"/>
      <c r="P823" s="106" t="s">
        <v>183</v>
      </c>
      <c r="Q823" s="107" t="s">
        <v>2554</v>
      </c>
      <c r="R823" s="266">
        <v>1</v>
      </c>
      <c r="S823" s="37"/>
      <c r="T823" s="36" t="str">
        <f t="shared" ca="1" si="70"/>
        <v/>
      </c>
      <c r="U823" s="37"/>
      <c r="V823" s="37"/>
      <c r="W823" s="38"/>
      <c r="X823" s="39"/>
      <c r="Y823" s="150"/>
      <c r="Z823" s="40"/>
      <c r="AA823" s="136" t="str">
        <f t="shared" ca="1" si="71"/>
        <v/>
      </c>
      <c r="AB823" s="40"/>
      <c r="AC823" s="116"/>
      <c r="AD823" s="116"/>
      <c r="AE823" s="40"/>
      <c r="AF823" s="136" t="str">
        <f t="shared" ca="1" si="72"/>
        <v/>
      </c>
      <c r="AG823" s="127"/>
      <c r="AH823" s="127"/>
      <c r="AI823" s="127"/>
      <c r="AJ823" s="128"/>
      <c r="AK823" s="128"/>
      <c r="AL823" s="129"/>
    </row>
    <row r="824" spans="1:38" ht="23.25" x14ac:dyDescent="0.25">
      <c r="A824" s="299" t="str">
        <f t="shared" si="69"/>
        <v>17SAM214</v>
      </c>
      <c r="B824" s="298">
        <v>214</v>
      </c>
      <c r="C824" s="299" t="s">
        <v>57</v>
      </c>
      <c r="D824" s="300" t="s">
        <v>40</v>
      </c>
      <c r="E824" s="124" t="s">
        <v>739</v>
      </c>
      <c r="F824" s="124" t="s">
        <v>2191</v>
      </c>
      <c r="G824" s="251" t="s">
        <v>2557</v>
      </c>
      <c r="H824" s="34" t="s">
        <v>60</v>
      </c>
      <c r="I824" s="132" t="s">
        <v>2555</v>
      </c>
      <c r="J824" s="47" t="s">
        <v>45</v>
      </c>
      <c r="K824" s="126">
        <v>389.42</v>
      </c>
      <c r="L824" s="126" t="s">
        <v>61</v>
      </c>
      <c r="M824" s="104" t="s">
        <v>61</v>
      </c>
      <c r="N824" s="265">
        <v>43048</v>
      </c>
      <c r="O824" s="260">
        <v>43052</v>
      </c>
      <c r="P824" s="106" t="s">
        <v>2556</v>
      </c>
      <c r="Q824" s="107" t="s">
        <v>212</v>
      </c>
      <c r="R824" s="266">
        <v>1</v>
      </c>
      <c r="S824" s="37">
        <f>40.03-1.84-1.7-1.39-5.22</f>
        <v>29.879999999999995</v>
      </c>
      <c r="T824" s="36">
        <f t="shared" ca="1" si="70"/>
        <v>321</v>
      </c>
      <c r="U824" s="37"/>
      <c r="V824" s="37"/>
      <c r="W824" s="38">
        <v>43052</v>
      </c>
      <c r="X824" s="39" t="s">
        <v>1616</v>
      </c>
      <c r="Y824" s="150" t="s">
        <v>2377</v>
      </c>
      <c r="Z824" s="40" t="s">
        <v>212</v>
      </c>
      <c r="AA824" s="136">
        <f t="shared" ca="1" si="71"/>
        <v>321</v>
      </c>
      <c r="AB824" s="271">
        <v>43056</v>
      </c>
      <c r="AC824" s="116" t="s">
        <v>50</v>
      </c>
      <c r="AD824" s="116" t="s">
        <v>2479</v>
      </c>
      <c r="AE824" s="40" t="s">
        <v>212</v>
      </c>
      <c r="AF824" s="136">
        <f t="shared" ca="1" si="72"/>
        <v>317</v>
      </c>
      <c r="AG824" s="127"/>
      <c r="AH824" s="127"/>
      <c r="AI824" s="127"/>
      <c r="AJ824" s="128"/>
      <c r="AK824" s="128"/>
      <c r="AL824" s="129"/>
    </row>
    <row r="825" spans="1:38" ht="23.25" x14ac:dyDescent="0.25">
      <c r="A825" s="343" t="str">
        <f t="shared" si="69"/>
        <v>17REF215</v>
      </c>
      <c r="B825" s="342">
        <v>215</v>
      </c>
      <c r="C825" s="343" t="s">
        <v>39</v>
      </c>
      <c r="D825" s="344" t="s">
        <v>744</v>
      </c>
      <c r="E825" s="124" t="s">
        <v>41</v>
      </c>
      <c r="F825" s="124" t="s">
        <v>2558</v>
      </c>
      <c r="G825" s="251"/>
      <c r="H825" s="34" t="s">
        <v>43</v>
      </c>
      <c r="I825" s="531" t="s">
        <v>2559</v>
      </c>
      <c r="J825" s="47" t="s">
        <v>45</v>
      </c>
      <c r="K825" s="126">
        <v>89.09</v>
      </c>
      <c r="L825" s="126" t="s">
        <v>2560</v>
      </c>
      <c r="M825" s="104" t="s">
        <v>2561</v>
      </c>
      <c r="N825" s="265">
        <v>43052</v>
      </c>
      <c r="O825" s="260">
        <v>43070</v>
      </c>
      <c r="P825" s="106" t="s">
        <v>1295</v>
      </c>
      <c r="Q825" s="107" t="s">
        <v>49</v>
      </c>
      <c r="R825" s="266">
        <v>0.99</v>
      </c>
      <c r="S825" s="37">
        <v>0</v>
      </c>
      <c r="T825" s="36" t="str">
        <f t="shared" ca="1" si="70"/>
        <v>Empty</v>
      </c>
      <c r="U825" s="37"/>
      <c r="V825" s="37"/>
      <c r="W825" s="38"/>
      <c r="X825" s="39"/>
      <c r="Y825" s="150"/>
      <c r="Z825" s="40"/>
      <c r="AA825" s="136" t="str">
        <f t="shared" ca="1" si="71"/>
        <v/>
      </c>
      <c r="AB825" s="40"/>
      <c r="AC825" s="116"/>
      <c r="AD825" s="116"/>
      <c r="AE825" s="40"/>
      <c r="AF825" s="136" t="str">
        <f t="shared" ca="1" si="72"/>
        <v/>
      </c>
      <c r="AG825" s="127"/>
      <c r="AH825" s="127"/>
      <c r="AI825" s="127"/>
      <c r="AJ825" s="128"/>
      <c r="AK825" s="128"/>
      <c r="AL825" s="129"/>
    </row>
    <row r="826" spans="1:38" ht="23.25" x14ac:dyDescent="0.25">
      <c r="A826" s="343" t="str">
        <f t="shared" si="69"/>
        <v>17REF216</v>
      </c>
      <c r="B826" s="342">
        <v>216</v>
      </c>
      <c r="C826" s="343" t="s">
        <v>39</v>
      </c>
      <c r="D826" s="344" t="s">
        <v>40</v>
      </c>
      <c r="E826" s="124" t="s">
        <v>41</v>
      </c>
      <c r="F826" s="124" t="s">
        <v>1840</v>
      </c>
      <c r="G826" s="251"/>
      <c r="H826" s="34" t="s">
        <v>43</v>
      </c>
      <c r="I826" s="126" t="s">
        <v>2562</v>
      </c>
      <c r="J826" s="47" t="s">
        <v>45</v>
      </c>
      <c r="K826" s="126">
        <v>238.3</v>
      </c>
      <c r="L826" s="126" t="s">
        <v>1842</v>
      </c>
      <c r="M826" s="104" t="s">
        <v>2198</v>
      </c>
      <c r="N826" s="265">
        <v>43052</v>
      </c>
      <c r="O826" s="260">
        <v>43056</v>
      </c>
      <c r="P826" s="106" t="s">
        <v>1875</v>
      </c>
      <c r="Q826" s="107" t="s">
        <v>2991</v>
      </c>
      <c r="R826" s="266">
        <v>1</v>
      </c>
      <c r="S826" s="37">
        <v>0</v>
      </c>
      <c r="T826" s="36" t="str">
        <f t="shared" ca="1" si="70"/>
        <v>Empty</v>
      </c>
      <c r="U826" s="37"/>
      <c r="V826" s="37"/>
      <c r="W826" s="38"/>
      <c r="X826" s="39"/>
      <c r="Y826" s="150"/>
      <c r="Z826" s="40"/>
      <c r="AA826" s="136" t="str">
        <f t="shared" ca="1" si="71"/>
        <v/>
      </c>
      <c r="AB826" s="40"/>
      <c r="AC826" s="116"/>
      <c r="AD826" s="116"/>
      <c r="AE826" s="40"/>
      <c r="AF826" s="136" t="str">
        <f t="shared" ca="1" si="72"/>
        <v/>
      </c>
      <c r="AG826" s="127"/>
      <c r="AH826" s="127"/>
      <c r="AI826" s="127"/>
      <c r="AJ826" s="128"/>
      <c r="AK826" s="128"/>
      <c r="AL826" s="129"/>
    </row>
    <row r="827" spans="1:38" ht="23.25" x14ac:dyDescent="0.25">
      <c r="A827" s="343" t="str">
        <f t="shared" si="69"/>
        <v>17REF217</v>
      </c>
      <c r="B827" s="342">
        <v>217</v>
      </c>
      <c r="C827" s="343" t="s">
        <v>39</v>
      </c>
      <c r="D827" s="344" t="s">
        <v>40</v>
      </c>
      <c r="E827" s="124" t="s">
        <v>41</v>
      </c>
      <c r="F827" s="124" t="s">
        <v>2467</v>
      </c>
      <c r="G827" s="251"/>
      <c r="H827" s="34" t="s">
        <v>43</v>
      </c>
      <c r="I827" s="126" t="s">
        <v>2563</v>
      </c>
      <c r="J827" s="47" t="s">
        <v>105</v>
      </c>
      <c r="K827" s="126">
        <v>1637.88</v>
      </c>
      <c r="L827" s="126" t="s">
        <v>2469</v>
      </c>
      <c r="M827" s="104" t="s">
        <v>2470</v>
      </c>
      <c r="N827" s="265">
        <v>43053</v>
      </c>
      <c r="O827" s="260">
        <v>43056</v>
      </c>
      <c r="P827" s="106" t="s">
        <v>194</v>
      </c>
      <c r="Q827" s="107" t="s">
        <v>49</v>
      </c>
      <c r="R827" s="267">
        <v>0.80400000000000005</v>
      </c>
      <c r="S827" s="37">
        <v>0</v>
      </c>
      <c r="T827" s="36" t="str">
        <f t="shared" ca="1" si="70"/>
        <v>Empty</v>
      </c>
      <c r="U827" s="37" t="s">
        <v>2581</v>
      </c>
      <c r="V827" s="37"/>
      <c r="W827" s="38">
        <v>43056</v>
      </c>
      <c r="X827" s="39" t="s">
        <v>50</v>
      </c>
      <c r="Y827" s="116" t="s">
        <v>453</v>
      </c>
      <c r="Z827" s="40" t="s">
        <v>49</v>
      </c>
      <c r="AA827" s="136">
        <f t="shared" ca="1" si="71"/>
        <v>317</v>
      </c>
      <c r="AB827" s="40"/>
      <c r="AC827" s="116"/>
      <c r="AD827" s="116"/>
      <c r="AE827" s="40"/>
      <c r="AF827" s="136" t="str">
        <f t="shared" ca="1" si="72"/>
        <v/>
      </c>
      <c r="AG827" s="127"/>
      <c r="AH827" s="127"/>
      <c r="AI827" s="127"/>
      <c r="AJ827" s="128"/>
      <c r="AK827" s="128"/>
      <c r="AL827" s="129"/>
    </row>
    <row r="828" spans="1:38" ht="23.25" x14ac:dyDescent="0.25">
      <c r="A828" s="343" t="str">
        <f t="shared" si="69"/>
        <v>17REF218</v>
      </c>
      <c r="B828" s="342">
        <v>218</v>
      </c>
      <c r="C828" s="343" t="s">
        <v>39</v>
      </c>
      <c r="D828" s="344" t="s">
        <v>170</v>
      </c>
      <c r="E828" s="124" t="s">
        <v>41</v>
      </c>
      <c r="F828" s="124" t="s">
        <v>2566</v>
      </c>
      <c r="G828" s="251"/>
      <c r="H828" s="34" t="s">
        <v>43</v>
      </c>
      <c r="I828" s="126" t="s">
        <v>2578</v>
      </c>
      <c r="J828" s="47" t="s">
        <v>105</v>
      </c>
      <c r="K828" s="126" t="s">
        <v>2579</v>
      </c>
      <c r="L828" s="126" t="s">
        <v>2569</v>
      </c>
      <c r="M828" s="104" t="s">
        <v>2574</v>
      </c>
      <c r="N828" s="265">
        <v>43054</v>
      </c>
      <c r="O828" s="260">
        <v>43146</v>
      </c>
      <c r="P828" s="106" t="s">
        <v>2573</v>
      </c>
      <c r="Q828" s="107" t="s">
        <v>2577</v>
      </c>
      <c r="R828" s="266">
        <v>0.99</v>
      </c>
      <c r="S828" s="37">
        <v>0</v>
      </c>
      <c r="T828" s="36" t="str">
        <f t="shared" ca="1" si="70"/>
        <v>Empty</v>
      </c>
      <c r="U828" s="37"/>
      <c r="V828" s="37"/>
      <c r="W828" s="38"/>
      <c r="X828" s="39"/>
      <c r="Y828" s="150"/>
      <c r="Z828" s="40"/>
      <c r="AA828" s="136" t="str">
        <f t="shared" ca="1" si="71"/>
        <v/>
      </c>
      <c r="AB828" s="40"/>
      <c r="AC828" s="116"/>
      <c r="AD828" s="116"/>
      <c r="AE828" s="40"/>
      <c r="AF828" s="136" t="str">
        <f t="shared" ca="1" si="72"/>
        <v/>
      </c>
      <c r="AG828" s="127"/>
      <c r="AH828" s="127"/>
      <c r="AI828" s="127"/>
      <c r="AJ828" s="128"/>
      <c r="AK828" s="128"/>
      <c r="AL828" s="129"/>
    </row>
    <row r="829" spans="1:38" ht="23.25" x14ac:dyDescent="0.25">
      <c r="A829" s="343" t="str">
        <f t="shared" si="69"/>
        <v>17REF219</v>
      </c>
      <c r="B829" s="342">
        <v>219</v>
      </c>
      <c r="C829" s="343" t="s">
        <v>39</v>
      </c>
      <c r="D829" s="344" t="s">
        <v>170</v>
      </c>
      <c r="E829" s="124" t="s">
        <v>41</v>
      </c>
      <c r="F829" s="124" t="s">
        <v>2987</v>
      </c>
      <c r="G829" s="251"/>
      <c r="H829" s="34" t="s">
        <v>43</v>
      </c>
      <c r="I829" s="126" t="s">
        <v>2568</v>
      </c>
      <c r="J829" s="47" t="s">
        <v>105</v>
      </c>
      <c r="K829" s="126">
        <v>523.17999999999995</v>
      </c>
      <c r="L829" s="126" t="s">
        <v>1858</v>
      </c>
      <c r="M829" s="104" t="s">
        <v>1859</v>
      </c>
      <c r="N829" s="265">
        <v>43054</v>
      </c>
      <c r="O829" s="260">
        <v>43326</v>
      </c>
      <c r="P829" s="106" t="s">
        <v>124</v>
      </c>
      <c r="Q829" s="107"/>
      <c r="R829" s="266">
        <v>0.97</v>
      </c>
      <c r="S829" s="37">
        <f>100-5.48-16.26</f>
        <v>78.259999999999991</v>
      </c>
      <c r="T829" s="36">
        <f t="shared" ca="1" si="70"/>
        <v>50</v>
      </c>
      <c r="U829" s="37"/>
      <c r="V829" s="37"/>
      <c r="W829" s="38"/>
      <c r="X829" s="39"/>
      <c r="Y829" s="150"/>
      <c r="Z829" s="40"/>
      <c r="AA829" s="136" t="str">
        <f t="shared" ca="1" si="71"/>
        <v/>
      </c>
      <c r="AB829" s="40"/>
      <c r="AC829" s="116"/>
      <c r="AD829" s="116"/>
      <c r="AE829" s="40"/>
      <c r="AF829" s="136" t="str">
        <f t="shared" ca="1" si="72"/>
        <v/>
      </c>
      <c r="AG829" s="127"/>
      <c r="AH829" s="127"/>
      <c r="AI829" s="127"/>
      <c r="AJ829" s="128"/>
      <c r="AK829" s="128"/>
      <c r="AL829" s="129"/>
    </row>
    <row r="830" spans="1:38" ht="23.25" x14ac:dyDescent="0.25">
      <c r="A830" s="343" t="str">
        <f t="shared" si="69"/>
        <v>17REF220</v>
      </c>
      <c r="B830" s="342">
        <v>220</v>
      </c>
      <c r="C830" s="343" t="s">
        <v>39</v>
      </c>
      <c r="D830" s="344" t="s">
        <v>170</v>
      </c>
      <c r="E830" s="124" t="s">
        <v>41</v>
      </c>
      <c r="F830" s="124" t="s">
        <v>2987</v>
      </c>
      <c r="G830" s="251"/>
      <c r="H830" s="395" t="s">
        <v>43</v>
      </c>
      <c r="I830" s="126" t="s">
        <v>2568</v>
      </c>
      <c r="J830" s="47" t="s">
        <v>105</v>
      </c>
      <c r="K830" s="126">
        <v>523.17999999999995</v>
      </c>
      <c r="L830" s="126" t="s">
        <v>1858</v>
      </c>
      <c r="M830" s="104" t="s">
        <v>1859</v>
      </c>
      <c r="N830" s="265">
        <v>43054</v>
      </c>
      <c r="O830" s="262" t="s">
        <v>168</v>
      </c>
      <c r="P830" s="106" t="s">
        <v>124</v>
      </c>
      <c r="Q830" s="107"/>
      <c r="R830" s="266">
        <v>0.97</v>
      </c>
      <c r="S830" s="37">
        <v>0</v>
      </c>
      <c r="T830" s="36" t="str">
        <f ca="1">IF(S830="","",IF(S830=0,"Empty",IF(O831="","",IF(O831,DAYS360(O831,TODAY())))))</f>
        <v>Empty</v>
      </c>
      <c r="U830" s="37"/>
      <c r="V830" s="37"/>
      <c r="W830" s="38"/>
      <c r="X830" s="39"/>
      <c r="Y830" s="150"/>
      <c r="Z830" s="40"/>
      <c r="AA830" s="136" t="str">
        <f t="shared" ca="1" si="71"/>
        <v/>
      </c>
      <c r="AB830" s="40"/>
      <c r="AC830" s="116"/>
      <c r="AD830" s="116"/>
      <c r="AE830" s="40"/>
      <c r="AF830" s="136" t="str">
        <f t="shared" ca="1" si="72"/>
        <v/>
      </c>
      <c r="AG830" s="127"/>
      <c r="AH830" s="127"/>
      <c r="AI830" s="127"/>
      <c r="AJ830" s="128"/>
      <c r="AK830" s="128"/>
      <c r="AL830" s="129"/>
    </row>
    <row r="831" spans="1:38" ht="42" x14ac:dyDescent="0.25">
      <c r="A831" s="299" t="str">
        <f t="shared" si="69"/>
        <v>17SAM221</v>
      </c>
      <c r="B831" s="298">
        <v>221</v>
      </c>
      <c r="C831" s="299" t="s">
        <v>57</v>
      </c>
      <c r="D831" s="300" t="s">
        <v>40</v>
      </c>
      <c r="E831" s="124" t="s">
        <v>101</v>
      </c>
      <c r="F831" s="124" t="s">
        <v>3011</v>
      </c>
      <c r="G831" s="251" t="s">
        <v>3012</v>
      </c>
      <c r="H831" s="34" t="s">
        <v>43</v>
      </c>
      <c r="I831" s="126" t="s">
        <v>2571</v>
      </c>
      <c r="J831" s="47" t="s">
        <v>45</v>
      </c>
      <c r="K831" s="126">
        <v>165.7</v>
      </c>
      <c r="L831" s="126" t="s">
        <v>2572</v>
      </c>
      <c r="M831" s="104" t="s">
        <v>2575</v>
      </c>
      <c r="N831" s="265">
        <v>43054</v>
      </c>
      <c r="O831" s="260">
        <v>43117</v>
      </c>
      <c r="P831" s="106" t="s">
        <v>48</v>
      </c>
      <c r="Q831" s="107" t="s">
        <v>1527</v>
      </c>
      <c r="R831" s="267">
        <v>0.99199999999999999</v>
      </c>
      <c r="S831" s="37">
        <f>25000-148</f>
        <v>24852</v>
      </c>
      <c r="T831" s="36">
        <f t="shared" ca="1" si="70"/>
        <v>257</v>
      </c>
      <c r="U831" s="37"/>
      <c r="V831" s="392" t="s">
        <v>2580</v>
      </c>
      <c r="W831" s="38"/>
      <c r="X831" s="39"/>
      <c r="Y831" s="150"/>
      <c r="Z831" s="40"/>
      <c r="AA831" s="136" t="str">
        <f t="shared" ca="1" si="71"/>
        <v/>
      </c>
      <c r="AB831" s="40"/>
      <c r="AC831" s="116"/>
      <c r="AD831" s="116"/>
      <c r="AE831" s="40"/>
      <c r="AF831" s="136" t="str">
        <f t="shared" ca="1" si="72"/>
        <v/>
      </c>
      <c r="AG831" s="127"/>
      <c r="AH831" s="127"/>
      <c r="AI831" s="127"/>
      <c r="AJ831" s="128"/>
      <c r="AK831" s="128"/>
      <c r="AL831" s="129"/>
    </row>
    <row r="832" spans="1:38" ht="30.75" customHeight="1" x14ac:dyDescent="0.25">
      <c r="A832" s="343" t="str">
        <f t="shared" si="69"/>
        <v>17REF222</v>
      </c>
      <c r="B832" s="342">
        <v>222</v>
      </c>
      <c r="C832" s="343" t="s">
        <v>39</v>
      </c>
      <c r="D832" s="344" t="s">
        <v>744</v>
      </c>
      <c r="E832" s="124" t="s">
        <v>41</v>
      </c>
      <c r="F832" s="124" t="s">
        <v>3188</v>
      </c>
      <c r="G832" s="251" t="s">
        <v>2201</v>
      </c>
      <c r="H832" s="34" t="s">
        <v>330</v>
      </c>
      <c r="I832" s="126" t="s">
        <v>2576</v>
      </c>
      <c r="J832" s="47" t="s">
        <v>180</v>
      </c>
      <c r="K832" s="126">
        <v>518.29999999999995</v>
      </c>
      <c r="L832" s="126" t="s">
        <v>1272</v>
      </c>
      <c r="M832" s="104" t="s">
        <v>1273</v>
      </c>
      <c r="N832" s="265">
        <v>43055</v>
      </c>
      <c r="O832" s="260">
        <v>43056</v>
      </c>
      <c r="P832" s="106" t="s">
        <v>183</v>
      </c>
      <c r="Q832" s="107" t="s">
        <v>125</v>
      </c>
      <c r="R832" s="266">
        <v>0.99</v>
      </c>
      <c r="S832" s="37">
        <v>0</v>
      </c>
      <c r="T832" s="36" t="str">
        <f t="shared" ca="1" si="70"/>
        <v>Empty</v>
      </c>
      <c r="U832" s="37" t="s">
        <v>2601</v>
      </c>
      <c r="V832" s="37"/>
      <c r="W832" s="38">
        <v>43040</v>
      </c>
      <c r="X832" s="39" t="s">
        <v>248</v>
      </c>
      <c r="Y832" s="116" t="s">
        <v>853</v>
      </c>
      <c r="Z832" s="40" t="s">
        <v>49</v>
      </c>
      <c r="AA832" s="136">
        <f t="shared" ca="1" si="71"/>
        <v>333</v>
      </c>
      <c r="AB832" s="40"/>
      <c r="AC832" s="116"/>
      <c r="AD832" s="116"/>
      <c r="AE832" s="40"/>
      <c r="AF832" s="136" t="str">
        <f t="shared" ca="1" si="72"/>
        <v/>
      </c>
      <c r="AG832" s="127"/>
      <c r="AH832" s="127"/>
      <c r="AI832" s="127"/>
      <c r="AJ832" s="128"/>
      <c r="AK832" s="128"/>
      <c r="AL832" s="129"/>
    </row>
    <row r="833" spans="1:38" ht="26.25" customHeight="1" x14ac:dyDescent="0.25">
      <c r="A833" s="343" t="str">
        <f t="shared" si="69"/>
        <v>17REF223</v>
      </c>
      <c r="B833" s="342">
        <v>223</v>
      </c>
      <c r="C833" s="343" t="s">
        <v>39</v>
      </c>
      <c r="D833" s="344" t="s">
        <v>744</v>
      </c>
      <c r="E833" s="124" t="s">
        <v>41</v>
      </c>
      <c r="F833" s="124" t="s">
        <v>3188</v>
      </c>
      <c r="G833" s="251" t="s">
        <v>2201</v>
      </c>
      <c r="H833" s="34" t="s">
        <v>330</v>
      </c>
      <c r="I833" s="126" t="s">
        <v>2576</v>
      </c>
      <c r="J833" s="47" t="s">
        <v>180</v>
      </c>
      <c r="K833" s="126">
        <v>518.29999999999995</v>
      </c>
      <c r="L833" s="126" t="s">
        <v>1272</v>
      </c>
      <c r="M833" s="104" t="s">
        <v>1273</v>
      </c>
      <c r="N833" s="265">
        <v>43055</v>
      </c>
      <c r="O833" s="260">
        <v>43147</v>
      </c>
      <c r="P833" s="106" t="s">
        <v>183</v>
      </c>
      <c r="Q833" s="107" t="s">
        <v>125</v>
      </c>
      <c r="R833" s="266">
        <v>0.99</v>
      </c>
      <c r="S833" s="37">
        <v>0</v>
      </c>
      <c r="T833" s="36" t="str">
        <f t="shared" ca="1" si="70"/>
        <v>Empty</v>
      </c>
      <c r="U833" s="37"/>
      <c r="V833" s="37"/>
      <c r="W833" s="38"/>
      <c r="X833" s="39"/>
      <c r="Y833" s="150"/>
      <c r="Z833" s="40"/>
      <c r="AA833" s="136" t="str">
        <f t="shared" ca="1" si="71"/>
        <v/>
      </c>
      <c r="AB833" s="40"/>
      <c r="AC833" s="116"/>
      <c r="AD833" s="116"/>
      <c r="AE833" s="40"/>
      <c r="AF833" s="136" t="str">
        <f t="shared" ca="1" si="72"/>
        <v/>
      </c>
      <c r="AG833" s="127"/>
      <c r="AH833" s="127"/>
      <c r="AI833" s="127"/>
      <c r="AJ833" s="128"/>
      <c r="AK833" s="128"/>
      <c r="AL833" s="129"/>
    </row>
    <row r="834" spans="1:38" ht="32.25" customHeight="1" x14ac:dyDescent="0.25">
      <c r="A834" s="343" t="str">
        <f t="shared" si="69"/>
        <v>17REF224</v>
      </c>
      <c r="B834" s="342">
        <v>224</v>
      </c>
      <c r="C834" s="343" t="s">
        <v>39</v>
      </c>
      <c r="D834" s="344" t="s">
        <v>744</v>
      </c>
      <c r="E834" s="124" t="s">
        <v>41</v>
      </c>
      <c r="F834" s="124" t="s">
        <v>3188</v>
      </c>
      <c r="G834" s="251" t="s">
        <v>2201</v>
      </c>
      <c r="H834" s="34" t="s">
        <v>330</v>
      </c>
      <c r="I834" s="126" t="s">
        <v>2576</v>
      </c>
      <c r="J834" s="47" t="s">
        <v>180</v>
      </c>
      <c r="K834" s="126">
        <v>518.29999999999995</v>
      </c>
      <c r="L834" s="126" t="s">
        <v>1272</v>
      </c>
      <c r="M834" s="104" t="s">
        <v>1273</v>
      </c>
      <c r="N834" s="265">
        <v>43055</v>
      </c>
      <c r="O834" s="260">
        <v>43059</v>
      </c>
      <c r="P834" s="106" t="s">
        <v>183</v>
      </c>
      <c r="Q834" s="107" t="s">
        <v>125</v>
      </c>
      <c r="R834" s="266">
        <v>0.99</v>
      </c>
      <c r="S834" s="37">
        <v>0</v>
      </c>
      <c r="T834" s="36" t="str">
        <f t="shared" ca="1" si="70"/>
        <v>Empty</v>
      </c>
      <c r="U834" s="37"/>
      <c r="V834" s="37"/>
      <c r="W834" s="38"/>
      <c r="X834" s="39"/>
      <c r="Y834" s="150"/>
      <c r="Z834" s="40"/>
      <c r="AA834" s="136" t="str">
        <f t="shared" ca="1" si="71"/>
        <v/>
      </c>
      <c r="AB834" s="40"/>
      <c r="AC834" s="116"/>
      <c r="AD834" s="116"/>
      <c r="AE834" s="40"/>
      <c r="AF834" s="136" t="str">
        <f t="shared" ca="1" si="72"/>
        <v/>
      </c>
      <c r="AG834" s="127"/>
      <c r="AH834" s="127"/>
      <c r="AI834" s="127"/>
      <c r="AJ834" s="128"/>
      <c r="AK834" s="128"/>
      <c r="AL834" s="129"/>
    </row>
    <row r="835" spans="1:38" ht="30" customHeight="1" x14ac:dyDescent="0.25">
      <c r="A835" s="343" t="str">
        <f t="shared" si="69"/>
        <v>17REF225</v>
      </c>
      <c r="B835" s="342">
        <v>225</v>
      </c>
      <c r="C835" s="343" t="s">
        <v>39</v>
      </c>
      <c r="D835" s="344" t="s">
        <v>744</v>
      </c>
      <c r="E835" s="124" t="s">
        <v>41</v>
      </c>
      <c r="F835" s="124" t="s">
        <v>745</v>
      </c>
      <c r="G835" s="251"/>
      <c r="H835" s="34" t="s">
        <v>43</v>
      </c>
      <c r="I835" s="126" t="s">
        <v>2583</v>
      </c>
      <c r="J835" s="47" t="s">
        <v>45</v>
      </c>
      <c r="K835" s="126">
        <v>758.83</v>
      </c>
      <c r="L835" s="126" t="s">
        <v>747</v>
      </c>
      <c r="M835" s="104" t="s">
        <v>748</v>
      </c>
      <c r="N835" s="265">
        <v>43061</v>
      </c>
      <c r="O835" s="260"/>
      <c r="P835" s="106" t="s">
        <v>183</v>
      </c>
      <c r="Q835" s="107" t="s">
        <v>2584</v>
      </c>
      <c r="R835" s="266">
        <v>1</v>
      </c>
      <c r="S835" s="37"/>
      <c r="T835" s="36" t="str">
        <f t="shared" ca="1" si="70"/>
        <v/>
      </c>
      <c r="U835" s="37"/>
      <c r="V835" s="37"/>
      <c r="W835" s="38"/>
      <c r="X835" s="39"/>
      <c r="Y835" s="150"/>
      <c r="Z835" s="40"/>
      <c r="AA835" s="136" t="str">
        <f t="shared" ca="1" si="71"/>
        <v/>
      </c>
      <c r="AB835" s="40"/>
      <c r="AC835" s="116"/>
      <c r="AD835" s="116"/>
      <c r="AE835" s="40"/>
      <c r="AF835" s="136" t="str">
        <f t="shared" ca="1" si="72"/>
        <v/>
      </c>
      <c r="AG835" s="127"/>
      <c r="AH835" s="127"/>
      <c r="AI835" s="127"/>
      <c r="AJ835" s="128"/>
      <c r="AK835" s="128"/>
      <c r="AL835" s="129"/>
    </row>
    <row r="836" spans="1:38" ht="23.25" x14ac:dyDescent="0.25">
      <c r="A836" s="299" t="str">
        <f t="shared" si="69"/>
        <v>17SAM226</v>
      </c>
      <c r="B836" s="298">
        <v>226</v>
      </c>
      <c r="C836" s="299" t="s">
        <v>57</v>
      </c>
      <c r="D836" s="300" t="s">
        <v>40</v>
      </c>
      <c r="E836" s="124" t="s">
        <v>2332</v>
      </c>
      <c r="F836" s="124" t="s">
        <v>2333</v>
      </c>
      <c r="G836" s="251"/>
      <c r="H836" s="34" t="s">
        <v>60</v>
      </c>
      <c r="I836" s="132" t="s">
        <v>61</v>
      </c>
      <c r="J836" s="47" t="s">
        <v>105</v>
      </c>
      <c r="K836" s="126">
        <v>181.18</v>
      </c>
      <c r="L836" s="132" t="s">
        <v>61</v>
      </c>
      <c r="M836" s="105" t="s">
        <v>61</v>
      </c>
      <c r="N836" s="265">
        <v>43062</v>
      </c>
      <c r="O836" s="260">
        <v>43065</v>
      </c>
      <c r="P836" s="106" t="s">
        <v>2463</v>
      </c>
      <c r="Q836" s="107" t="s">
        <v>2464</v>
      </c>
      <c r="R836" s="244" t="s">
        <v>60</v>
      </c>
      <c r="S836" s="37">
        <f>1090-199.01-211.36-333.2</f>
        <v>346.43</v>
      </c>
      <c r="T836" s="36">
        <f t="shared" ca="1" si="70"/>
        <v>308</v>
      </c>
      <c r="U836" s="37" t="s">
        <v>2587</v>
      </c>
      <c r="V836" s="37"/>
      <c r="W836" s="38"/>
      <c r="X836" s="39"/>
      <c r="Y836" s="150"/>
      <c r="Z836" s="40"/>
      <c r="AA836" s="136" t="str">
        <f t="shared" ca="1" si="71"/>
        <v/>
      </c>
      <c r="AB836" s="40"/>
      <c r="AC836" s="116"/>
      <c r="AD836" s="116"/>
      <c r="AE836" s="40"/>
      <c r="AF836" s="136" t="str">
        <f t="shared" ca="1" si="72"/>
        <v/>
      </c>
      <c r="AG836" s="127"/>
      <c r="AH836" s="127"/>
      <c r="AI836" s="127"/>
      <c r="AJ836" s="128"/>
      <c r="AK836" s="128"/>
      <c r="AL836" s="129"/>
    </row>
    <row r="837" spans="1:38" ht="23.25" x14ac:dyDescent="0.25">
      <c r="A837" s="299" t="str">
        <f t="shared" si="69"/>
        <v>17SAM227</v>
      </c>
      <c r="B837" s="298">
        <v>227</v>
      </c>
      <c r="C837" s="299" t="s">
        <v>57</v>
      </c>
      <c r="D837" s="300" t="s">
        <v>40</v>
      </c>
      <c r="E837" s="124" t="s">
        <v>2332</v>
      </c>
      <c r="F837" s="124" t="s">
        <v>2588</v>
      </c>
      <c r="G837" s="251"/>
      <c r="H837" s="34" t="s">
        <v>60</v>
      </c>
      <c r="I837" s="132" t="s">
        <v>61</v>
      </c>
      <c r="J837" s="47" t="s">
        <v>180</v>
      </c>
      <c r="K837" s="132" t="s">
        <v>61</v>
      </c>
      <c r="L837" s="132" t="s">
        <v>61</v>
      </c>
      <c r="M837" s="105" t="s">
        <v>61</v>
      </c>
      <c r="N837" s="265">
        <v>43062</v>
      </c>
      <c r="O837" s="260">
        <v>43065</v>
      </c>
      <c r="P837" s="106" t="s">
        <v>2589</v>
      </c>
      <c r="Q837" s="107"/>
      <c r="R837" s="244" t="s">
        <v>60</v>
      </c>
      <c r="S837" s="37">
        <v>0</v>
      </c>
      <c r="T837" s="36" t="str">
        <f t="shared" ca="1" si="70"/>
        <v>Empty</v>
      </c>
      <c r="U837" s="37" t="s">
        <v>2587</v>
      </c>
      <c r="V837" s="37"/>
      <c r="W837" s="38"/>
      <c r="X837" s="39"/>
      <c r="Y837" s="150"/>
      <c r="Z837" s="40"/>
      <c r="AA837" s="136" t="str">
        <f t="shared" ca="1" si="71"/>
        <v/>
      </c>
      <c r="AB837" s="40"/>
      <c r="AC837" s="116"/>
      <c r="AD837" s="116"/>
      <c r="AE837" s="40"/>
      <c r="AF837" s="136" t="str">
        <f t="shared" ca="1" si="72"/>
        <v/>
      </c>
      <c r="AG837" s="127"/>
      <c r="AH837" s="127"/>
      <c r="AI837" s="127"/>
      <c r="AJ837" s="128"/>
      <c r="AK837" s="128"/>
      <c r="AL837" s="129"/>
    </row>
    <row r="838" spans="1:38" ht="45" x14ac:dyDescent="0.25">
      <c r="A838" s="299" t="str">
        <f t="shared" si="69"/>
        <v>17SAM228</v>
      </c>
      <c r="B838" s="298">
        <v>228</v>
      </c>
      <c r="C838" s="299" t="s">
        <v>57</v>
      </c>
      <c r="D838" s="300" t="s">
        <v>170</v>
      </c>
      <c r="E838" s="124" t="s">
        <v>739</v>
      </c>
      <c r="F838" s="124" t="s">
        <v>2284</v>
      </c>
      <c r="G838" s="251" t="s">
        <v>2591</v>
      </c>
      <c r="H838" s="34" t="s">
        <v>112</v>
      </c>
      <c r="I838" s="126" t="s">
        <v>2590</v>
      </c>
      <c r="J838" s="47" t="s">
        <v>180</v>
      </c>
      <c r="K838" s="126">
        <v>477.57</v>
      </c>
      <c r="L838" s="126">
        <v>1955</v>
      </c>
      <c r="M838" s="104" t="s">
        <v>2287</v>
      </c>
      <c r="N838" s="265">
        <v>43063</v>
      </c>
      <c r="O838" s="260">
        <v>43060</v>
      </c>
      <c r="P838" s="106" t="s">
        <v>86</v>
      </c>
      <c r="Q838" s="107" t="s">
        <v>504</v>
      </c>
      <c r="R838" s="267">
        <v>0.996</v>
      </c>
      <c r="S838" s="37">
        <f>10-1.33-1.1-1.18-1-1.1-1.32</f>
        <v>2.9700000000000006</v>
      </c>
      <c r="T838" s="36">
        <f t="shared" ca="1" si="70"/>
        <v>313</v>
      </c>
      <c r="U838" s="37" t="s">
        <v>2582</v>
      </c>
      <c r="V838" s="37"/>
      <c r="W838" s="38"/>
      <c r="X838" s="39"/>
      <c r="Y838" s="150"/>
      <c r="Z838" s="40"/>
      <c r="AA838" s="136" t="str">
        <f t="shared" ca="1" si="71"/>
        <v/>
      </c>
      <c r="AB838" s="40"/>
      <c r="AC838" s="116"/>
      <c r="AD838" s="116"/>
      <c r="AE838" s="40"/>
      <c r="AF838" s="136" t="str">
        <f t="shared" ca="1" si="72"/>
        <v/>
      </c>
      <c r="AG838" s="127"/>
      <c r="AH838" s="127"/>
      <c r="AI838" s="127"/>
      <c r="AJ838" s="128"/>
      <c r="AK838" s="128"/>
      <c r="AL838" s="129"/>
    </row>
    <row r="839" spans="1:38" ht="23.25" x14ac:dyDescent="0.25">
      <c r="A839" s="299" t="str">
        <f t="shared" ref="A839:A862" si="73">IF(C839="","",CONCATENATE(17,MID(C839,1,3),B839))</f>
        <v>17SAM229</v>
      </c>
      <c r="B839" s="298">
        <v>229</v>
      </c>
      <c r="C839" s="299" t="s">
        <v>57</v>
      </c>
      <c r="D839" s="300" t="s">
        <v>40</v>
      </c>
      <c r="E839" s="124" t="s">
        <v>2332</v>
      </c>
      <c r="F839" s="124" t="s">
        <v>2592</v>
      </c>
      <c r="G839" s="251" t="s">
        <v>2593</v>
      </c>
      <c r="H839" s="34" t="s">
        <v>330</v>
      </c>
      <c r="I839" s="126" t="s">
        <v>2594</v>
      </c>
      <c r="J839" s="47" t="s">
        <v>105</v>
      </c>
      <c r="K839" s="126">
        <v>192.17</v>
      </c>
      <c r="L839" s="126" t="s">
        <v>2595</v>
      </c>
      <c r="M839" s="104" t="s">
        <v>1488</v>
      </c>
      <c r="N839" s="265">
        <v>43063</v>
      </c>
      <c r="O839" s="260">
        <v>43067</v>
      </c>
      <c r="P839" s="106" t="s">
        <v>86</v>
      </c>
      <c r="Q839" s="107" t="s">
        <v>1491</v>
      </c>
      <c r="R839" s="266">
        <v>0.99</v>
      </c>
      <c r="S839" s="37">
        <v>0</v>
      </c>
      <c r="T839" s="36" t="str">
        <f t="shared" ca="1" si="70"/>
        <v>Empty</v>
      </c>
      <c r="U839" s="37" t="s">
        <v>2587</v>
      </c>
      <c r="V839" s="37"/>
      <c r="W839" s="38"/>
      <c r="X839" s="39"/>
      <c r="Y839" s="150"/>
      <c r="Z839" s="40"/>
      <c r="AA839" s="136" t="str">
        <f t="shared" ca="1" si="71"/>
        <v/>
      </c>
      <c r="AB839" s="40"/>
      <c r="AC839" s="116"/>
      <c r="AD839" s="116"/>
      <c r="AE839" s="40"/>
      <c r="AF839" s="136" t="str">
        <f t="shared" ca="1" si="72"/>
        <v/>
      </c>
      <c r="AG839" s="127"/>
      <c r="AH839" s="127"/>
      <c r="AI839" s="127"/>
      <c r="AJ839" s="128"/>
      <c r="AK839" s="128"/>
      <c r="AL839" s="129"/>
    </row>
    <row r="840" spans="1:38" ht="23.25" x14ac:dyDescent="0.25">
      <c r="A840" s="299" t="str">
        <f t="shared" si="73"/>
        <v>17SAM230</v>
      </c>
      <c r="B840" s="298">
        <v>230</v>
      </c>
      <c r="C840" s="299" t="s">
        <v>57</v>
      </c>
      <c r="D840" s="300" t="s">
        <v>40</v>
      </c>
      <c r="E840" s="124" t="s">
        <v>2332</v>
      </c>
      <c r="F840" s="124" t="s">
        <v>2592</v>
      </c>
      <c r="G840" s="251" t="s">
        <v>2593</v>
      </c>
      <c r="H840" s="396" t="s">
        <v>330</v>
      </c>
      <c r="I840" s="126" t="s">
        <v>2594</v>
      </c>
      <c r="J840" s="47" t="s">
        <v>105</v>
      </c>
      <c r="K840" s="126">
        <v>192.17</v>
      </c>
      <c r="L840" s="126" t="s">
        <v>2595</v>
      </c>
      <c r="M840" s="104" t="s">
        <v>1488</v>
      </c>
      <c r="N840" s="265">
        <v>43063</v>
      </c>
      <c r="O840" s="260">
        <v>43077</v>
      </c>
      <c r="P840" s="106" t="s">
        <v>86</v>
      </c>
      <c r="Q840" s="107" t="s">
        <v>1491</v>
      </c>
      <c r="R840" s="266">
        <v>0.99</v>
      </c>
      <c r="S840" s="37">
        <v>0</v>
      </c>
      <c r="T840" s="36" t="str">
        <f t="shared" ref="T840" ca="1" si="74">IF(S840="","",IF(S840=0,"Empty",IF(O840="","",IF(O840,DAYS360(O840,TODAY())))))</f>
        <v>Empty</v>
      </c>
      <c r="U840" s="37" t="s">
        <v>2587</v>
      </c>
      <c r="V840" s="37"/>
      <c r="W840" s="38">
        <v>43077</v>
      </c>
      <c r="X840" s="39" t="s">
        <v>728</v>
      </c>
      <c r="Y840" s="150" t="s">
        <v>1532</v>
      </c>
      <c r="Z840" s="40" t="s">
        <v>49</v>
      </c>
      <c r="AA840" s="136">
        <f t="shared" ca="1" si="71"/>
        <v>296</v>
      </c>
      <c r="AB840" s="40"/>
      <c r="AC840" s="116"/>
      <c r="AD840" s="116"/>
      <c r="AE840" s="40"/>
      <c r="AF840" s="136" t="str">
        <f t="shared" ca="1" si="72"/>
        <v/>
      </c>
      <c r="AG840" s="127"/>
      <c r="AH840" s="127"/>
      <c r="AI840" s="127"/>
      <c r="AJ840" s="128"/>
      <c r="AK840" s="128"/>
      <c r="AL840" s="129"/>
    </row>
    <row r="841" spans="1:38" ht="23.25" x14ac:dyDescent="0.25">
      <c r="A841" s="343" t="str">
        <f t="shared" si="73"/>
        <v>17REF231</v>
      </c>
      <c r="B841" s="342">
        <v>231</v>
      </c>
      <c r="C841" s="343" t="s">
        <v>39</v>
      </c>
      <c r="D841" s="344" t="s">
        <v>744</v>
      </c>
      <c r="E841" s="124" t="s">
        <v>41</v>
      </c>
      <c r="F841" s="124" t="s">
        <v>3188</v>
      </c>
      <c r="G841" s="251" t="s">
        <v>2201</v>
      </c>
      <c r="H841" s="34" t="s">
        <v>330</v>
      </c>
      <c r="I841" s="126" t="s">
        <v>2576</v>
      </c>
      <c r="J841" s="47" t="s">
        <v>180</v>
      </c>
      <c r="K841" s="126">
        <v>518.29999999999995</v>
      </c>
      <c r="L841" s="126" t="s">
        <v>1272</v>
      </c>
      <c r="M841" s="104" t="s">
        <v>1273</v>
      </c>
      <c r="N841" s="265">
        <v>43063</v>
      </c>
      <c r="O841" s="260">
        <v>43070</v>
      </c>
      <c r="P841" s="106" t="s">
        <v>183</v>
      </c>
      <c r="Q841" s="107" t="s">
        <v>125</v>
      </c>
      <c r="R841" s="266">
        <v>0.99</v>
      </c>
      <c r="S841" s="37">
        <v>0</v>
      </c>
      <c r="T841" s="36" t="str">
        <f t="shared" ca="1" si="70"/>
        <v>Empty</v>
      </c>
      <c r="U841" s="37"/>
      <c r="V841" s="37"/>
      <c r="W841" s="38">
        <v>43070</v>
      </c>
      <c r="X841" s="39" t="s">
        <v>248</v>
      </c>
      <c r="Y841" s="150" t="s">
        <v>1485</v>
      </c>
      <c r="Z841" s="40" t="s">
        <v>49</v>
      </c>
      <c r="AA841" s="136">
        <f t="shared" ca="1" si="71"/>
        <v>303</v>
      </c>
      <c r="AB841" s="40"/>
      <c r="AC841" s="116"/>
      <c r="AD841" s="116"/>
      <c r="AE841" s="40"/>
      <c r="AF841" s="136" t="str">
        <f t="shared" ca="1" si="72"/>
        <v/>
      </c>
      <c r="AG841" s="127"/>
      <c r="AH841" s="127"/>
      <c r="AI841" s="127"/>
      <c r="AJ841" s="128"/>
      <c r="AK841" s="128"/>
      <c r="AL841" s="129"/>
    </row>
    <row r="842" spans="1:38" ht="23.25" x14ac:dyDescent="0.25">
      <c r="A842" s="343" t="str">
        <f t="shared" si="73"/>
        <v>17REF232</v>
      </c>
      <c r="B842" s="342">
        <v>232</v>
      </c>
      <c r="C842" s="343" t="s">
        <v>39</v>
      </c>
      <c r="D842" s="344" t="s">
        <v>744</v>
      </c>
      <c r="E842" s="124" t="s">
        <v>41</v>
      </c>
      <c r="F842" s="124" t="s">
        <v>2596</v>
      </c>
      <c r="G842" s="251" t="s">
        <v>2599</v>
      </c>
      <c r="H842" s="34" t="s">
        <v>330</v>
      </c>
      <c r="I842" s="126" t="s">
        <v>2597</v>
      </c>
      <c r="J842" s="47" t="s">
        <v>180</v>
      </c>
      <c r="K842" s="126">
        <v>386.88</v>
      </c>
      <c r="L842" s="126" t="s">
        <v>2598</v>
      </c>
      <c r="M842" s="104" t="s">
        <v>1309</v>
      </c>
      <c r="N842" s="265">
        <v>43063</v>
      </c>
      <c r="O842" s="260">
        <v>43069</v>
      </c>
      <c r="P842" s="106" t="s">
        <v>183</v>
      </c>
      <c r="Q842" s="107" t="s">
        <v>498</v>
      </c>
      <c r="R842" s="266">
        <v>1</v>
      </c>
      <c r="S842" s="37">
        <v>0</v>
      </c>
      <c r="T842" s="36" t="str">
        <f t="shared" ca="1" si="70"/>
        <v>Empty</v>
      </c>
      <c r="U842" s="37"/>
      <c r="V842" s="37"/>
      <c r="W842" s="38">
        <v>43087</v>
      </c>
      <c r="X842" s="39" t="s">
        <v>248</v>
      </c>
      <c r="Y842" s="150" t="s">
        <v>2310</v>
      </c>
      <c r="Z842" s="40" t="s">
        <v>49</v>
      </c>
      <c r="AA842" s="136">
        <f t="shared" ca="1" si="71"/>
        <v>286</v>
      </c>
      <c r="AB842" s="40"/>
      <c r="AC842" s="116"/>
      <c r="AD842" s="116"/>
      <c r="AE842" s="40"/>
      <c r="AF842" s="136" t="str">
        <f t="shared" ca="1" si="72"/>
        <v/>
      </c>
      <c r="AG842" s="127"/>
      <c r="AH842" s="127"/>
      <c r="AI842" s="127"/>
      <c r="AJ842" s="128"/>
      <c r="AK842" s="128"/>
      <c r="AL842" s="129"/>
    </row>
    <row r="843" spans="1:38" ht="23.25" x14ac:dyDescent="0.25">
      <c r="A843" s="299" t="str">
        <f t="shared" si="73"/>
        <v>17SAM233</v>
      </c>
      <c r="B843" s="298">
        <v>233</v>
      </c>
      <c r="C843" s="299" t="s">
        <v>57</v>
      </c>
      <c r="D843" s="300" t="s">
        <v>40</v>
      </c>
      <c r="E843" s="124" t="s">
        <v>230</v>
      </c>
      <c r="F843" s="124" t="s">
        <v>2603</v>
      </c>
      <c r="G843" s="132" t="s">
        <v>2606</v>
      </c>
      <c r="H843" s="34" t="s">
        <v>60</v>
      </c>
      <c r="I843" s="251" t="s">
        <v>3095</v>
      </c>
      <c r="J843" s="47" t="s">
        <v>45</v>
      </c>
      <c r="K843" s="126">
        <v>385.54</v>
      </c>
      <c r="L843" s="132" t="s">
        <v>61</v>
      </c>
      <c r="M843" s="105" t="s">
        <v>61</v>
      </c>
      <c r="N843" s="265">
        <v>43069</v>
      </c>
      <c r="O843" s="260">
        <v>43073</v>
      </c>
      <c r="P843" s="106" t="s">
        <v>1066</v>
      </c>
      <c r="Q843" s="107" t="s">
        <v>212</v>
      </c>
      <c r="R843" s="244" t="s">
        <v>60</v>
      </c>
      <c r="S843" s="37">
        <f>15.1-5.74-3.18</f>
        <v>6.18</v>
      </c>
      <c r="T843" s="36">
        <f t="shared" ca="1" si="70"/>
        <v>300</v>
      </c>
      <c r="U843" s="37" t="s">
        <v>2604</v>
      </c>
      <c r="V843" s="37"/>
      <c r="W843" s="38"/>
      <c r="X843" s="39"/>
      <c r="Y843" s="150"/>
      <c r="Z843" s="40"/>
      <c r="AA843" s="136" t="str">
        <f t="shared" ca="1" si="71"/>
        <v/>
      </c>
      <c r="AB843" s="40"/>
      <c r="AC843" s="116"/>
      <c r="AD843" s="116"/>
      <c r="AE843" s="40"/>
      <c r="AF843" s="136" t="str">
        <f t="shared" ca="1" si="72"/>
        <v/>
      </c>
      <c r="AG843" s="127"/>
      <c r="AH843" s="127"/>
      <c r="AI843" s="127"/>
      <c r="AJ843" s="128"/>
      <c r="AK843" s="128"/>
      <c r="AL843" s="129"/>
    </row>
    <row r="844" spans="1:38" ht="23.25" x14ac:dyDescent="0.25">
      <c r="A844" s="299" t="str">
        <f t="shared" si="73"/>
        <v>17SAM234</v>
      </c>
      <c r="B844" s="298">
        <v>234</v>
      </c>
      <c r="C844" s="299" t="s">
        <v>57</v>
      </c>
      <c r="D844" s="300" t="s">
        <v>40</v>
      </c>
      <c r="E844" s="124" t="s">
        <v>230</v>
      </c>
      <c r="F844" s="124" t="s">
        <v>2605</v>
      </c>
      <c r="G844" s="132" t="s">
        <v>2607</v>
      </c>
      <c r="H844" s="34" t="s">
        <v>60</v>
      </c>
      <c r="I844" s="126" t="s">
        <v>3096</v>
      </c>
      <c r="J844" s="47" t="s">
        <v>45</v>
      </c>
      <c r="K844" s="126">
        <v>458.64</v>
      </c>
      <c r="L844" s="132" t="s">
        <v>61</v>
      </c>
      <c r="M844" s="105" t="s">
        <v>2608</v>
      </c>
      <c r="N844" s="265">
        <v>43069</v>
      </c>
      <c r="O844" s="260">
        <v>43073</v>
      </c>
      <c r="P844" s="106" t="s">
        <v>1066</v>
      </c>
      <c r="Q844" s="107" t="s">
        <v>212</v>
      </c>
      <c r="R844" s="244" t="s">
        <v>60</v>
      </c>
      <c r="S844" s="37">
        <f>15.1-4.13-2.39-3.32</f>
        <v>5.259999999999998</v>
      </c>
      <c r="T844" s="36">
        <f t="shared" ca="1" si="70"/>
        <v>300</v>
      </c>
      <c r="U844" s="37" t="s">
        <v>2604</v>
      </c>
      <c r="V844" s="37"/>
      <c r="W844" s="38"/>
      <c r="X844" s="39"/>
      <c r="Y844" s="150"/>
      <c r="Z844" s="40"/>
      <c r="AA844" s="136" t="str">
        <f t="shared" ca="1" si="71"/>
        <v/>
      </c>
      <c r="AB844" s="40"/>
      <c r="AC844" s="116"/>
      <c r="AD844" s="116"/>
      <c r="AE844" s="40"/>
      <c r="AF844" s="136" t="str">
        <f t="shared" ca="1" si="72"/>
        <v/>
      </c>
      <c r="AG844" s="127"/>
      <c r="AH844" s="127"/>
      <c r="AI844" s="127"/>
      <c r="AJ844" s="128"/>
      <c r="AK844" s="128"/>
      <c r="AL844" s="129"/>
    </row>
    <row r="845" spans="1:38" ht="23.25" x14ac:dyDescent="0.25">
      <c r="A845" s="299" t="str">
        <f t="shared" si="73"/>
        <v>17SAM235</v>
      </c>
      <c r="B845" s="298">
        <v>235</v>
      </c>
      <c r="C845" s="299" t="s">
        <v>57</v>
      </c>
      <c r="D845" s="300" t="s">
        <v>40</v>
      </c>
      <c r="E845" s="124" t="s">
        <v>230</v>
      </c>
      <c r="F845" s="124" t="s">
        <v>2612</v>
      </c>
      <c r="G845" s="251" t="s">
        <v>2609</v>
      </c>
      <c r="H845" s="34" t="s">
        <v>60</v>
      </c>
      <c r="I845" s="126" t="s">
        <v>3097</v>
      </c>
      <c r="J845" s="47" t="s">
        <v>45</v>
      </c>
      <c r="K845" s="126">
        <v>353.83</v>
      </c>
      <c r="L845" s="132" t="s">
        <v>61</v>
      </c>
      <c r="M845" s="105" t="s">
        <v>61</v>
      </c>
      <c r="N845" s="265">
        <v>43069</v>
      </c>
      <c r="O845" s="260">
        <v>43073</v>
      </c>
      <c r="P845" s="106" t="s">
        <v>891</v>
      </c>
      <c r="Q845" s="107" t="s">
        <v>212</v>
      </c>
      <c r="R845" s="244" t="s">
        <v>60</v>
      </c>
      <c r="S845" s="37">
        <f>15-3.01-3.47-2.56</f>
        <v>5.9599999999999991</v>
      </c>
      <c r="T845" s="36">
        <f t="shared" ca="1" si="70"/>
        <v>300</v>
      </c>
      <c r="U845" s="37" t="s">
        <v>2604</v>
      </c>
      <c r="V845" s="37"/>
      <c r="W845" s="38"/>
      <c r="X845" s="39"/>
      <c r="Y845" s="150"/>
      <c r="Z845" s="40"/>
      <c r="AA845" s="136" t="str">
        <f t="shared" ca="1" si="71"/>
        <v/>
      </c>
      <c r="AB845" s="40"/>
      <c r="AC845" s="116"/>
      <c r="AD845" s="116"/>
      <c r="AE845" s="40"/>
      <c r="AF845" s="136" t="str">
        <f t="shared" ca="1" si="72"/>
        <v/>
      </c>
      <c r="AG845" s="127"/>
      <c r="AH845" s="127"/>
      <c r="AI845" s="127"/>
      <c r="AJ845" s="128"/>
      <c r="AK845" s="128"/>
      <c r="AL845" s="129"/>
    </row>
    <row r="846" spans="1:38" ht="23.25" x14ac:dyDescent="0.25">
      <c r="A846" s="299" t="str">
        <f t="shared" si="73"/>
        <v>17SAM236</v>
      </c>
      <c r="B846" s="298">
        <v>236</v>
      </c>
      <c r="C846" s="299" t="s">
        <v>57</v>
      </c>
      <c r="D846" s="300" t="s">
        <v>40</v>
      </c>
      <c r="E846" s="124" t="s">
        <v>230</v>
      </c>
      <c r="F846" s="124" t="s">
        <v>2610</v>
      </c>
      <c r="G846" s="251" t="s">
        <v>2611</v>
      </c>
      <c r="H846" s="34" t="s">
        <v>60</v>
      </c>
      <c r="I846" s="126" t="s">
        <v>3098</v>
      </c>
      <c r="J846" s="47" t="s">
        <v>45</v>
      </c>
      <c r="K846" s="126">
        <v>334.49</v>
      </c>
      <c r="L846" s="132" t="s">
        <v>2608</v>
      </c>
      <c r="M846" s="105" t="s">
        <v>2608</v>
      </c>
      <c r="N846" s="265">
        <v>43069</v>
      </c>
      <c r="O846" s="260">
        <v>43073</v>
      </c>
      <c r="P846" s="106" t="s">
        <v>1066</v>
      </c>
      <c r="Q846" s="107" t="s">
        <v>212</v>
      </c>
      <c r="R846" s="244" t="s">
        <v>60</v>
      </c>
      <c r="S846" s="37">
        <f>15.1-4.65-2</f>
        <v>8.4499999999999993</v>
      </c>
      <c r="T846" s="36">
        <f t="shared" ca="1" si="70"/>
        <v>300</v>
      </c>
      <c r="U846" s="37" t="s">
        <v>2604</v>
      </c>
      <c r="V846" s="37"/>
      <c r="W846" s="38"/>
      <c r="X846" s="39"/>
      <c r="Y846" s="150"/>
      <c r="Z846" s="40"/>
      <c r="AA846" s="136" t="str">
        <f t="shared" ca="1" si="71"/>
        <v/>
      </c>
      <c r="AB846" s="40"/>
      <c r="AC846" s="116"/>
      <c r="AD846" s="116"/>
      <c r="AE846" s="40"/>
      <c r="AF846" s="136" t="str">
        <f t="shared" ca="1" si="72"/>
        <v/>
      </c>
      <c r="AG846" s="127"/>
      <c r="AH846" s="127"/>
      <c r="AI846" s="127"/>
      <c r="AJ846" s="128"/>
      <c r="AK846" s="128"/>
      <c r="AL846" s="129"/>
    </row>
    <row r="847" spans="1:38" ht="30" x14ac:dyDescent="0.25">
      <c r="A847" s="343" t="str">
        <f t="shared" si="73"/>
        <v>17REF237</v>
      </c>
      <c r="B847" s="342">
        <v>237</v>
      </c>
      <c r="C847" s="343" t="s">
        <v>39</v>
      </c>
      <c r="D847" s="344" t="s">
        <v>40</v>
      </c>
      <c r="E847" s="124" t="s">
        <v>41</v>
      </c>
      <c r="F847" s="124" t="s">
        <v>689</v>
      </c>
      <c r="G847" s="251" t="s">
        <v>2626</v>
      </c>
      <c r="H847" s="34" t="s">
        <v>1368</v>
      </c>
      <c r="I847" s="126">
        <v>2957463</v>
      </c>
      <c r="J847" s="47" t="s">
        <v>45</v>
      </c>
      <c r="K847" s="126">
        <v>182.7</v>
      </c>
      <c r="L847" s="126">
        <v>212385</v>
      </c>
      <c r="M847" s="104" t="s">
        <v>692</v>
      </c>
      <c r="N847" s="265">
        <v>43074</v>
      </c>
      <c r="O847" s="260">
        <v>43075</v>
      </c>
      <c r="P847" s="106" t="s">
        <v>124</v>
      </c>
      <c r="Q847" s="107" t="s">
        <v>2627</v>
      </c>
      <c r="R847" s="266">
        <v>0.99</v>
      </c>
      <c r="S847" s="37">
        <f>100-1.29-3.8-1.02-5.35-41.9-18.9-0.8</f>
        <v>26.940000000000008</v>
      </c>
      <c r="T847" s="36">
        <f t="shared" ca="1" si="70"/>
        <v>298</v>
      </c>
      <c r="U847" s="37" t="s">
        <v>2604</v>
      </c>
      <c r="V847" s="37"/>
      <c r="W847" s="38"/>
      <c r="X847" s="39"/>
      <c r="Y847" s="150"/>
      <c r="Z847" s="40"/>
      <c r="AA847" s="136" t="str">
        <f t="shared" ca="1" si="71"/>
        <v/>
      </c>
      <c r="AB847" s="40"/>
      <c r="AC847" s="116"/>
      <c r="AD847" s="116"/>
      <c r="AE847" s="40"/>
      <c r="AF847" s="136" t="str">
        <f t="shared" ca="1" si="72"/>
        <v/>
      </c>
      <c r="AG847" s="127"/>
      <c r="AH847" s="127"/>
      <c r="AI847" s="127"/>
      <c r="AJ847" s="128"/>
      <c r="AK847" s="128"/>
      <c r="AL847" s="129"/>
    </row>
    <row r="848" spans="1:38" ht="23.25" x14ac:dyDescent="0.25">
      <c r="A848" s="343" t="str">
        <f t="shared" si="73"/>
        <v>17REF238</v>
      </c>
      <c r="B848" s="342">
        <v>238</v>
      </c>
      <c r="C848" s="343" t="s">
        <v>39</v>
      </c>
      <c r="D848" s="344" t="s">
        <v>40</v>
      </c>
      <c r="E848" s="124" t="s">
        <v>41</v>
      </c>
      <c r="F848" s="124" t="s">
        <v>3188</v>
      </c>
      <c r="G848" s="251" t="s">
        <v>2201</v>
      </c>
      <c r="H848" s="34" t="s">
        <v>43</v>
      </c>
      <c r="I848" s="126" t="s">
        <v>2628</v>
      </c>
      <c r="J848" s="47" t="s">
        <v>180</v>
      </c>
      <c r="K848" s="126">
        <v>509.29</v>
      </c>
      <c r="L848" s="126">
        <v>14343</v>
      </c>
      <c r="M848" s="104" t="s">
        <v>808</v>
      </c>
      <c r="N848" s="265">
        <v>43076</v>
      </c>
      <c r="O848" s="260">
        <v>43136</v>
      </c>
      <c r="P848" s="106" t="s">
        <v>183</v>
      </c>
      <c r="Q848" s="107" t="s">
        <v>2307</v>
      </c>
      <c r="R848" s="244" t="s">
        <v>2629</v>
      </c>
      <c r="S848" s="37">
        <v>0</v>
      </c>
      <c r="T848" s="36" t="str">
        <f t="shared" ca="1" si="70"/>
        <v>Empty</v>
      </c>
      <c r="U848" s="37"/>
      <c r="V848" s="37"/>
      <c r="W848" s="38"/>
      <c r="X848" s="39"/>
      <c r="Y848" s="150"/>
      <c r="Z848" s="40"/>
      <c r="AA848" s="136" t="str">
        <f t="shared" ca="1" si="71"/>
        <v/>
      </c>
      <c r="AB848" s="40"/>
      <c r="AC848" s="116"/>
      <c r="AD848" s="116"/>
      <c r="AE848" s="40"/>
      <c r="AF848" s="136" t="str">
        <f t="shared" ca="1" si="72"/>
        <v/>
      </c>
      <c r="AG848" s="127"/>
      <c r="AH848" s="127"/>
      <c r="AI848" s="127"/>
      <c r="AJ848" s="128"/>
      <c r="AK848" s="128"/>
      <c r="AL848" s="129"/>
    </row>
    <row r="849" spans="1:38" ht="23.25" x14ac:dyDescent="0.25">
      <c r="A849" s="299" t="str">
        <f t="shared" si="73"/>
        <v>17SAM239</v>
      </c>
      <c r="B849" s="298">
        <v>239</v>
      </c>
      <c r="C849" s="299" t="s">
        <v>57</v>
      </c>
      <c r="D849" s="300" t="s">
        <v>40</v>
      </c>
      <c r="E849" s="124" t="s">
        <v>2381</v>
      </c>
      <c r="F849" s="124" t="s">
        <v>2631</v>
      </c>
      <c r="G849" s="251"/>
      <c r="H849" s="34" t="s">
        <v>60</v>
      </c>
      <c r="I849" s="126">
        <v>56009</v>
      </c>
      <c r="J849" s="47" t="s">
        <v>105</v>
      </c>
      <c r="K849" s="126">
        <v>324.85000000000002</v>
      </c>
      <c r="L849" s="132" t="s">
        <v>61</v>
      </c>
      <c r="M849" s="105" t="s">
        <v>61</v>
      </c>
      <c r="N849" s="265">
        <v>43081</v>
      </c>
      <c r="O849" s="260">
        <v>43082</v>
      </c>
      <c r="P849" s="106" t="s">
        <v>2632</v>
      </c>
      <c r="Q849" s="107" t="s">
        <v>49</v>
      </c>
      <c r="R849" s="267">
        <v>0.85470000000000002</v>
      </c>
      <c r="S849" s="37">
        <f>300.58-38.7-44.8-43.9</f>
        <v>173.17999999999998</v>
      </c>
      <c r="T849" s="36">
        <f t="shared" ca="1" si="70"/>
        <v>291</v>
      </c>
      <c r="U849" s="37" t="s">
        <v>2528</v>
      </c>
      <c r="V849" s="37"/>
      <c r="W849" s="38"/>
      <c r="X849" s="39"/>
      <c r="Y849" s="150"/>
      <c r="Z849" s="40"/>
      <c r="AA849" s="136" t="str">
        <f t="shared" ca="1" si="71"/>
        <v/>
      </c>
      <c r="AB849" s="40"/>
      <c r="AC849" s="116"/>
      <c r="AD849" s="116"/>
      <c r="AE849" s="40"/>
      <c r="AF849" s="136" t="str">
        <f t="shared" ca="1" si="72"/>
        <v/>
      </c>
      <c r="AG849" s="127"/>
      <c r="AH849" s="127"/>
      <c r="AI849" s="127"/>
      <c r="AJ849" s="128"/>
      <c r="AK849" s="128"/>
      <c r="AL849" s="129"/>
    </row>
    <row r="850" spans="1:38" ht="23.25" x14ac:dyDescent="0.25">
      <c r="A850" s="343" t="str">
        <f t="shared" si="73"/>
        <v>17REF240</v>
      </c>
      <c r="B850" s="342">
        <v>240</v>
      </c>
      <c r="C850" s="343" t="s">
        <v>39</v>
      </c>
      <c r="D850" s="344" t="s">
        <v>40</v>
      </c>
      <c r="E850" s="124" t="s">
        <v>41</v>
      </c>
      <c r="F850" s="124" t="s">
        <v>860</v>
      </c>
      <c r="G850" s="251" t="s">
        <v>802</v>
      </c>
      <c r="H850" s="34" t="s">
        <v>330</v>
      </c>
      <c r="I850" s="126" t="s">
        <v>861</v>
      </c>
      <c r="J850" s="47" t="s">
        <v>180</v>
      </c>
      <c r="K850" s="126">
        <v>340.78</v>
      </c>
      <c r="L850" s="126" t="s">
        <v>862</v>
      </c>
      <c r="M850" s="104" t="s">
        <v>863</v>
      </c>
      <c r="N850" s="265">
        <v>43081</v>
      </c>
      <c r="O850" s="260">
        <v>43143</v>
      </c>
      <c r="P850" s="106" t="s">
        <v>183</v>
      </c>
      <c r="Q850" s="107" t="s">
        <v>2920</v>
      </c>
      <c r="R850" s="266">
        <v>0.99</v>
      </c>
      <c r="S850" s="37">
        <v>0</v>
      </c>
      <c r="T850" s="36" t="str">
        <f t="shared" ca="1" si="70"/>
        <v>Empty</v>
      </c>
      <c r="U850" s="37"/>
      <c r="V850" s="37"/>
      <c r="W850" s="38"/>
      <c r="X850" s="39"/>
      <c r="Y850" s="150"/>
      <c r="Z850" s="40"/>
      <c r="AA850" s="136" t="str">
        <f t="shared" ca="1" si="71"/>
        <v/>
      </c>
      <c r="AB850" s="40"/>
      <c r="AC850" s="116"/>
      <c r="AD850" s="116"/>
      <c r="AE850" s="40"/>
      <c r="AF850" s="136" t="str">
        <f t="shared" ca="1" si="72"/>
        <v/>
      </c>
      <c r="AG850" s="127"/>
      <c r="AH850" s="127"/>
      <c r="AI850" s="127"/>
      <c r="AJ850" s="128"/>
      <c r="AK850" s="128"/>
      <c r="AL850" s="129"/>
    </row>
    <row r="851" spans="1:38" ht="23.25" x14ac:dyDescent="0.25">
      <c r="A851" s="299" t="str">
        <f t="shared" si="73"/>
        <v>17SAM241</v>
      </c>
      <c r="B851" s="298">
        <v>241</v>
      </c>
      <c r="C851" s="299" t="s">
        <v>57</v>
      </c>
      <c r="D851" s="300" t="s">
        <v>744</v>
      </c>
      <c r="E851" s="124" t="s">
        <v>2633</v>
      </c>
      <c r="F851" s="124" t="s">
        <v>2265</v>
      </c>
      <c r="G851" s="251" t="s">
        <v>644</v>
      </c>
      <c r="H851" s="34" t="s">
        <v>330</v>
      </c>
      <c r="I851" s="531" t="s">
        <v>1186</v>
      </c>
      <c r="J851" s="47" t="s">
        <v>180</v>
      </c>
      <c r="K851" s="126">
        <v>368.23</v>
      </c>
      <c r="L851" s="126" t="s">
        <v>1187</v>
      </c>
      <c r="M851" s="104" t="s">
        <v>339</v>
      </c>
      <c r="N851" s="265">
        <v>43081</v>
      </c>
      <c r="O851" s="260">
        <v>43087</v>
      </c>
      <c r="P851" s="106" t="s">
        <v>183</v>
      </c>
      <c r="Q851" s="107" t="s">
        <v>628</v>
      </c>
      <c r="R851" s="266">
        <v>0.99</v>
      </c>
      <c r="S851" s="37">
        <v>0</v>
      </c>
      <c r="T851" s="36" t="str">
        <f t="shared" ca="1" si="70"/>
        <v>Empty</v>
      </c>
      <c r="U851" s="37"/>
      <c r="V851" s="37"/>
      <c r="W851" s="38">
        <v>43087</v>
      </c>
      <c r="X851" s="39" t="s">
        <v>248</v>
      </c>
      <c r="Y851" s="150" t="s">
        <v>1467</v>
      </c>
      <c r="Z851" s="40" t="s">
        <v>49</v>
      </c>
      <c r="AA851" s="136">
        <f t="shared" ca="1" si="71"/>
        <v>286</v>
      </c>
      <c r="AB851" s="40"/>
      <c r="AC851" s="116"/>
      <c r="AD851" s="116"/>
      <c r="AE851" s="40"/>
      <c r="AF851" s="136" t="str">
        <f t="shared" ca="1" si="72"/>
        <v/>
      </c>
      <c r="AG851" s="127"/>
      <c r="AH851" s="127"/>
      <c r="AI851" s="127"/>
      <c r="AJ851" s="128"/>
      <c r="AK851" s="128"/>
      <c r="AL851" s="129"/>
    </row>
    <row r="852" spans="1:38" ht="23.25" x14ac:dyDescent="0.25">
      <c r="A852" s="299" t="str">
        <f t="shared" si="73"/>
        <v>17SAM242</v>
      </c>
      <c r="B852" s="298">
        <v>242</v>
      </c>
      <c r="C852" s="299" t="s">
        <v>57</v>
      </c>
      <c r="D852" s="300" t="s">
        <v>744</v>
      </c>
      <c r="E852" s="124" t="s">
        <v>2633</v>
      </c>
      <c r="F852" s="124" t="s">
        <v>2596</v>
      </c>
      <c r="G852" s="251"/>
      <c r="H852" s="34" t="s">
        <v>330</v>
      </c>
      <c r="I852" s="126" t="s">
        <v>2597</v>
      </c>
      <c r="J852" s="47" t="s">
        <v>180</v>
      </c>
      <c r="K852" s="126">
        <v>386.88</v>
      </c>
      <c r="L852" s="126" t="s">
        <v>2598</v>
      </c>
      <c r="M852" s="104" t="s">
        <v>2634</v>
      </c>
      <c r="N852" s="265">
        <v>43082</v>
      </c>
      <c r="O852" s="260">
        <v>43111</v>
      </c>
      <c r="P852" s="106" t="s">
        <v>183</v>
      </c>
      <c r="Q852" s="107" t="s">
        <v>498</v>
      </c>
      <c r="R852" s="266">
        <v>0.99</v>
      </c>
      <c r="S852" s="37">
        <v>0</v>
      </c>
      <c r="T852" s="36" t="str">
        <f t="shared" ca="1" si="70"/>
        <v>Empty</v>
      </c>
      <c r="U852" s="37"/>
      <c r="V852" s="37"/>
      <c r="W852" s="38"/>
      <c r="X852" s="39"/>
      <c r="Y852" s="150"/>
      <c r="Z852" s="40"/>
      <c r="AA852" s="136" t="str">
        <f t="shared" ca="1" si="71"/>
        <v/>
      </c>
      <c r="AB852" s="40"/>
      <c r="AC852" s="116"/>
      <c r="AD852" s="116"/>
      <c r="AE852" s="40"/>
      <c r="AF852" s="136" t="str">
        <f t="shared" ca="1" si="72"/>
        <v/>
      </c>
      <c r="AG852" s="127"/>
      <c r="AH852" s="127"/>
      <c r="AI852" s="127"/>
      <c r="AJ852" s="128"/>
      <c r="AK852" s="128"/>
      <c r="AL852" s="129"/>
    </row>
    <row r="853" spans="1:38" ht="23.25" customHeight="1" x14ac:dyDescent="0.25">
      <c r="A853" s="343" t="str">
        <f>IF(C853="","",CONCATENATE(17,MID(C853,1,3),B853))</f>
        <v>17REF243</v>
      </c>
      <c r="B853" s="342">
        <v>243</v>
      </c>
      <c r="C853" s="343" t="s">
        <v>39</v>
      </c>
      <c r="D853" s="344" t="s">
        <v>744</v>
      </c>
      <c r="E853" s="124" t="s">
        <v>41</v>
      </c>
      <c r="F853" s="124" t="s">
        <v>2072</v>
      </c>
      <c r="G853" s="251"/>
      <c r="H853" s="34" t="s">
        <v>43</v>
      </c>
      <c r="I853" s="531" t="s">
        <v>2635</v>
      </c>
      <c r="J853" s="47" t="s">
        <v>180</v>
      </c>
      <c r="K853" s="126">
        <v>110.04</v>
      </c>
      <c r="L853" s="126" t="s">
        <v>658</v>
      </c>
      <c r="M853" s="104" t="s">
        <v>659</v>
      </c>
      <c r="N853" s="265">
        <v>43084</v>
      </c>
      <c r="O853" s="260">
        <v>43164</v>
      </c>
      <c r="P853" s="106" t="s">
        <v>56</v>
      </c>
      <c r="Q853" s="107"/>
      <c r="R853" s="266">
        <v>1</v>
      </c>
      <c r="S853" s="37">
        <v>0</v>
      </c>
      <c r="T853" s="36" t="str">
        <f t="shared" ca="1" si="70"/>
        <v>Empty</v>
      </c>
      <c r="U853" s="37"/>
      <c r="V853" s="37"/>
      <c r="W853" s="38"/>
      <c r="X853" s="39"/>
      <c r="Y853" s="150"/>
      <c r="Z853" s="40"/>
      <c r="AA853" s="136" t="str">
        <f t="shared" ca="1" si="71"/>
        <v/>
      </c>
      <c r="AB853" s="40"/>
      <c r="AC853" s="116"/>
      <c r="AD853" s="116"/>
      <c r="AE853" s="40"/>
      <c r="AF853" s="136" t="str">
        <f t="shared" ca="1" si="72"/>
        <v/>
      </c>
      <c r="AG853" s="127"/>
      <c r="AH853" s="127"/>
      <c r="AI853" s="127"/>
      <c r="AJ853" s="128"/>
      <c r="AK853" s="128"/>
      <c r="AL853" s="129"/>
    </row>
    <row r="854" spans="1:38" ht="29.25" customHeight="1" x14ac:dyDescent="0.25">
      <c r="A854" s="343" t="str">
        <f t="shared" si="73"/>
        <v>17REF244</v>
      </c>
      <c r="B854" s="342">
        <v>244</v>
      </c>
      <c r="C854" s="343" t="s">
        <v>39</v>
      </c>
      <c r="D854" s="344" t="s">
        <v>744</v>
      </c>
      <c r="E854" s="124" t="s">
        <v>41</v>
      </c>
      <c r="F854" s="124" t="s">
        <v>2072</v>
      </c>
      <c r="G854" s="251"/>
      <c r="H854" s="34" t="s">
        <v>43</v>
      </c>
      <c r="I854" s="531" t="s">
        <v>2635</v>
      </c>
      <c r="J854" s="47" t="s">
        <v>180</v>
      </c>
      <c r="K854" s="126">
        <v>110.04</v>
      </c>
      <c r="L854" s="126" t="s">
        <v>658</v>
      </c>
      <c r="M854" s="104" t="s">
        <v>659</v>
      </c>
      <c r="N854" s="265">
        <v>43084</v>
      </c>
      <c r="O854" s="260" t="s">
        <v>168</v>
      </c>
      <c r="P854" s="106" t="s">
        <v>258</v>
      </c>
      <c r="Q854" s="107"/>
      <c r="R854" s="266">
        <v>1</v>
      </c>
      <c r="S854" s="37">
        <v>0</v>
      </c>
      <c r="T854" s="36" t="str">
        <f t="shared" ca="1" si="70"/>
        <v>Empty</v>
      </c>
      <c r="U854" s="37"/>
      <c r="V854" s="37"/>
      <c r="W854" s="38"/>
      <c r="X854" s="39"/>
      <c r="Y854" s="150"/>
      <c r="Z854" s="40"/>
      <c r="AA854" s="136" t="str">
        <f t="shared" ca="1" si="71"/>
        <v/>
      </c>
      <c r="AB854" s="40"/>
      <c r="AC854" s="116"/>
      <c r="AD854" s="116"/>
      <c r="AE854" s="40"/>
      <c r="AF854" s="136" t="str">
        <f t="shared" ca="1" si="72"/>
        <v/>
      </c>
      <c r="AG854" s="127"/>
      <c r="AH854" s="127"/>
      <c r="AI854" s="127"/>
      <c r="AJ854" s="128"/>
      <c r="AK854" s="128"/>
      <c r="AL854" s="129"/>
    </row>
    <row r="855" spans="1:38" ht="30" customHeight="1" x14ac:dyDescent="0.25">
      <c r="A855" s="343" t="str">
        <f t="shared" si="73"/>
        <v>17REF245</v>
      </c>
      <c r="B855" s="342">
        <v>245</v>
      </c>
      <c r="C855" s="343" t="s">
        <v>39</v>
      </c>
      <c r="D855" s="344" t="s">
        <v>744</v>
      </c>
      <c r="E855" s="124" t="s">
        <v>41</v>
      </c>
      <c r="F855" s="124" t="s">
        <v>3188</v>
      </c>
      <c r="G855" s="251" t="s">
        <v>2201</v>
      </c>
      <c r="H855" s="34" t="s">
        <v>43</v>
      </c>
      <c r="I855" s="126" t="s">
        <v>2628</v>
      </c>
      <c r="J855" s="47" t="s">
        <v>180</v>
      </c>
      <c r="K855" s="126">
        <v>509.29</v>
      </c>
      <c r="L855" s="126">
        <v>14343</v>
      </c>
      <c r="M855" s="104" t="s">
        <v>808</v>
      </c>
      <c r="N855" s="265">
        <v>43084</v>
      </c>
      <c r="O855" s="260">
        <v>43208</v>
      </c>
      <c r="P855" s="106" t="s">
        <v>183</v>
      </c>
      <c r="Q855" s="107" t="s">
        <v>2307</v>
      </c>
      <c r="R855" s="267">
        <v>0.999</v>
      </c>
      <c r="S855" s="37">
        <v>0</v>
      </c>
      <c r="T855" s="36" t="str">
        <f t="shared" ca="1" si="70"/>
        <v>Empty</v>
      </c>
      <c r="U855" s="37"/>
      <c r="V855" s="37"/>
      <c r="W855" s="38"/>
      <c r="X855" s="39"/>
      <c r="Y855" s="150"/>
      <c r="Z855" s="40"/>
      <c r="AA855" s="136" t="str">
        <f t="shared" ca="1" si="71"/>
        <v/>
      </c>
      <c r="AB855" s="40"/>
      <c r="AC855" s="116"/>
      <c r="AD855" s="116"/>
      <c r="AE855" s="40"/>
      <c r="AF855" s="136" t="str">
        <f t="shared" ca="1" si="72"/>
        <v/>
      </c>
      <c r="AG855" s="127"/>
      <c r="AH855" s="127"/>
      <c r="AI855" s="127"/>
      <c r="AJ855" s="128"/>
      <c r="AK855" s="128"/>
      <c r="AL855" s="129"/>
    </row>
    <row r="856" spans="1:38" ht="24" customHeight="1" x14ac:dyDescent="0.25">
      <c r="A856" s="343" t="str">
        <f t="shared" si="73"/>
        <v>17REF246</v>
      </c>
      <c r="B856" s="342">
        <v>246</v>
      </c>
      <c r="C856" s="343" t="s">
        <v>39</v>
      </c>
      <c r="D856" s="344" t="s">
        <v>744</v>
      </c>
      <c r="E856" s="124" t="s">
        <v>41</v>
      </c>
      <c r="F856" s="124" t="s">
        <v>2592</v>
      </c>
      <c r="G856" s="251"/>
      <c r="H856" s="34" t="s">
        <v>330</v>
      </c>
      <c r="I856" s="126" t="s">
        <v>2594</v>
      </c>
      <c r="J856" s="47" t="s">
        <v>105</v>
      </c>
      <c r="K856" s="126">
        <v>192.17</v>
      </c>
      <c r="L856" s="126" t="s">
        <v>2595</v>
      </c>
      <c r="M856" s="104" t="s">
        <v>1488</v>
      </c>
      <c r="N856" s="265">
        <v>43088</v>
      </c>
      <c r="O856" s="260"/>
      <c r="P856" s="106" t="s">
        <v>86</v>
      </c>
      <c r="Q856" s="107" t="s">
        <v>1491</v>
      </c>
      <c r="R856" s="266">
        <v>0.99</v>
      </c>
      <c r="S856" s="37"/>
      <c r="T856" s="36" t="str">
        <f t="shared" ca="1" si="70"/>
        <v/>
      </c>
      <c r="U856" s="37"/>
      <c r="V856" s="37"/>
      <c r="W856" s="38"/>
      <c r="X856" s="39"/>
      <c r="Y856" s="150"/>
      <c r="Z856" s="40"/>
      <c r="AA856" s="136" t="str">
        <f t="shared" ca="1" si="71"/>
        <v/>
      </c>
      <c r="AB856" s="40"/>
      <c r="AC856" s="116"/>
      <c r="AD856" s="116"/>
      <c r="AE856" s="40"/>
      <c r="AF856" s="136" t="str">
        <f t="shared" ca="1" si="72"/>
        <v/>
      </c>
      <c r="AG856" s="127"/>
      <c r="AH856" s="127"/>
      <c r="AI856" s="127"/>
      <c r="AJ856" s="128"/>
      <c r="AK856" s="128"/>
      <c r="AL856" s="129"/>
    </row>
    <row r="857" spans="1:38" ht="24" customHeight="1" x14ac:dyDescent="0.25">
      <c r="A857" s="343" t="str">
        <f t="shared" si="73"/>
        <v>17REF247</v>
      </c>
      <c r="B857" s="342">
        <v>247</v>
      </c>
      <c r="C857" s="343" t="s">
        <v>39</v>
      </c>
      <c r="D857" s="344" t="s">
        <v>744</v>
      </c>
      <c r="E857" s="124" t="s">
        <v>41</v>
      </c>
      <c r="F857" s="124" t="s">
        <v>779</v>
      </c>
      <c r="G857" s="251" t="s">
        <v>1126</v>
      </c>
      <c r="H857" s="34" t="s">
        <v>330</v>
      </c>
      <c r="I857" s="126" t="s">
        <v>1578</v>
      </c>
      <c r="J857" s="47" t="s">
        <v>180</v>
      </c>
      <c r="K857" s="126">
        <v>197.13</v>
      </c>
      <c r="L857" s="126" t="s">
        <v>781</v>
      </c>
      <c r="M857" s="104" t="s">
        <v>782</v>
      </c>
      <c r="N857" s="265">
        <v>43088</v>
      </c>
      <c r="O857" s="260">
        <v>43234</v>
      </c>
      <c r="P857" s="106" t="s">
        <v>183</v>
      </c>
      <c r="Q857" s="107" t="s">
        <v>3009</v>
      </c>
      <c r="R857" s="266">
        <v>0.99</v>
      </c>
      <c r="S857" s="37">
        <v>0</v>
      </c>
      <c r="T857" s="36" t="str">
        <f t="shared" ca="1" si="70"/>
        <v>Empty</v>
      </c>
      <c r="U857" s="37"/>
      <c r="V857" s="37"/>
      <c r="W857" s="38">
        <v>43084</v>
      </c>
      <c r="X857" s="39" t="s">
        <v>699</v>
      </c>
      <c r="Y857" s="150" t="s">
        <v>2646</v>
      </c>
      <c r="Z857" s="40" t="s">
        <v>49</v>
      </c>
      <c r="AA857" s="136">
        <f t="shared" ca="1" si="71"/>
        <v>289</v>
      </c>
      <c r="AB857" s="40"/>
      <c r="AC857" s="116"/>
      <c r="AD857" s="116"/>
      <c r="AE857" s="40"/>
      <c r="AF857" s="136" t="str">
        <f t="shared" ca="1" si="72"/>
        <v/>
      </c>
      <c r="AG857" s="127"/>
      <c r="AH857" s="127"/>
      <c r="AI857" s="127"/>
      <c r="AJ857" s="128"/>
      <c r="AK857" s="128"/>
      <c r="AL857" s="129"/>
    </row>
    <row r="858" spans="1:38" ht="23.25" x14ac:dyDescent="0.25">
      <c r="A858" s="299" t="str">
        <f t="shared" si="73"/>
        <v>17SAM248</v>
      </c>
      <c r="B858" s="298">
        <v>248</v>
      </c>
      <c r="C858" s="299" t="s">
        <v>57</v>
      </c>
      <c r="D858" s="300" t="s">
        <v>40</v>
      </c>
      <c r="E858" s="124" t="s">
        <v>230</v>
      </c>
      <c r="F858" s="124" t="s">
        <v>2637</v>
      </c>
      <c r="G858" s="251"/>
      <c r="H858" s="34" t="s">
        <v>60</v>
      </c>
      <c r="I858" s="126" t="s">
        <v>3099</v>
      </c>
      <c r="J858" s="47" t="s">
        <v>45</v>
      </c>
      <c r="K858" s="126">
        <v>442.6</v>
      </c>
      <c r="L858" s="132" t="s">
        <v>61</v>
      </c>
      <c r="M858" s="105" t="s">
        <v>61</v>
      </c>
      <c r="N858" s="265">
        <v>43088</v>
      </c>
      <c r="O858" s="260">
        <v>43108</v>
      </c>
      <c r="P858" s="106" t="s">
        <v>124</v>
      </c>
      <c r="Q858" s="107" t="s">
        <v>212</v>
      </c>
      <c r="R858" s="244" t="s">
        <v>60</v>
      </c>
      <c r="S858" s="37">
        <f>100-21.7</f>
        <v>78.3</v>
      </c>
      <c r="T858" s="36">
        <f t="shared" ca="1" si="70"/>
        <v>266</v>
      </c>
      <c r="U858" s="37" t="s">
        <v>2638</v>
      </c>
      <c r="V858" s="37"/>
      <c r="W858" s="38"/>
      <c r="X858" s="39"/>
      <c r="Y858" s="150"/>
      <c r="Z858" s="40"/>
      <c r="AA858" s="136" t="str">
        <f t="shared" ca="1" si="71"/>
        <v/>
      </c>
      <c r="AB858" s="40"/>
      <c r="AC858" s="116"/>
      <c r="AD858" s="116"/>
      <c r="AE858" s="40"/>
      <c r="AF858" s="136" t="str">
        <f t="shared" ca="1" si="72"/>
        <v/>
      </c>
      <c r="AG858" s="127"/>
      <c r="AH858" s="127"/>
      <c r="AI858" s="127"/>
      <c r="AJ858" s="128"/>
      <c r="AK858" s="128"/>
      <c r="AL858" s="129"/>
    </row>
    <row r="859" spans="1:38" ht="23.25" x14ac:dyDescent="0.25">
      <c r="A859" s="343" t="str">
        <f t="shared" si="73"/>
        <v>17REF249</v>
      </c>
      <c r="B859" s="342">
        <v>249</v>
      </c>
      <c r="C859" s="343" t="s">
        <v>39</v>
      </c>
      <c r="D859" s="344" t="s">
        <v>40</v>
      </c>
      <c r="E859" s="124" t="s">
        <v>41</v>
      </c>
      <c r="F859" s="124" t="s">
        <v>689</v>
      </c>
      <c r="G859" s="251"/>
      <c r="H859" s="34" t="s">
        <v>43</v>
      </c>
      <c r="I859" s="126" t="s">
        <v>2640</v>
      </c>
      <c r="J859" s="47" t="s">
        <v>45</v>
      </c>
      <c r="K859" s="126">
        <v>182.65</v>
      </c>
      <c r="L859" s="126" t="s">
        <v>691</v>
      </c>
      <c r="M859" s="104" t="s">
        <v>692</v>
      </c>
      <c r="N859" s="265">
        <v>43090</v>
      </c>
      <c r="O859" s="260"/>
      <c r="P859" s="106" t="s">
        <v>514</v>
      </c>
      <c r="Q859" s="107" t="s">
        <v>2644</v>
      </c>
      <c r="R859" s="267">
        <v>0.99199999999999999</v>
      </c>
      <c r="S859" s="37"/>
      <c r="T859" s="36" t="str">
        <f t="shared" ca="1" si="70"/>
        <v/>
      </c>
      <c r="U859" s="37"/>
      <c r="V859" s="37"/>
      <c r="W859" s="38"/>
      <c r="X859" s="39"/>
      <c r="Y859" s="150"/>
      <c r="Z859" s="40"/>
      <c r="AA859" s="136" t="str">
        <f t="shared" ca="1" si="71"/>
        <v/>
      </c>
      <c r="AB859" s="40"/>
      <c r="AC859" s="116"/>
      <c r="AD859" s="116"/>
      <c r="AE859" s="40"/>
      <c r="AF859" s="136" t="str">
        <f t="shared" ca="1" si="72"/>
        <v/>
      </c>
      <c r="AG859" s="127"/>
      <c r="AH859" s="127"/>
      <c r="AI859" s="127"/>
      <c r="AJ859" s="128"/>
      <c r="AK859" s="128"/>
      <c r="AL859" s="129"/>
    </row>
    <row r="860" spans="1:38" ht="23.25" x14ac:dyDescent="0.25">
      <c r="A860" s="343" t="str">
        <f t="shared" si="73"/>
        <v>17REF250</v>
      </c>
      <c r="B860" s="342">
        <v>250</v>
      </c>
      <c r="C860" s="343" t="s">
        <v>39</v>
      </c>
      <c r="D860" s="344" t="s">
        <v>170</v>
      </c>
      <c r="E860" s="124" t="s">
        <v>41</v>
      </c>
      <c r="F860" s="124" t="s">
        <v>3013</v>
      </c>
      <c r="G860" s="251"/>
      <c r="H860" s="34" t="s">
        <v>43</v>
      </c>
      <c r="I860" s="126" t="s">
        <v>2641</v>
      </c>
      <c r="J860" s="47" t="s">
        <v>180</v>
      </c>
      <c r="K860" s="126">
        <v>163.19</v>
      </c>
      <c r="L860" s="126" t="s">
        <v>2642</v>
      </c>
      <c r="M860" s="104" t="s">
        <v>2643</v>
      </c>
      <c r="N860" s="265">
        <v>43090</v>
      </c>
      <c r="O860" s="260">
        <v>43095</v>
      </c>
      <c r="P860" s="106" t="s">
        <v>327</v>
      </c>
      <c r="Q860" s="107" t="s">
        <v>2645</v>
      </c>
      <c r="R860" s="266">
        <v>0.99</v>
      </c>
      <c r="S860" s="37">
        <v>0</v>
      </c>
      <c r="T860" s="36" t="str">
        <f t="shared" ca="1" si="70"/>
        <v>Empty</v>
      </c>
      <c r="U860" s="37"/>
      <c r="V860" s="37"/>
      <c r="W860" s="38"/>
      <c r="X860" s="39"/>
      <c r="Y860" s="150"/>
      <c r="Z860" s="40"/>
      <c r="AA860" s="136" t="str">
        <f t="shared" ca="1" si="71"/>
        <v/>
      </c>
      <c r="AB860" s="40"/>
      <c r="AC860" s="116"/>
      <c r="AD860" s="116"/>
      <c r="AE860" s="40"/>
      <c r="AF860" s="136" t="str">
        <f t="shared" ca="1" si="72"/>
        <v/>
      </c>
      <c r="AG860" s="127"/>
      <c r="AH860" s="127"/>
      <c r="AI860" s="127"/>
      <c r="AJ860" s="128"/>
      <c r="AK860" s="128"/>
      <c r="AL860" s="129"/>
    </row>
    <row r="861" spans="1:38" ht="23.25" x14ac:dyDescent="0.25">
      <c r="A861" s="299" t="str">
        <f t="shared" si="73"/>
        <v>17SAM251</v>
      </c>
      <c r="B861" s="298">
        <v>251</v>
      </c>
      <c r="C861" s="299" t="s">
        <v>57</v>
      </c>
      <c r="D861" s="300" t="s">
        <v>40</v>
      </c>
      <c r="E861" s="124" t="s">
        <v>2668</v>
      </c>
      <c r="F861" s="124" t="s">
        <v>2669</v>
      </c>
      <c r="G861" s="251" t="s">
        <v>2671</v>
      </c>
      <c r="H861" s="34" t="s">
        <v>60</v>
      </c>
      <c r="I861" s="126" t="s">
        <v>2673</v>
      </c>
      <c r="J861" s="47" t="s">
        <v>180</v>
      </c>
      <c r="K861" s="126">
        <v>389.81</v>
      </c>
      <c r="L861" s="126" t="s">
        <v>61</v>
      </c>
      <c r="M861" s="104" t="s">
        <v>61</v>
      </c>
      <c r="N861" s="265">
        <v>43109</v>
      </c>
      <c r="O861" s="260">
        <v>43111</v>
      </c>
      <c r="P861" s="106" t="s">
        <v>2674</v>
      </c>
      <c r="Q861" s="107" t="s">
        <v>2675</v>
      </c>
      <c r="R861" s="267">
        <v>0.99219999999999997</v>
      </c>
      <c r="S861" s="37">
        <f>43.8-2.56-22.3-15.2</f>
        <v>3.7399999999999949</v>
      </c>
      <c r="T861" s="36">
        <f t="shared" ca="1" si="70"/>
        <v>263</v>
      </c>
      <c r="U861" s="37"/>
      <c r="V861" s="37"/>
      <c r="W861" s="38"/>
      <c r="X861" s="39"/>
      <c r="Y861" s="150"/>
      <c r="Z861" s="40"/>
      <c r="AA861" s="136" t="str">
        <f t="shared" ca="1" si="71"/>
        <v/>
      </c>
      <c r="AB861" s="40"/>
      <c r="AC861" s="116"/>
      <c r="AD861" s="116"/>
      <c r="AE861" s="40"/>
      <c r="AF861" s="136" t="str">
        <f t="shared" ca="1" si="72"/>
        <v/>
      </c>
      <c r="AG861" s="127"/>
      <c r="AH861" s="127"/>
      <c r="AI861" s="127"/>
      <c r="AJ861" s="128"/>
      <c r="AK861" s="128"/>
      <c r="AL861" s="129"/>
    </row>
    <row r="862" spans="1:38" ht="23.25" x14ac:dyDescent="0.25">
      <c r="A862" s="299" t="str">
        <f t="shared" si="73"/>
        <v>17SAM252</v>
      </c>
      <c r="B862" s="298">
        <v>252</v>
      </c>
      <c r="C862" s="299" t="s">
        <v>57</v>
      </c>
      <c r="D862" s="300" t="s">
        <v>40</v>
      </c>
      <c r="E862" s="124" t="s">
        <v>2668</v>
      </c>
      <c r="F862" s="124" t="s">
        <v>2670</v>
      </c>
      <c r="G862" s="251" t="s">
        <v>2672</v>
      </c>
      <c r="H862" s="34" t="s">
        <v>60</v>
      </c>
      <c r="I862" s="126" t="s">
        <v>2676</v>
      </c>
      <c r="J862" s="47" t="s">
        <v>180</v>
      </c>
      <c r="K862" s="126">
        <v>408.44</v>
      </c>
      <c r="L862" s="126" t="s">
        <v>61</v>
      </c>
      <c r="M862" s="104" t="s">
        <v>61</v>
      </c>
      <c r="N862" s="265">
        <v>43109</v>
      </c>
      <c r="O862" s="260">
        <v>43111</v>
      </c>
      <c r="P862" s="106" t="s">
        <v>2677</v>
      </c>
      <c r="Q862" s="107" t="s">
        <v>2675</v>
      </c>
      <c r="R862" s="267">
        <v>0.998</v>
      </c>
      <c r="S862" s="37">
        <v>0</v>
      </c>
      <c r="T862" s="36" t="str">
        <f t="shared" ca="1" si="70"/>
        <v>Empty</v>
      </c>
      <c r="U862" s="37"/>
      <c r="V862" s="37"/>
      <c r="W862" s="38"/>
      <c r="X862" s="39"/>
      <c r="Y862" s="150"/>
      <c r="Z862" s="40"/>
      <c r="AA862" s="136" t="str">
        <f t="shared" ca="1" si="71"/>
        <v/>
      </c>
      <c r="AB862" s="40"/>
      <c r="AC862" s="116"/>
      <c r="AD862" s="116"/>
      <c r="AE862" s="40"/>
      <c r="AF862" s="136" t="str">
        <f t="shared" ca="1" si="72"/>
        <v/>
      </c>
      <c r="AG862" s="127"/>
      <c r="AH862" s="127"/>
      <c r="AI862" s="127"/>
      <c r="AJ862" s="128"/>
      <c r="AK862" s="128"/>
      <c r="AL862" s="129"/>
    </row>
    <row r="863" spans="1:38" s="388" customFormat="1" ht="23.25" x14ac:dyDescent="0.25">
      <c r="A863" s="299"/>
      <c r="B863" s="298"/>
      <c r="C863" s="299"/>
      <c r="D863" s="300"/>
      <c r="E863" s="124"/>
      <c r="F863" s="124"/>
      <c r="G863" s="251"/>
      <c r="H863" s="443"/>
      <c r="I863" s="126"/>
      <c r="J863" s="47"/>
      <c r="K863" s="126"/>
      <c r="L863" s="126"/>
      <c r="M863" s="104"/>
      <c r="N863" s="265"/>
      <c r="O863" s="260"/>
      <c r="P863" s="106"/>
      <c r="Q863" s="107"/>
      <c r="R863" s="267"/>
      <c r="S863" s="37"/>
      <c r="T863" s="36"/>
      <c r="U863" s="37"/>
      <c r="V863" s="37"/>
      <c r="W863" s="38"/>
      <c r="X863" s="39"/>
      <c r="Y863" s="150"/>
      <c r="Z863" s="40"/>
      <c r="AA863" s="136"/>
      <c r="AB863" s="40"/>
      <c r="AC863" s="116"/>
      <c r="AD863" s="116"/>
      <c r="AE863" s="40"/>
      <c r="AF863" s="136"/>
      <c r="AG863" s="127"/>
      <c r="AH863" s="127"/>
      <c r="AI863" s="127"/>
      <c r="AJ863" s="128"/>
      <c r="AK863" s="128"/>
      <c r="AL863" s="129"/>
    </row>
    <row r="864" spans="1:38" ht="23.25" x14ac:dyDescent="0.25">
      <c r="A864" s="486" t="str">
        <f>IF(C864="","",CONCATENATE(18,MID(C864,1,3),IF(B864&lt;10,"00",0),B864))</f>
        <v>18REF001</v>
      </c>
      <c r="B864" s="487">
        <v>1</v>
      </c>
      <c r="C864" s="486" t="s">
        <v>39</v>
      </c>
      <c r="D864" s="488" t="s">
        <v>170</v>
      </c>
      <c r="E864" s="124" t="s">
        <v>701</v>
      </c>
      <c r="F864" s="124" t="s">
        <v>2987</v>
      </c>
      <c r="G864" s="251"/>
      <c r="H864" s="34" t="s">
        <v>43</v>
      </c>
      <c r="I864" s="126" t="s">
        <v>2568</v>
      </c>
      <c r="J864" s="47" t="s">
        <v>105</v>
      </c>
      <c r="K864" s="126">
        <v>523.17999999999995</v>
      </c>
      <c r="L864" s="126" t="s">
        <v>1858</v>
      </c>
      <c r="M864" s="104" t="s">
        <v>1859</v>
      </c>
      <c r="N864" s="265">
        <v>43118</v>
      </c>
      <c r="O864" s="260">
        <v>43160</v>
      </c>
      <c r="P864" s="106" t="s">
        <v>139</v>
      </c>
      <c r="Q864" s="107"/>
      <c r="R864" s="244" t="s">
        <v>2730</v>
      </c>
      <c r="S864" s="37">
        <v>0</v>
      </c>
      <c r="T864" s="36" t="str">
        <f t="shared" ca="1" si="70"/>
        <v>Empty</v>
      </c>
      <c r="U864" s="37"/>
      <c r="V864" s="37"/>
      <c r="W864" s="38"/>
      <c r="X864" s="39"/>
      <c r="Y864" s="150"/>
      <c r="Z864" s="40"/>
      <c r="AA864" s="136" t="str">
        <f t="shared" ca="1" si="71"/>
        <v/>
      </c>
      <c r="AB864" s="40"/>
      <c r="AC864" s="116"/>
      <c r="AD864" s="116"/>
      <c r="AE864" s="40"/>
      <c r="AF864" s="136" t="str">
        <f t="shared" ca="1" si="72"/>
        <v/>
      </c>
      <c r="AG864" s="127"/>
      <c r="AH864" s="127"/>
      <c r="AI864" s="127"/>
      <c r="AJ864" s="128"/>
      <c r="AK864" s="128"/>
      <c r="AL864" s="129"/>
    </row>
    <row r="865" spans="1:38" ht="23.25" x14ac:dyDescent="0.25">
      <c r="A865" s="486" t="str">
        <f t="shared" ref="A865:A911" si="75">IF(C865="","",CONCATENATE(18,MID(C865,1,3),IF(B865&lt;10,"00",0),B865))</f>
        <v>18REF002</v>
      </c>
      <c r="B865" s="487">
        <v>2</v>
      </c>
      <c r="C865" s="486" t="s">
        <v>39</v>
      </c>
      <c r="D865" s="488" t="s">
        <v>170</v>
      </c>
      <c r="E865" s="124" t="s">
        <v>701</v>
      </c>
      <c r="F865" s="124" t="s">
        <v>2987</v>
      </c>
      <c r="G865" s="251"/>
      <c r="H865" s="34" t="s">
        <v>43</v>
      </c>
      <c r="I865" s="126" t="s">
        <v>2568</v>
      </c>
      <c r="J865" s="47" t="s">
        <v>105</v>
      </c>
      <c r="K865" s="126">
        <v>523.17999999999995</v>
      </c>
      <c r="L865" s="126" t="s">
        <v>1858</v>
      </c>
      <c r="M865" s="104" t="s">
        <v>1859</v>
      </c>
      <c r="N865" s="265">
        <v>43118</v>
      </c>
      <c r="O865" s="260">
        <v>43160</v>
      </c>
      <c r="P865" s="106" t="s">
        <v>139</v>
      </c>
      <c r="Q865" s="107"/>
      <c r="R865" s="244" t="s">
        <v>2730</v>
      </c>
      <c r="S865" s="37">
        <v>0</v>
      </c>
      <c r="T865" s="36" t="str">
        <f t="shared" ca="1" si="70"/>
        <v>Empty</v>
      </c>
      <c r="U865" s="37"/>
      <c r="V865" s="37"/>
      <c r="W865" s="38"/>
      <c r="X865" s="39"/>
      <c r="Y865" s="150"/>
      <c r="Z865" s="40"/>
      <c r="AA865" s="136" t="str">
        <f t="shared" ca="1" si="71"/>
        <v/>
      </c>
      <c r="AB865" s="40"/>
      <c r="AC865" s="116"/>
      <c r="AD865" s="116"/>
      <c r="AE865" s="40"/>
      <c r="AF865" s="136" t="str">
        <f t="shared" ca="1" si="72"/>
        <v/>
      </c>
      <c r="AG865" s="127"/>
      <c r="AH865" s="127"/>
      <c r="AI865" s="127"/>
      <c r="AJ865" s="128"/>
      <c r="AK865" s="128"/>
      <c r="AL865" s="129"/>
    </row>
    <row r="866" spans="1:38" ht="23.25" x14ac:dyDescent="0.25">
      <c r="A866" s="486" t="str">
        <f t="shared" si="75"/>
        <v>18REF003</v>
      </c>
      <c r="B866" s="487">
        <v>3</v>
      </c>
      <c r="C866" s="486" t="s">
        <v>39</v>
      </c>
      <c r="D866" s="488" t="s">
        <v>744</v>
      </c>
      <c r="E866" s="124" t="s">
        <v>701</v>
      </c>
      <c r="F866" s="124" t="s">
        <v>3188</v>
      </c>
      <c r="G866" s="251" t="s">
        <v>2201</v>
      </c>
      <c r="H866" s="34" t="s">
        <v>43</v>
      </c>
      <c r="I866" s="126" t="s">
        <v>2628</v>
      </c>
      <c r="J866" s="47" t="s">
        <v>180</v>
      </c>
      <c r="K866" s="126">
        <v>509.29</v>
      </c>
      <c r="L866" s="126">
        <v>14343</v>
      </c>
      <c r="M866" s="104" t="s">
        <v>808</v>
      </c>
      <c r="N866" s="265">
        <v>43118</v>
      </c>
      <c r="O866" s="260">
        <v>43242</v>
      </c>
      <c r="P866" s="106" t="s">
        <v>183</v>
      </c>
      <c r="Q866" s="107"/>
      <c r="R866" s="244" t="s">
        <v>2731</v>
      </c>
      <c r="S866" s="37">
        <v>0</v>
      </c>
      <c r="T866" s="36" t="str">
        <f t="shared" ca="1" si="70"/>
        <v>Empty</v>
      </c>
      <c r="U866" s="37"/>
      <c r="V866" s="37"/>
      <c r="W866" s="38"/>
      <c r="X866" s="39"/>
      <c r="Y866" s="150"/>
      <c r="Z866" s="40"/>
      <c r="AA866" s="136" t="str">
        <f t="shared" ca="1" si="71"/>
        <v/>
      </c>
      <c r="AB866" s="40"/>
      <c r="AC866" s="116"/>
      <c r="AD866" s="116"/>
      <c r="AE866" s="40"/>
      <c r="AF866" s="136" t="str">
        <f t="shared" ca="1" si="72"/>
        <v/>
      </c>
      <c r="AG866" s="127"/>
      <c r="AH866" s="127"/>
      <c r="AI866" s="127"/>
      <c r="AJ866" s="128"/>
      <c r="AK866" s="128"/>
      <c r="AL866" s="129"/>
    </row>
    <row r="867" spans="1:38" ht="23.25" x14ac:dyDescent="0.25">
      <c r="A867" s="486" t="str">
        <f t="shared" si="75"/>
        <v>18REF004</v>
      </c>
      <c r="B867" s="487">
        <v>4</v>
      </c>
      <c r="C867" s="486" t="s">
        <v>39</v>
      </c>
      <c r="D867" s="488" t="s">
        <v>40</v>
      </c>
      <c r="E867" s="124" t="s">
        <v>701</v>
      </c>
      <c r="F867" s="124" t="s">
        <v>1476</v>
      </c>
      <c r="G867" s="251"/>
      <c r="H867" s="34" t="s">
        <v>43</v>
      </c>
      <c r="I867" s="126" t="s">
        <v>2732</v>
      </c>
      <c r="J867" s="47" t="s">
        <v>180</v>
      </c>
      <c r="K867" s="126">
        <v>305.41000000000003</v>
      </c>
      <c r="L867" s="126" t="s">
        <v>1478</v>
      </c>
      <c r="M867" s="104" t="s">
        <v>1479</v>
      </c>
      <c r="N867" s="265">
        <v>43118</v>
      </c>
      <c r="O867" s="260"/>
      <c r="P867" s="106" t="s">
        <v>183</v>
      </c>
      <c r="Q867" s="107"/>
      <c r="R867" s="244" t="s">
        <v>2731</v>
      </c>
      <c r="S867" s="37"/>
      <c r="T867" s="36" t="str">
        <f t="shared" ca="1" si="70"/>
        <v/>
      </c>
      <c r="U867" s="37"/>
      <c r="V867" s="37"/>
      <c r="W867" s="38"/>
      <c r="X867" s="39"/>
      <c r="Y867" s="150"/>
      <c r="Z867" s="40"/>
      <c r="AA867" s="136" t="str">
        <f t="shared" ca="1" si="71"/>
        <v/>
      </c>
      <c r="AB867" s="40"/>
      <c r="AC867" s="116"/>
      <c r="AD867" s="116"/>
      <c r="AE867" s="40"/>
      <c r="AF867" s="136" t="str">
        <f t="shared" ca="1" si="72"/>
        <v/>
      </c>
      <c r="AG867" s="127"/>
      <c r="AH867" s="127"/>
      <c r="AI867" s="127"/>
      <c r="AJ867" s="128"/>
      <c r="AK867" s="128"/>
      <c r="AL867" s="129"/>
    </row>
    <row r="868" spans="1:38" ht="23.25" x14ac:dyDescent="0.25">
      <c r="A868" s="486" t="str">
        <f t="shared" si="75"/>
        <v>18REF005</v>
      </c>
      <c r="B868" s="487">
        <v>5</v>
      </c>
      <c r="C868" s="486" t="s">
        <v>39</v>
      </c>
      <c r="D868" s="488" t="s">
        <v>40</v>
      </c>
      <c r="E868" s="124" t="s">
        <v>701</v>
      </c>
      <c r="F868" s="124" t="s">
        <v>2733</v>
      </c>
      <c r="G868" s="251"/>
      <c r="H868" s="34" t="s">
        <v>43</v>
      </c>
      <c r="I868" s="126" t="s">
        <v>2734</v>
      </c>
      <c r="J868" s="47" t="s">
        <v>45</v>
      </c>
      <c r="K868" s="126">
        <v>151.9</v>
      </c>
      <c r="L868" s="126">
        <v>198323</v>
      </c>
      <c r="M868" s="104" t="s">
        <v>2735</v>
      </c>
      <c r="N868" s="265">
        <v>43118</v>
      </c>
      <c r="O868" s="260">
        <v>43146</v>
      </c>
      <c r="P868" s="106" t="s">
        <v>48</v>
      </c>
      <c r="Q868" s="107"/>
      <c r="R868" s="266">
        <v>0.99</v>
      </c>
      <c r="S868" s="37">
        <f>25000-2.14</f>
        <v>24997.86</v>
      </c>
      <c r="T868" s="36">
        <f t="shared" ca="1" si="70"/>
        <v>229</v>
      </c>
      <c r="U868" s="37"/>
      <c r="V868" s="37"/>
      <c r="W868" s="38"/>
      <c r="X868" s="39"/>
      <c r="Y868" s="150"/>
      <c r="Z868" s="40"/>
      <c r="AA868" s="136" t="str">
        <f t="shared" ca="1" si="71"/>
        <v/>
      </c>
      <c r="AB868" s="40"/>
      <c r="AC868" s="116"/>
      <c r="AD868" s="116"/>
      <c r="AE868" s="40"/>
      <c r="AF868" s="136" t="str">
        <f t="shared" ca="1" si="72"/>
        <v/>
      </c>
      <c r="AG868" s="127"/>
      <c r="AH868" s="127"/>
      <c r="AI868" s="127"/>
      <c r="AJ868" s="128"/>
      <c r="AK868" s="128"/>
      <c r="AL868" s="129"/>
    </row>
    <row r="869" spans="1:38" ht="23.25" x14ac:dyDescent="0.25">
      <c r="A869" s="486" t="str">
        <f t="shared" si="75"/>
        <v>18REF006</v>
      </c>
      <c r="B869" s="487">
        <v>6</v>
      </c>
      <c r="C869" s="486" t="s">
        <v>39</v>
      </c>
      <c r="D869" s="488" t="s">
        <v>170</v>
      </c>
      <c r="E869" s="124" t="s">
        <v>701</v>
      </c>
      <c r="F869" s="124" t="s">
        <v>1744</v>
      </c>
      <c r="G869" s="251"/>
      <c r="H869" s="433" t="s">
        <v>43</v>
      </c>
      <c r="I869" s="126" t="s">
        <v>2736</v>
      </c>
      <c r="J869" s="47" t="s">
        <v>45</v>
      </c>
      <c r="K869" s="126">
        <v>228</v>
      </c>
      <c r="L869" s="126" t="s">
        <v>1747</v>
      </c>
      <c r="M869" s="104" t="s">
        <v>1748</v>
      </c>
      <c r="N869" s="265">
        <v>43118</v>
      </c>
      <c r="O869" s="262" t="s">
        <v>168</v>
      </c>
      <c r="P869" s="106" t="s">
        <v>56</v>
      </c>
      <c r="Q869" s="107"/>
      <c r="R869" s="244"/>
      <c r="S869" s="37">
        <f>5000-2376</f>
        <v>2624</v>
      </c>
      <c r="T869" s="36" t="e">
        <f t="shared" ref="T869:T911" ca="1" si="76">IF(S869="","",IF(S869=0,"Empty",IF(O869="","",IF(O869,DAYS360(O869,TODAY())))))</f>
        <v>#VALUE!</v>
      </c>
      <c r="U869" s="37"/>
      <c r="V869" s="37"/>
      <c r="W869" s="38"/>
      <c r="X869" s="39"/>
      <c r="Y869" s="150"/>
      <c r="Z869" s="40"/>
      <c r="AA869" s="136" t="str">
        <f t="shared" ref="AA869:AA911" ca="1" si="77">IF(W869="","",IF(W869,DAYS360(W869,TODAY())))</f>
        <v/>
      </c>
      <c r="AB869" s="40"/>
      <c r="AC869" s="116"/>
      <c r="AD869" s="116"/>
      <c r="AE869" s="40"/>
      <c r="AF869" s="136" t="str">
        <f t="shared" ref="AF869:AF911" ca="1" si="78">IF(AB869="","",IF(AB869,DAYS360(AB869,TODAY())))</f>
        <v/>
      </c>
      <c r="AG869" s="127"/>
      <c r="AH869" s="127"/>
      <c r="AI869" s="127"/>
      <c r="AJ869" s="128"/>
      <c r="AK869" s="128"/>
      <c r="AL869" s="129"/>
    </row>
    <row r="870" spans="1:38" ht="23.25" x14ac:dyDescent="0.25">
      <c r="A870" s="486" t="str">
        <f t="shared" si="75"/>
        <v>18REF007</v>
      </c>
      <c r="B870" s="487">
        <v>7</v>
      </c>
      <c r="C870" s="486" t="s">
        <v>39</v>
      </c>
      <c r="D870" s="488" t="s">
        <v>170</v>
      </c>
      <c r="E870" s="124" t="s">
        <v>701</v>
      </c>
      <c r="F870" s="124" t="s">
        <v>1744</v>
      </c>
      <c r="G870" s="251"/>
      <c r="H870" s="433" t="s">
        <v>43</v>
      </c>
      <c r="I870" s="126" t="s">
        <v>2736</v>
      </c>
      <c r="J870" s="47" t="s">
        <v>45</v>
      </c>
      <c r="K870" s="126">
        <v>228</v>
      </c>
      <c r="L870" s="126" t="s">
        <v>1747</v>
      </c>
      <c r="M870" s="104" t="s">
        <v>1748</v>
      </c>
      <c r="N870" s="265">
        <v>43118</v>
      </c>
      <c r="O870" s="260">
        <v>43115</v>
      </c>
      <c r="P870" s="106" t="s">
        <v>56</v>
      </c>
      <c r="Q870" s="107"/>
      <c r="R870" s="244"/>
      <c r="S870" s="37">
        <v>0</v>
      </c>
      <c r="T870" s="36" t="str">
        <f t="shared" ca="1" si="76"/>
        <v>Empty</v>
      </c>
      <c r="U870" s="37"/>
      <c r="V870" s="37"/>
      <c r="W870" s="38"/>
      <c r="X870" s="39"/>
      <c r="Y870" s="150"/>
      <c r="Z870" s="40"/>
      <c r="AA870" s="136" t="str">
        <f t="shared" ca="1" si="77"/>
        <v/>
      </c>
      <c r="AB870" s="40"/>
      <c r="AC870" s="116"/>
      <c r="AD870" s="116"/>
      <c r="AE870" s="40"/>
      <c r="AF870" s="136" t="str">
        <f t="shared" ca="1" si="78"/>
        <v/>
      </c>
      <c r="AG870" s="127"/>
      <c r="AH870" s="127"/>
      <c r="AI870" s="127"/>
      <c r="AJ870" s="128"/>
      <c r="AK870" s="128"/>
      <c r="AL870" s="129"/>
    </row>
    <row r="871" spans="1:38" ht="24" customHeight="1" x14ac:dyDescent="0.25">
      <c r="A871" s="486" t="str">
        <f t="shared" si="75"/>
        <v>18REF008</v>
      </c>
      <c r="B871" s="487">
        <v>8</v>
      </c>
      <c r="C871" s="486" t="s">
        <v>39</v>
      </c>
      <c r="D871" s="488" t="s">
        <v>744</v>
      </c>
      <c r="E871" s="124" t="s">
        <v>701</v>
      </c>
      <c r="F871" s="124" t="s">
        <v>3315</v>
      </c>
      <c r="G871" s="251"/>
      <c r="H871" s="34" t="s">
        <v>43</v>
      </c>
      <c r="I871" s="126" t="s">
        <v>2737</v>
      </c>
      <c r="J871" s="47" t="s">
        <v>45</v>
      </c>
      <c r="K871" s="126">
        <v>136.09</v>
      </c>
      <c r="L871" s="126" t="s">
        <v>2738</v>
      </c>
      <c r="M871" s="104" t="s">
        <v>2739</v>
      </c>
      <c r="N871" s="265">
        <v>43118</v>
      </c>
      <c r="O871" s="260">
        <v>43285</v>
      </c>
      <c r="P871" s="106" t="s">
        <v>1295</v>
      </c>
      <c r="Q871" s="107" t="s">
        <v>3388</v>
      </c>
      <c r="R871" s="266">
        <v>1</v>
      </c>
      <c r="S871" s="37"/>
      <c r="T871" s="36" t="str">
        <f t="shared" ca="1" si="76"/>
        <v/>
      </c>
      <c r="U871" s="37"/>
      <c r="V871" s="37"/>
      <c r="W871" s="38"/>
      <c r="X871" s="39"/>
      <c r="Y871" s="150"/>
      <c r="Z871" s="40"/>
      <c r="AA871" s="136" t="str">
        <f t="shared" ca="1" si="77"/>
        <v/>
      </c>
      <c r="AB871" s="40"/>
      <c r="AC871" s="116"/>
      <c r="AD871" s="116"/>
      <c r="AE871" s="40"/>
      <c r="AF871" s="136" t="str">
        <f t="shared" ca="1" si="78"/>
        <v/>
      </c>
      <c r="AG871" s="127"/>
      <c r="AH871" s="127"/>
      <c r="AI871" s="127"/>
      <c r="AJ871" s="128"/>
      <c r="AK871" s="128"/>
      <c r="AL871" s="129"/>
    </row>
    <row r="872" spans="1:38" ht="24" customHeight="1" x14ac:dyDescent="0.25">
      <c r="A872" s="486" t="str">
        <f t="shared" si="75"/>
        <v>18REF009</v>
      </c>
      <c r="B872" s="487">
        <v>9</v>
      </c>
      <c r="C872" s="486" t="s">
        <v>39</v>
      </c>
      <c r="D872" s="488" t="s">
        <v>744</v>
      </c>
      <c r="E872" s="124" t="s">
        <v>701</v>
      </c>
      <c r="F872" s="124" t="s">
        <v>1840</v>
      </c>
      <c r="G872" s="251"/>
      <c r="H872" s="34" t="s">
        <v>43</v>
      </c>
      <c r="I872" s="126" t="s">
        <v>2740</v>
      </c>
      <c r="J872" s="47" t="s">
        <v>45</v>
      </c>
      <c r="K872" s="126">
        <v>238.3</v>
      </c>
      <c r="L872" s="126" t="s">
        <v>1842</v>
      </c>
      <c r="M872" s="104" t="s">
        <v>2198</v>
      </c>
      <c r="N872" s="265">
        <v>43118</v>
      </c>
      <c r="O872" s="260">
        <v>43164</v>
      </c>
      <c r="P872" s="106" t="s">
        <v>48</v>
      </c>
      <c r="Q872" s="107" t="s">
        <v>2991</v>
      </c>
      <c r="R872" s="244" t="s">
        <v>1392</v>
      </c>
      <c r="S872" s="37">
        <v>0</v>
      </c>
      <c r="T872" s="36" t="str">
        <f t="shared" ca="1" si="76"/>
        <v>Empty</v>
      </c>
      <c r="U872" s="37"/>
      <c r="V872" s="37"/>
      <c r="W872" s="38"/>
      <c r="X872" s="39"/>
      <c r="Y872" s="150"/>
      <c r="Z872" s="40"/>
      <c r="AA872" s="136" t="str">
        <f t="shared" ca="1" si="77"/>
        <v/>
      </c>
      <c r="AB872" s="40"/>
      <c r="AC872" s="116"/>
      <c r="AD872" s="116"/>
      <c r="AE872" s="40"/>
      <c r="AF872" s="136" t="str">
        <f t="shared" ca="1" si="78"/>
        <v/>
      </c>
      <c r="AG872" s="127"/>
      <c r="AH872" s="127"/>
      <c r="AI872" s="127"/>
      <c r="AJ872" s="128"/>
      <c r="AK872" s="128"/>
      <c r="AL872" s="129"/>
    </row>
    <row r="873" spans="1:38" ht="24" customHeight="1" x14ac:dyDescent="0.25">
      <c r="A873" s="486" t="str">
        <f t="shared" si="75"/>
        <v>18REF010</v>
      </c>
      <c r="B873" s="487">
        <v>10</v>
      </c>
      <c r="C873" s="486" t="s">
        <v>39</v>
      </c>
      <c r="D873" s="488" t="s">
        <v>744</v>
      </c>
      <c r="E873" s="124" t="s">
        <v>701</v>
      </c>
      <c r="F873" s="124" t="s">
        <v>1840</v>
      </c>
      <c r="G873" s="251"/>
      <c r="H873" s="34" t="s">
        <v>43</v>
      </c>
      <c r="I873" s="126" t="s">
        <v>2740</v>
      </c>
      <c r="J873" s="47" t="s">
        <v>45</v>
      </c>
      <c r="K873" s="126">
        <v>238.3</v>
      </c>
      <c r="L873" s="126" t="s">
        <v>1842</v>
      </c>
      <c r="M873" s="104" t="s">
        <v>2198</v>
      </c>
      <c r="N873" s="265">
        <v>43118</v>
      </c>
      <c r="O873" s="260">
        <v>43167</v>
      </c>
      <c r="P873" s="106" t="s">
        <v>48</v>
      </c>
      <c r="Q873" s="107" t="s">
        <v>2991</v>
      </c>
      <c r="R873" s="244" t="s">
        <v>1392</v>
      </c>
      <c r="S873" s="37">
        <v>0</v>
      </c>
      <c r="T873" s="36" t="str">
        <f t="shared" ca="1" si="76"/>
        <v>Empty</v>
      </c>
      <c r="U873" s="37"/>
      <c r="V873" s="37"/>
      <c r="W873" s="38"/>
      <c r="X873" s="39"/>
      <c r="Y873" s="150"/>
      <c r="Z873" s="40"/>
      <c r="AA873" s="136" t="str">
        <f t="shared" ca="1" si="77"/>
        <v/>
      </c>
      <c r="AB873" s="40"/>
      <c r="AC873" s="116"/>
      <c r="AD873" s="116"/>
      <c r="AE873" s="40"/>
      <c r="AF873" s="136" t="str">
        <f t="shared" ca="1" si="78"/>
        <v/>
      </c>
      <c r="AG873" s="127"/>
      <c r="AH873" s="127"/>
      <c r="AI873" s="127"/>
      <c r="AJ873" s="128"/>
      <c r="AK873" s="128"/>
      <c r="AL873" s="129"/>
    </row>
    <row r="874" spans="1:38" ht="24" customHeight="1" x14ac:dyDescent="0.25">
      <c r="A874" s="486" t="str">
        <f t="shared" si="75"/>
        <v>18REF011</v>
      </c>
      <c r="B874" s="487">
        <v>11</v>
      </c>
      <c r="C874" s="486" t="s">
        <v>39</v>
      </c>
      <c r="D874" s="488" t="s">
        <v>744</v>
      </c>
      <c r="E874" s="124" t="s">
        <v>701</v>
      </c>
      <c r="F874" s="124" t="s">
        <v>2741</v>
      </c>
      <c r="G874" s="251"/>
      <c r="H874" s="433" t="s">
        <v>43</v>
      </c>
      <c r="I874" s="126" t="s">
        <v>2742</v>
      </c>
      <c r="J874" s="47" t="s">
        <v>45</v>
      </c>
      <c r="K874" s="126">
        <v>195.21</v>
      </c>
      <c r="L874" s="126" t="s">
        <v>2329</v>
      </c>
      <c r="M874" s="104" t="s">
        <v>2330</v>
      </c>
      <c r="N874" s="265">
        <v>43118</v>
      </c>
      <c r="O874" s="260">
        <v>43208</v>
      </c>
      <c r="P874" s="106" t="s">
        <v>271</v>
      </c>
      <c r="Q874" s="107"/>
      <c r="R874" s="266">
        <v>1</v>
      </c>
      <c r="S874" s="37">
        <v>0</v>
      </c>
      <c r="T874" s="36" t="str">
        <f t="shared" ca="1" si="76"/>
        <v>Empty</v>
      </c>
      <c r="U874" s="37"/>
      <c r="V874" s="37"/>
      <c r="W874" s="38"/>
      <c r="X874" s="39"/>
      <c r="Y874" s="150"/>
      <c r="Z874" s="40"/>
      <c r="AA874" s="136" t="str">
        <f t="shared" ca="1" si="77"/>
        <v/>
      </c>
      <c r="AB874" s="40"/>
      <c r="AC874" s="116"/>
      <c r="AD874" s="116"/>
      <c r="AE874" s="40"/>
      <c r="AF874" s="136" t="str">
        <f t="shared" ca="1" si="78"/>
        <v/>
      </c>
      <c r="AG874" s="127"/>
      <c r="AH874" s="127"/>
      <c r="AI874" s="127"/>
      <c r="AJ874" s="128"/>
      <c r="AK874" s="128"/>
      <c r="AL874" s="129"/>
    </row>
    <row r="875" spans="1:38" ht="24" customHeight="1" x14ac:dyDescent="0.25">
      <c r="A875" s="486" t="str">
        <f t="shared" si="75"/>
        <v>18REF012</v>
      </c>
      <c r="B875" s="487">
        <v>12</v>
      </c>
      <c r="C875" s="486" t="s">
        <v>39</v>
      </c>
      <c r="D875" s="488" t="s">
        <v>744</v>
      </c>
      <c r="E875" s="124" t="s">
        <v>701</v>
      </c>
      <c r="F875" s="124" t="s">
        <v>2741</v>
      </c>
      <c r="G875" s="251"/>
      <c r="H875" s="433" t="s">
        <v>43</v>
      </c>
      <c r="I875" s="126" t="s">
        <v>2742</v>
      </c>
      <c r="J875" s="47" t="s">
        <v>45</v>
      </c>
      <c r="K875" s="126">
        <v>195.21</v>
      </c>
      <c r="L875" s="126" t="s">
        <v>2329</v>
      </c>
      <c r="M875" s="104" t="s">
        <v>2330</v>
      </c>
      <c r="N875" s="265">
        <v>43118</v>
      </c>
      <c r="O875" s="260" t="s">
        <v>168</v>
      </c>
      <c r="P875" s="106" t="s">
        <v>271</v>
      </c>
      <c r="Q875" s="107"/>
      <c r="R875" s="266">
        <v>1</v>
      </c>
      <c r="S875" s="37">
        <v>0</v>
      </c>
      <c r="T875" s="36" t="str">
        <f t="shared" ca="1" si="76"/>
        <v>Empty</v>
      </c>
      <c r="U875" s="37"/>
      <c r="V875" s="37"/>
      <c r="W875" s="38"/>
      <c r="X875" s="39"/>
      <c r="Y875" s="150"/>
      <c r="Z875" s="40"/>
      <c r="AA875" s="136" t="str">
        <f t="shared" ca="1" si="77"/>
        <v/>
      </c>
      <c r="AB875" s="40"/>
      <c r="AC875" s="116"/>
      <c r="AD875" s="116"/>
      <c r="AE875" s="40"/>
      <c r="AF875" s="136" t="str">
        <f t="shared" ca="1" si="78"/>
        <v/>
      </c>
      <c r="AG875" s="127"/>
      <c r="AH875" s="127"/>
      <c r="AI875" s="127"/>
      <c r="AJ875" s="128"/>
      <c r="AK875" s="128"/>
      <c r="AL875" s="129"/>
    </row>
    <row r="876" spans="1:38" ht="24.95" customHeight="1" x14ac:dyDescent="0.25">
      <c r="A876" s="486" t="str">
        <f t="shared" si="75"/>
        <v>18REF013</v>
      </c>
      <c r="B876" s="487">
        <v>13</v>
      </c>
      <c r="C876" s="486" t="s">
        <v>39</v>
      </c>
      <c r="D876" s="488" t="s">
        <v>744</v>
      </c>
      <c r="E876" s="124" t="s">
        <v>701</v>
      </c>
      <c r="F876" s="124" t="s">
        <v>2072</v>
      </c>
      <c r="G876" s="251"/>
      <c r="H876" s="34" t="s">
        <v>43</v>
      </c>
      <c r="I876" s="531" t="s">
        <v>2635</v>
      </c>
      <c r="J876" s="47" t="s">
        <v>180</v>
      </c>
      <c r="K876" s="126">
        <v>110.04</v>
      </c>
      <c r="L876" s="126" t="s">
        <v>658</v>
      </c>
      <c r="M876" s="104" t="s">
        <v>659</v>
      </c>
      <c r="N876" s="265">
        <v>43119</v>
      </c>
      <c r="O876" s="260">
        <v>43208</v>
      </c>
      <c r="P876" s="106" t="s">
        <v>48</v>
      </c>
      <c r="Q876" s="107"/>
      <c r="R876" s="244" t="s">
        <v>1418</v>
      </c>
      <c r="S876" s="37"/>
      <c r="T876" s="36" t="str">
        <f t="shared" ca="1" si="76"/>
        <v/>
      </c>
      <c r="U876" s="37"/>
      <c r="V876" s="37"/>
      <c r="W876" s="38"/>
      <c r="X876" s="39"/>
      <c r="Y876" s="150"/>
      <c r="Z876" s="40"/>
      <c r="AA876" s="136" t="str">
        <f t="shared" ca="1" si="77"/>
        <v/>
      </c>
      <c r="AB876" s="40"/>
      <c r="AC876" s="116"/>
      <c r="AD876" s="116"/>
      <c r="AE876" s="40"/>
      <c r="AF876" s="136" t="str">
        <f t="shared" ca="1" si="78"/>
        <v/>
      </c>
      <c r="AG876" s="127"/>
      <c r="AH876" s="127"/>
      <c r="AI876" s="127"/>
      <c r="AJ876" s="128"/>
      <c r="AK876" s="128"/>
      <c r="AL876" s="129"/>
    </row>
    <row r="877" spans="1:38" ht="23.25" x14ac:dyDescent="0.25">
      <c r="A877" s="486" t="str">
        <f t="shared" si="75"/>
        <v>18REF014</v>
      </c>
      <c r="B877" s="487">
        <v>14</v>
      </c>
      <c r="C877" s="486" t="s">
        <v>39</v>
      </c>
      <c r="D877" s="488" t="s">
        <v>40</v>
      </c>
      <c r="E877" s="124" t="s">
        <v>701</v>
      </c>
      <c r="F877" s="124" t="s">
        <v>2750</v>
      </c>
      <c r="G877" s="251"/>
      <c r="H877" s="34" t="s">
        <v>43</v>
      </c>
      <c r="I877" s="126" t="s">
        <v>2751</v>
      </c>
      <c r="J877" s="47" t="s">
        <v>45</v>
      </c>
      <c r="K877" s="126">
        <v>504.1</v>
      </c>
      <c r="L877" s="126" t="s">
        <v>2752</v>
      </c>
      <c r="M877" s="104" t="s">
        <v>2753</v>
      </c>
      <c r="N877" s="265">
        <v>43119</v>
      </c>
      <c r="O877" s="260"/>
      <c r="P877" s="106" t="s">
        <v>183</v>
      </c>
      <c r="Q877" s="107"/>
      <c r="R877" s="244"/>
      <c r="S877" s="37"/>
      <c r="T877" s="36" t="str">
        <f t="shared" ca="1" si="76"/>
        <v/>
      </c>
      <c r="U877" s="37"/>
      <c r="V877" s="37"/>
      <c r="W877" s="38"/>
      <c r="X877" s="39"/>
      <c r="Y877" s="150"/>
      <c r="Z877" s="40"/>
      <c r="AA877" s="136" t="str">
        <f t="shared" ca="1" si="77"/>
        <v/>
      </c>
      <c r="AB877" s="40"/>
      <c r="AC877" s="116"/>
      <c r="AD877" s="116"/>
      <c r="AE877" s="40"/>
      <c r="AF877" s="136" t="str">
        <f t="shared" ca="1" si="78"/>
        <v/>
      </c>
      <c r="AG877" s="127"/>
      <c r="AH877" s="127"/>
      <c r="AI877" s="127"/>
      <c r="AJ877" s="128"/>
      <c r="AK877" s="128"/>
      <c r="AL877" s="129"/>
    </row>
    <row r="878" spans="1:38" ht="23.25" x14ac:dyDescent="0.25">
      <c r="A878" s="494" t="str">
        <f t="shared" si="75"/>
        <v>18REF015</v>
      </c>
      <c r="B878" s="487">
        <v>15</v>
      </c>
      <c r="C878" s="494" t="s">
        <v>39</v>
      </c>
      <c r="D878" s="495" t="s">
        <v>40</v>
      </c>
      <c r="E878" s="124" t="s">
        <v>701</v>
      </c>
      <c r="F878" s="124" t="s">
        <v>2754</v>
      </c>
      <c r="G878" s="251"/>
      <c r="H878" s="34" t="s">
        <v>43</v>
      </c>
      <c r="I878" s="126" t="s">
        <v>2755</v>
      </c>
      <c r="J878" s="47" t="s">
        <v>45</v>
      </c>
      <c r="K878" s="126">
        <v>351.82</v>
      </c>
      <c r="L878" s="126" t="s">
        <v>2756</v>
      </c>
      <c r="M878" s="104" t="s">
        <v>2757</v>
      </c>
      <c r="N878" s="265">
        <v>43119</v>
      </c>
      <c r="O878" s="260">
        <v>43161</v>
      </c>
      <c r="P878" s="106" t="s">
        <v>133</v>
      </c>
      <c r="Q878" s="107"/>
      <c r="R878" s="244"/>
      <c r="S878" s="37">
        <f>500-11.24</f>
        <v>488.76</v>
      </c>
      <c r="T878" s="36">
        <f t="shared" ca="1" si="76"/>
        <v>212</v>
      </c>
      <c r="U878" s="37"/>
      <c r="V878" s="37"/>
      <c r="W878" s="38"/>
      <c r="X878" s="39"/>
      <c r="Y878" s="150"/>
      <c r="Z878" s="40"/>
      <c r="AA878" s="136" t="str">
        <f t="shared" ca="1" si="77"/>
        <v/>
      </c>
      <c r="AB878" s="40"/>
      <c r="AC878" s="116"/>
      <c r="AD878" s="116"/>
      <c r="AE878" s="40"/>
      <c r="AF878" s="136" t="str">
        <f t="shared" ca="1" si="78"/>
        <v/>
      </c>
      <c r="AG878" s="127"/>
      <c r="AH878" s="127"/>
      <c r="AI878" s="127"/>
      <c r="AJ878" s="128"/>
      <c r="AK878" s="128"/>
      <c r="AL878" s="129"/>
    </row>
    <row r="879" spans="1:38" ht="23.25" x14ac:dyDescent="0.25">
      <c r="A879" s="494" t="str">
        <f t="shared" si="75"/>
        <v>18REF016</v>
      </c>
      <c r="B879" s="487">
        <v>16</v>
      </c>
      <c r="C879" s="494" t="s">
        <v>39</v>
      </c>
      <c r="D879" s="495" t="s">
        <v>40</v>
      </c>
      <c r="E879" s="124" t="s">
        <v>701</v>
      </c>
      <c r="F879" s="124" t="s">
        <v>2758</v>
      </c>
      <c r="G879" s="251"/>
      <c r="H879" s="34" t="s">
        <v>43</v>
      </c>
      <c r="I879" s="126" t="s">
        <v>2759</v>
      </c>
      <c r="J879" s="47" t="s">
        <v>45</v>
      </c>
      <c r="K879" s="126">
        <v>528.59</v>
      </c>
      <c r="L879" s="126" t="s">
        <v>2760</v>
      </c>
      <c r="M879" s="104" t="s">
        <v>2761</v>
      </c>
      <c r="N879" s="265">
        <v>43119</v>
      </c>
      <c r="O879" s="260">
        <v>43165</v>
      </c>
      <c r="P879" s="106" t="s">
        <v>139</v>
      </c>
      <c r="Q879" s="107"/>
      <c r="R879" s="244"/>
      <c r="S879" s="37">
        <f>25-13.6-3.08</f>
        <v>8.32</v>
      </c>
      <c r="T879" s="36">
        <f t="shared" ca="1" si="76"/>
        <v>208</v>
      </c>
      <c r="U879" s="37"/>
      <c r="V879" s="37"/>
      <c r="W879" s="38"/>
      <c r="X879" s="39"/>
      <c r="Y879" s="150"/>
      <c r="Z879" s="40"/>
      <c r="AA879" s="136" t="str">
        <f t="shared" ca="1" si="77"/>
        <v/>
      </c>
      <c r="AB879" s="40"/>
      <c r="AC879" s="116"/>
      <c r="AD879" s="116"/>
      <c r="AE879" s="40"/>
      <c r="AF879" s="136" t="str">
        <f t="shared" ca="1" si="78"/>
        <v/>
      </c>
      <c r="AG879" s="127"/>
      <c r="AH879" s="127"/>
      <c r="AI879" s="127"/>
      <c r="AJ879" s="128"/>
      <c r="AK879" s="128"/>
      <c r="AL879" s="129"/>
    </row>
    <row r="880" spans="1:38" ht="23.25" x14ac:dyDescent="0.25">
      <c r="A880" s="489" t="str">
        <f t="shared" si="75"/>
        <v>18SAM017</v>
      </c>
      <c r="B880" s="490">
        <v>17</v>
      </c>
      <c r="C880" s="489" t="s">
        <v>57</v>
      </c>
      <c r="D880" s="491" t="s">
        <v>40</v>
      </c>
      <c r="E880" s="124" t="s">
        <v>2668</v>
      </c>
      <c r="F880" s="124" t="s">
        <v>2669</v>
      </c>
      <c r="G880" s="251" t="s">
        <v>2671</v>
      </c>
      <c r="H880" s="34" t="s">
        <v>60</v>
      </c>
      <c r="I880" s="126" t="s">
        <v>2673</v>
      </c>
      <c r="J880" s="47" t="s">
        <v>180</v>
      </c>
      <c r="K880" s="126">
        <v>389.81</v>
      </c>
      <c r="L880" s="126" t="s">
        <v>61</v>
      </c>
      <c r="M880" s="104" t="s">
        <v>61</v>
      </c>
      <c r="N880" s="265">
        <v>43122</v>
      </c>
      <c r="O880" s="260">
        <v>43123</v>
      </c>
      <c r="P880" s="106" t="s">
        <v>2763</v>
      </c>
      <c r="Q880" s="107"/>
      <c r="R880" s="267">
        <v>0.99219999999999997</v>
      </c>
      <c r="S880" s="37">
        <f>43-14.3</f>
        <v>28.7</v>
      </c>
      <c r="T880" s="36">
        <f t="shared" ca="1" si="76"/>
        <v>251</v>
      </c>
      <c r="U880" s="37"/>
      <c r="V880" s="37"/>
      <c r="W880" s="38"/>
      <c r="X880" s="39"/>
      <c r="Y880" s="150"/>
      <c r="Z880" s="40"/>
      <c r="AA880" s="136" t="str">
        <f t="shared" ca="1" si="77"/>
        <v/>
      </c>
      <c r="AB880" s="40"/>
      <c r="AC880" s="116"/>
      <c r="AD880" s="116"/>
      <c r="AE880" s="40"/>
      <c r="AF880" s="136" t="str">
        <f t="shared" ca="1" si="78"/>
        <v/>
      </c>
      <c r="AG880" s="127"/>
      <c r="AH880" s="127"/>
      <c r="AI880" s="127"/>
      <c r="AJ880" s="128"/>
      <c r="AK880" s="128"/>
      <c r="AL880" s="129"/>
    </row>
    <row r="881" spans="1:38" ht="23.25" x14ac:dyDescent="0.25">
      <c r="A881" s="489" t="str">
        <f t="shared" si="75"/>
        <v>18SAM018</v>
      </c>
      <c r="B881" s="490">
        <v>18</v>
      </c>
      <c r="C881" s="489" t="s">
        <v>57</v>
      </c>
      <c r="D881" s="491" t="s">
        <v>40</v>
      </c>
      <c r="E881" s="124" t="s">
        <v>2668</v>
      </c>
      <c r="F881" s="124" t="s">
        <v>2670</v>
      </c>
      <c r="G881" s="251" t="s">
        <v>2672</v>
      </c>
      <c r="H881" s="34" t="s">
        <v>60</v>
      </c>
      <c r="I881" s="126" t="s">
        <v>2676</v>
      </c>
      <c r="J881" s="47" t="s">
        <v>180</v>
      </c>
      <c r="K881" s="126">
        <v>408.44</v>
      </c>
      <c r="L881" s="126" t="s">
        <v>61</v>
      </c>
      <c r="M881" s="104" t="s">
        <v>61</v>
      </c>
      <c r="N881" s="265">
        <v>43122</v>
      </c>
      <c r="O881" s="260">
        <v>43123</v>
      </c>
      <c r="P881" s="106" t="s">
        <v>2762</v>
      </c>
      <c r="Q881" s="107"/>
      <c r="R881" s="267">
        <v>0.998</v>
      </c>
      <c r="S881" s="37">
        <f>40.3-16.4-11.2</f>
        <v>12.7</v>
      </c>
      <c r="T881" s="36">
        <f t="shared" ca="1" si="76"/>
        <v>251</v>
      </c>
      <c r="U881" s="37"/>
      <c r="V881" s="37"/>
      <c r="W881" s="38"/>
      <c r="X881" s="39"/>
      <c r="Y881" s="150"/>
      <c r="Z881" s="40"/>
      <c r="AA881" s="136" t="str">
        <f t="shared" ca="1" si="77"/>
        <v/>
      </c>
      <c r="AB881" s="40"/>
      <c r="AC881" s="116"/>
      <c r="AD881" s="116"/>
      <c r="AE881" s="40"/>
      <c r="AF881" s="136" t="str">
        <f t="shared" ca="1" si="78"/>
        <v/>
      </c>
      <c r="AG881" s="127"/>
      <c r="AH881" s="127"/>
      <c r="AI881" s="127"/>
      <c r="AJ881" s="128"/>
      <c r="AK881" s="128"/>
      <c r="AL881" s="129"/>
    </row>
    <row r="882" spans="1:38" ht="23.25" x14ac:dyDescent="0.25">
      <c r="A882" s="486" t="str">
        <f t="shared" si="75"/>
        <v>18REF019</v>
      </c>
      <c r="B882" s="487">
        <v>19</v>
      </c>
      <c r="C882" s="486" t="s">
        <v>39</v>
      </c>
      <c r="D882" s="488" t="s">
        <v>40</v>
      </c>
      <c r="E882" s="124" t="s">
        <v>701</v>
      </c>
      <c r="F882" s="124" t="s">
        <v>2776</v>
      </c>
      <c r="G882" s="251"/>
      <c r="H882" s="34" t="s">
        <v>43</v>
      </c>
      <c r="I882" s="531" t="s">
        <v>3215</v>
      </c>
      <c r="J882" s="47" t="s">
        <v>180</v>
      </c>
      <c r="K882" s="126">
        <v>165.19</v>
      </c>
      <c r="L882" s="126" t="s">
        <v>2777</v>
      </c>
      <c r="M882" s="104" t="s">
        <v>2778</v>
      </c>
      <c r="N882" s="265">
        <v>43110</v>
      </c>
      <c r="O882" s="260">
        <v>43111</v>
      </c>
      <c r="P882" s="106" t="s">
        <v>2779</v>
      </c>
      <c r="Q882" s="107"/>
      <c r="R882" s="266">
        <v>0.98</v>
      </c>
      <c r="S882" s="37">
        <v>0</v>
      </c>
      <c r="T882" s="36" t="str">
        <f t="shared" ca="1" si="76"/>
        <v>Empty</v>
      </c>
      <c r="U882" s="37"/>
      <c r="V882" s="37"/>
      <c r="W882" s="38"/>
      <c r="X882" s="39"/>
      <c r="Y882" s="150"/>
      <c r="Z882" s="40"/>
      <c r="AA882" s="136" t="str">
        <f t="shared" ca="1" si="77"/>
        <v/>
      </c>
      <c r="AB882" s="40"/>
      <c r="AC882" s="116"/>
      <c r="AD882" s="116"/>
      <c r="AE882" s="40"/>
      <c r="AF882" s="136" t="str">
        <f t="shared" ca="1" si="78"/>
        <v/>
      </c>
      <c r="AG882" s="127"/>
      <c r="AH882" s="127"/>
      <c r="AI882" s="127"/>
      <c r="AJ882" s="128"/>
      <c r="AK882" s="128"/>
      <c r="AL882" s="129"/>
    </row>
    <row r="883" spans="1:38" ht="23.25" x14ac:dyDescent="0.25">
      <c r="A883" s="486" t="str">
        <f t="shared" si="75"/>
        <v>18REF020</v>
      </c>
      <c r="B883" s="487">
        <v>20</v>
      </c>
      <c r="C883" s="486" t="s">
        <v>39</v>
      </c>
      <c r="D883" s="488" t="s">
        <v>40</v>
      </c>
      <c r="E883" s="124" t="s">
        <v>701</v>
      </c>
      <c r="F883" s="124" t="s">
        <v>2780</v>
      </c>
      <c r="G883" s="251"/>
      <c r="H883" s="34" t="s">
        <v>43</v>
      </c>
      <c r="I883" s="531" t="s">
        <v>2781</v>
      </c>
      <c r="J883" s="47" t="s">
        <v>180</v>
      </c>
      <c r="K883" s="126">
        <v>116.12</v>
      </c>
      <c r="L883" s="126" t="s">
        <v>2782</v>
      </c>
      <c r="M883" s="104" t="s">
        <v>2783</v>
      </c>
      <c r="N883" s="265">
        <v>43110</v>
      </c>
      <c r="O883" s="260">
        <v>43111</v>
      </c>
      <c r="P883" s="106" t="s">
        <v>1295</v>
      </c>
      <c r="Q883" s="107"/>
      <c r="R883" s="266">
        <v>0.98</v>
      </c>
      <c r="S883" s="37">
        <v>0</v>
      </c>
      <c r="T883" s="36" t="str">
        <f t="shared" ca="1" si="76"/>
        <v>Empty</v>
      </c>
      <c r="U883" s="37"/>
      <c r="V883" s="37"/>
      <c r="W883" s="38"/>
      <c r="X883" s="39"/>
      <c r="Y883" s="150"/>
      <c r="Z883" s="40"/>
      <c r="AA883" s="136" t="str">
        <f t="shared" ca="1" si="77"/>
        <v/>
      </c>
      <c r="AB883" s="40"/>
      <c r="AC883" s="116"/>
      <c r="AD883" s="116"/>
      <c r="AE883" s="40"/>
      <c r="AF883" s="136" t="str">
        <f t="shared" ca="1" si="78"/>
        <v/>
      </c>
      <c r="AG883" s="127"/>
      <c r="AH883" s="127"/>
      <c r="AI883" s="127"/>
      <c r="AJ883" s="128"/>
      <c r="AK883" s="128"/>
      <c r="AL883" s="129"/>
    </row>
    <row r="884" spans="1:38" ht="23.25" x14ac:dyDescent="0.25">
      <c r="A884" s="486" t="str">
        <f t="shared" si="75"/>
        <v>18REF021</v>
      </c>
      <c r="B884" s="487">
        <v>21</v>
      </c>
      <c r="C884" s="486" t="s">
        <v>39</v>
      </c>
      <c r="D884" s="488" t="s">
        <v>40</v>
      </c>
      <c r="E884" s="124" t="s">
        <v>701</v>
      </c>
      <c r="F884" s="124" t="s">
        <v>2784</v>
      </c>
      <c r="G884" s="251"/>
      <c r="H884" s="34" t="s">
        <v>43</v>
      </c>
      <c r="I884" s="126" t="s">
        <v>2785</v>
      </c>
      <c r="J884" s="47" t="s">
        <v>45</v>
      </c>
      <c r="K884" s="126"/>
      <c r="L884" s="126">
        <v>295906</v>
      </c>
      <c r="M884" s="104" t="s">
        <v>2786</v>
      </c>
      <c r="N884" s="265">
        <v>43110</v>
      </c>
      <c r="O884" s="260"/>
      <c r="P884" s="106" t="s">
        <v>271</v>
      </c>
      <c r="Q884" s="107"/>
      <c r="R884" s="244"/>
      <c r="S884" s="37"/>
      <c r="T884" s="36" t="str">
        <f t="shared" ca="1" si="76"/>
        <v/>
      </c>
      <c r="U884" s="37"/>
      <c r="V884" s="37"/>
      <c r="W884" s="38"/>
      <c r="X884" s="39"/>
      <c r="Y884" s="150"/>
      <c r="Z884" s="40"/>
      <c r="AA884" s="136" t="str">
        <f t="shared" ca="1" si="77"/>
        <v/>
      </c>
      <c r="AB884" s="40"/>
      <c r="AC884" s="116"/>
      <c r="AD884" s="116"/>
      <c r="AE884" s="40"/>
      <c r="AF884" s="136" t="str">
        <f t="shared" ca="1" si="78"/>
        <v/>
      </c>
      <c r="AG884" s="127"/>
      <c r="AH884" s="127"/>
      <c r="AI884" s="127"/>
      <c r="AJ884" s="128"/>
      <c r="AK884" s="128"/>
      <c r="AL884" s="129"/>
    </row>
    <row r="885" spans="1:38" ht="23.25" x14ac:dyDescent="0.25">
      <c r="A885" s="486" t="str">
        <f t="shared" si="75"/>
        <v>18REF022</v>
      </c>
      <c r="B885" s="487">
        <v>22</v>
      </c>
      <c r="C885" s="486" t="s">
        <v>39</v>
      </c>
      <c r="D885" s="488" t="s">
        <v>40</v>
      </c>
      <c r="E885" s="124" t="s">
        <v>701</v>
      </c>
      <c r="F885" s="124" t="s">
        <v>2798</v>
      </c>
      <c r="G885" s="251"/>
      <c r="H885" s="34" t="s">
        <v>43</v>
      </c>
      <c r="I885" s="126" t="s">
        <v>2799</v>
      </c>
      <c r="J885" s="47" t="s">
        <v>45</v>
      </c>
      <c r="K885" s="126" t="s">
        <v>61</v>
      </c>
      <c r="L885" s="126" t="s">
        <v>2800</v>
      </c>
      <c r="M885" s="104" t="s">
        <v>61</v>
      </c>
      <c r="N885" s="265">
        <v>43124</v>
      </c>
      <c r="O885" s="260"/>
      <c r="P885" s="106" t="s">
        <v>2801</v>
      </c>
      <c r="Q885" s="107"/>
      <c r="R885" s="244"/>
      <c r="S885" s="37"/>
      <c r="T885" s="36" t="str">
        <f t="shared" ca="1" si="76"/>
        <v/>
      </c>
      <c r="U885" s="37"/>
      <c r="V885" s="37"/>
      <c r="W885" s="38"/>
      <c r="X885" s="39"/>
      <c r="Y885" s="150"/>
      <c r="Z885" s="40"/>
      <c r="AA885" s="136" t="str">
        <f t="shared" ca="1" si="77"/>
        <v/>
      </c>
      <c r="AB885" s="40"/>
      <c r="AC885" s="116"/>
      <c r="AD885" s="116"/>
      <c r="AE885" s="40"/>
      <c r="AF885" s="136" t="str">
        <f t="shared" ca="1" si="78"/>
        <v/>
      </c>
      <c r="AG885" s="127"/>
      <c r="AH885" s="127"/>
      <c r="AI885" s="127"/>
      <c r="AJ885" s="128"/>
      <c r="AK885" s="128"/>
      <c r="AL885" s="129"/>
    </row>
    <row r="886" spans="1:38" ht="23.25" x14ac:dyDescent="0.25">
      <c r="A886" s="486" t="str">
        <f t="shared" si="75"/>
        <v>18REF023</v>
      </c>
      <c r="B886" s="487">
        <v>23</v>
      </c>
      <c r="C886" s="486" t="s">
        <v>39</v>
      </c>
      <c r="D886" s="488" t="s">
        <v>824</v>
      </c>
      <c r="E886" s="124" t="s">
        <v>701</v>
      </c>
      <c r="F886" s="124" t="s">
        <v>2822</v>
      </c>
      <c r="G886" s="251"/>
      <c r="H886" s="443" t="s">
        <v>3513</v>
      </c>
      <c r="I886" s="126">
        <v>1896197</v>
      </c>
      <c r="J886" s="47" t="s">
        <v>180</v>
      </c>
      <c r="K886" s="126" t="s">
        <v>61</v>
      </c>
      <c r="L886" s="126">
        <v>21103049</v>
      </c>
      <c r="M886" s="104" t="s">
        <v>61</v>
      </c>
      <c r="N886" s="265">
        <v>43130</v>
      </c>
      <c r="O886" s="260">
        <v>43136</v>
      </c>
      <c r="P886" s="106" t="s">
        <v>2823</v>
      </c>
      <c r="Q886" s="107"/>
      <c r="R886" s="244"/>
      <c r="S886" s="37">
        <v>0</v>
      </c>
      <c r="T886" s="36" t="str">
        <f t="shared" ca="1" si="76"/>
        <v>Empty</v>
      </c>
      <c r="U886" s="37"/>
      <c r="V886" s="107" t="s">
        <v>2827</v>
      </c>
      <c r="W886" s="38"/>
      <c r="X886" s="39"/>
      <c r="Y886" s="150"/>
      <c r="Z886" s="40"/>
      <c r="AA886" s="136" t="str">
        <f t="shared" ca="1" si="77"/>
        <v/>
      </c>
      <c r="AB886" s="40"/>
      <c r="AC886" s="116"/>
      <c r="AD886" s="116"/>
      <c r="AE886" s="40"/>
      <c r="AF886" s="136" t="str">
        <f t="shared" ca="1" si="78"/>
        <v/>
      </c>
      <c r="AG886" s="127"/>
      <c r="AH886" s="127"/>
      <c r="AI886" s="127"/>
      <c r="AJ886" s="128"/>
      <c r="AK886" s="128"/>
      <c r="AL886" s="129"/>
    </row>
    <row r="887" spans="1:38" ht="23.25" x14ac:dyDescent="0.25">
      <c r="A887" s="486" t="str">
        <f t="shared" si="75"/>
        <v>18REF024</v>
      </c>
      <c r="B887" s="487">
        <v>24</v>
      </c>
      <c r="C887" s="486" t="s">
        <v>39</v>
      </c>
      <c r="D887" s="488" t="s">
        <v>824</v>
      </c>
      <c r="E887" s="124" t="s">
        <v>701</v>
      </c>
      <c r="F887" s="124" t="s">
        <v>2822</v>
      </c>
      <c r="G887" s="251"/>
      <c r="H887" s="443" t="s">
        <v>3513</v>
      </c>
      <c r="I887" s="126">
        <v>1896197</v>
      </c>
      <c r="J887" s="47" t="s">
        <v>180</v>
      </c>
      <c r="K887" s="126" t="s">
        <v>61</v>
      </c>
      <c r="L887" s="126">
        <v>21103049</v>
      </c>
      <c r="M887" s="104" t="s">
        <v>61</v>
      </c>
      <c r="N887" s="265">
        <v>43130</v>
      </c>
      <c r="O887" s="260"/>
      <c r="P887" s="106" t="s">
        <v>2823</v>
      </c>
      <c r="Q887" s="107"/>
      <c r="R887" s="244"/>
      <c r="S887" s="37"/>
      <c r="T887" s="36" t="str">
        <f t="shared" ca="1" si="76"/>
        <v/>
      </c>
      <c r="U887" s="37"/>
      <c r="V887" s="107" t="s">
        <v>2827</v>
      </c>
      <c r="W887" s="38"/>
      <c r="X887" s="39"/>
      <c r="Y887" s="150"/>
      <c r="Z887" s="40"/>
      <c r="AA887" s="136" t="str">
        <f t="shared" ca="1" si="77"/>
        <v/>
      </c>
      <c r="AB887" s="40"/>
      <c r="AC887" s="116"/>
      <c r="AD887" s="116"/>
      <c r="AE887" s="40"/>
      <c r="AF887" s="136" t="str">
        <f t="shared" ca="1" si="78"/>
        <v/>
      </c>
      <c r="AG887" s="127"/>
      <c r="AH887" s="127"/>
      <c r="AI887" s="127"/>
      <c r="AJ887" s="128"/>
      <c r="AK887" s="128"/>
      <c r="AL887" s="129"/>
    </row>
    <row r="888" spans="1:38" ht="23.25" x14ac:dyDescent="0.25">
      <c r="A888" s="486" t="str">
        <f t="shared" si="75"/>
        <v>18REF025</v>
      </c>
      <c r="B888" s="487">
        <v>25</v>
      </c>
      <c r="C888" s="486" t="s">
        <v>39</v>
      </c>
      <c r="D888" s="488" t="s">
        <v>824</v>
      </c>
      <c r="E888" s="124" t="s">
        <v>701</v>
      </c>
      <c r="F888" s="124" t="s">
        <v>2822</v>
      </c>
      <c r="G888" s="251"/>
      <c r="H888" s="443" t="s">
        <v>3513</v>
      </c>
      <c r="I888" s="126">
        <v>1896197</v>
      </c>
      <c r="J888" s="47" t="s">
        <v>180</v>
      </c>
      <c r="K888" s="126" t="s">
        <v>61</v>
      </c>
      <c r="L888" s="126">
        <v>21103049</v>
      </c>
      <c r="M888" s="104" t="s">
        <v>61</v>
      </c>
      <c r="N888" s="265">
        <v>43130</v>
      </c>
      <c r="O888" s="260"/>
      <c r="P888" s="106" t="s">
        <v>2823</v>
      </c>
      <c r="Q888" s="107"/>
      <c r="R888" s="244"/>
      <c r="S888" s="37"/>
      <c r="T888" s="36" t="str">
        <f t="shared" ca="1" si="76"/>
        <v/>
      </c>
      <c r="U888" s="37"/>
      <c r="V888" s="107" t="s">
        <v>2827</v>
      </c>
      <c r="W888" s="38"/>
      <c r="X888" s="39"/>
      <c r="Y888" s="150"/>
      <c r="Z888" s="40"/>
      <c r="AA888" s="136" t="str">
        <f t="shared" ca="1" si="77"/>
        <v/>
      </c>
      <c r="AB888" s="40"/>
      <c r="AC888" s="116"/>
      <c r="AD888" s="116"/>
      <c r="AE888" s="40"/>
      <c r="AF888" s="136" t="str">
        <f t="shared" ca="1" si="78"/>
        <v/>
      </c>
      <c r="AG888" s="127"/>
      <c r="AH888" s="127"/>
      <c r="AI888" s="127"/>
      <c r="AJ888" s="128"/>
      <c r="AK888" s="128"/>
      <c r="AL888" s="129"/>
    </row>
    <row r="889" spans="1:38" ht="23.25" x14ac:dyDescent="0.25">
      <c r="A889" s="486" t="str">
        <f t="shared" si="75"/>
        <v>18REF026</v>
      </c>
      <c r="B889" s="487">
        <v>26</v>
      </c>
      <c r="C889" s="486" t="s">
        <v>39</v>
      </c>
      <c r="D889" s="488" t="s">
        <v>824</v>
      </c>
      <c r="E889" s="124" t="s">
        <v>701</v>
      </c>
      <c r="F889" s="124" t="s">
        <v>3512</v>
      </c>
      <c r="G889" s="251" t="s">
        <v>61</v>
      </c>
      <c r="H889" s="443" t="s">
        <v>3513</v>
      </c>
      <c r="I889" s="126">
        <v>1881462</v>
      </c>
      <c r="J889" s="47" t="s">
        <v>105</v>
      </c>
      <c r="K889" s="126" t="s">
        <v>61</v>
      </c>
      <c r="L889" s="126">
        <v>11568876</v>
      </c>
      <c r="M889" s="104" t="s">
        <v>61</v>
      </c>
      <c r="N889" s="265">
        <v>43130</v>
      </c>
      <c r="O889" s="260">
        <v>43136</v>
      </c>
      <c r="P889" s="106" t="s">
        <v>2824</v>
      </c>
      <c r="Q889" s="107"/>
      <c r="R889" s="244"/>
      <c r="S889" s="37">
        <v>0</v>
      </c>
      <c r="T889" s="36" t="str">
        <f t="shared" ca="1" si="76"/>
        <v>Empty</v>
      </c>
      <c r="U889" s="37"/>
      <c r="V889" s="37"/>
      <c r="W889" s="38"/>
      <c r="X889" s="39"/>
      <c r="Y889" s="150"/>
      <c r="Z889" s="40"/>
      <c r="AA889" s="136" t="str">
        <f t="shared" ca="1" si="77"/>
        <v/>
      </c>
      <c r="AB889" s="40"/>
      <c r="AC889" s="116"/>
      <c r="AD889" s="116"/>
      <c r="AE889" s="40"/>
      <c r="AF889" s="136" t="str">
        <f t="shared" ca="1" si="78"/>
        <v/>
      </c>
      <c r="AG889" s="127"/>
      <c r="AH889" s="127"/>
      <c r="AI889" s="127"/>
      <c r="AJ889" s="128"/>
      <c r="AK889" s="128"/>
      <c r="AL889" s="129"/>
    </row>
    <row r="890" spans="1:38" ht="23.25" x14ac:dyDescent="0.25">
      <c r="A890" s="486" t="str">
        <f t="shared" si="75"/>
        <v>18REF027</v>
      </c>
      <c r="B890" s="487">
        <v>27</v>
      </c>
      <c r="C890" s="486" t="s">
        <v>39</v>
      </c>
      <c r="D890" s="488" t="s">
        <v>824</v>
      </c>
      <c r="E890" s="124" t="s">
        <v>701</v>
      </c>
      <c r="F890" s="124" t="s">
        <v>2826</v>
      </c>
      <c r="G890" s="251"/>
      <c r="H890" s="443" t="s">
        <v>3513</v>
      </c>
      <c r="I890" s="126">
        <v>1913471</v>
      </c>
      <c r="J890" s="47" t="s">
        <v>105</v>
      </c>
      <c r="K890" s="126" t="s">
        <v>61</v>
      </c>
      <c r="L890" s="126" t="s">
        <v>2825</v>
      </c>
      <c r="M890" s="104" t="s">
        <v>61</v>
      </c>
      <c r="N890" s="265">
        <v>43130</v>
      </c>
      <c r="O890" s="260">
        <v>43136</v>
      </c>
      <c r="P890" s="106" t="s">
        <v>2828</v>
      </c>
      <c r="Q890" s="107"/>
      <c r="R890" s="244"/>
      <c r="S890" s="37">
        <v>0</v>
      </c>
      <c r="T890" s="36" t="str">
        <f t="shared" ca="1" si="76"/>
        <v>Empty</v>
      </c>
      <c r="U890" s="37"/>
      <c r="V890" s="107" t="s">
        <v>2827</v>
      </c>
      <c r="W890" s="38"/>
      <c r="X890" s="39"/>
      <c r="Y890" s="150"/>
      <c r="Z890" s="40"/>
      <c r="AA890" s="136" t="str">
        <f t="shared" ca="1" si="77"/>
        <v/>
      </c>
      <c r="AB890" s="40"/>
      <c r="AC890" s="116"/>
      <c r="AD890" s="116"/>
      <c r="AE890" s="40"/>
      <c r="AF890" s="136" t="str">
        <f t="shared" ca="1" si="78"/>
        <v/>
      </c>
      <c r="AG890" s="127"/>
      <c r="AH890" s="127"/>
      <c r="AI890" s="127"/>
      <c r="AJ890" s="128"/>
      <c r="AK890" s="128"/>
      <c r="AL890" s="129"/>
    </row>
    <row r="891" spans="1:38" ht="23.25" x14ac:dyDescent="0.25">
      <c r="A891" s="486" t="str">
        <f t="shared" si="75"/>
        <v>18REF028</v>
      </c>
      <c r="B891" s="487">
        <v>28</v>
      </c>
      <c r="C891" s="486" t="s">
        <v>39</v>
      </c>
      <c r="D891" s="488" t="s">
        <v>824</v>
      </c>
      <c r="E891" s="124" t="s">
        <v>701</v>
      </c>
      <c r="F891" s="124" t="s">
        <v>2829</v>
      </c>
      <c r="G891" s="251"/>
      <c r="H891" s="443" t="s">
        <v>3513</v>
      </c>
      <c r="I891" s="126">
        <v>1896467</v>
      </c>
      <c r="J891" s="47" t="s">
        <v>180</v>
      </c>
      <c r="K891" s="126" t="s">
        <v>61</v>
      </c>
      <c r="L891" s="126">
        <v>15630056</v>
      </c>
      <c r="M891" s="104" t="s">
        <v>61</v>
      </c>
      <c r="N891" s="265">
        <v>43130</v>
      </c>
      <c r="O891" s="260">
        <v>43136</v>
      </c>
      <c r="P891" s="106" t="s">
        <v>1964</v>
      </c>
      <c r="Q891" s="107"/>
      <c r="R891" s="244"/>
      <c r="S891" s="37">
        <v>0</v>
      </c>
      <c r="T891" s="36" t="str">
        <f t="shared" ca="1" si="76"/>
        <v>Empty</v>
      </c>
      <c r="U891" s="37"/>
      <c r="V891" s="37"/>
      <c r="W891" s="38"/>
      <c r="X891" s="39"/>
      <c r="Y891" s="150"/>
      <c r="Z891" s="40"/>
      <c r="AA891" s="136" t="str">
        <f t="shared" ca="1" si="77"/>
        <v/>
      </c>
      <c r="AB891" s="40"/>
      <c r="AC891" s="116"/>
      <c r="AD891" s="116"/>
      <c r="AE891" s="40"/>
      <c r="AF891" s="136" t="str">
        <f t="shared" ca="1" si="78"/>
        <v/>
      </c>
      <c r="AG891" s="127"/>
      <c r="AH891" s="127"/>
      <c r="AI891" s="127"/>
      <c r="AJ891" s="128"/>
      <c r="AK891" s="128"/>
      <c r="AL891" s="129"/>
    </row>
    <row r="892" spans="1:38" ht="23.25" x14ac:dyDescent="0.25">
      <c r="A892" s="486" t="str">
        <f t="shared" si="75"/>
        <v>18REF029</v>
      </c>
      <c r="B892" s="487">
        <v>29</v>
      </c>
      <c r="C892" s="486" t="s">
        <v>39</v>
      </c>
      <c r="D892" s="488" t="s">
        <v>824</v>
      </c>
      <c r="E892" s="124" t="s">
        <v>701</v>
      </c>
      <c r="F892" s="124" t="s">
        <v>2830</v>
      </c>
      <c r="G892" s="251"/>
      <c r="H892" s="443" t="s">
        <v>3513</v>
      </c>
      <c r="I892" s="126">
        <v>1908839</v>
      </c>
      <c r="J892" s="47" t="s">
        <v>105</v>
      </c>
      <c r="K892" s="126" t="s">
        <v>61</v>
      </c>
      <c r="L892" s="126">
        <v>15090046</v>
      </c>
      <c r="M892" s="104" t="s">
        <v>61</v>
      </c>
      <c r="N892" s="265">
        <v>43130</v>
      </c>
      <c r="O892" s="260">
        <v>43136</v>
      </c>
      <c r="P892" s="106" t="s">
        <v>1964</v>
      </c>
      <c r="Q892" s="107"/>
      <c r="R892" s="244"/>
      <c r="S892" s="37">
        <v>0</v>
      </c>
      <c r="T892" s="36" t="str">
        <f t="shared" ca="1" si="76"/>
        <v>Empty</v>
      </c>
      <c r="U892" s="37"/>
      <c r="V892" s="37"/>
      <c r="W892" s="38"/>
      <c r="X892" s="39"/>
      <c r="Y892" s="150"/>
      <c r="Z892" s="40"/>
      <c r="AA892" s="136" t="str">
        <f t="shared" ca="1" si="77"/>
        <v/>
      </c>
      <c r="AB892" s="40"/>
      <c r="AC892" s="116"/>
      <c r="AD892" s="116"/>
      <c r="AE892" s="40"/>
      <c r="AF892" s="136" t="str">
        <f t="shared" ca="1" si="78"/>
        <v/>
      </c>
      <c r="AG892" s="127"/>
      <c r="AH892" s="127"/>
      <c r="AI892" s="127"/>
      <c r="AJ892" s="128"/>
      <c r="AK892" s="128"/>
      <c r="AL892" s="129"/>
    </row>
    <row r="893" spans="1:38" ht="23.25" x14ac:dyDescent="0.25">
      <c r="A893" s="486" t="str">
        <f t="shared" si="75"/>
        <v>18REF030</v>
      </c>
      <c r="B893" s="487">
        <v>30</v>
      </c>
      <c r="C893" s="486" t="s">
        <v>39</v>
      </c>
      <c r="D893" s="488" t="s">
        <v>824</v>
      </c>
      <c r="E893" s="124" t="s">
        <v>701</v>
      </c>
      <c r="F893" s="124" t="s">
        <v>2831</v>
      </c>
      <c r="G893" s="251"/>
      <c r="H893" s="443" t="s">
        <v>3513</v>
      </c>
      <c r="I893" s="126">
        <v>1897025</v>
      </c>
      <c r="J893" s="47" t="s">
        <v>180</v>
      </c>
      <c r="K893" s="126" t="s">
        <v>61</v>
      </c>
      <c r="L893" s="126">
        <v>11360070</v>
      </c>
      <c r="M893" s="104" t="s">
        <v>61</v>
      </c>
      <c r="N893" s="265">
        <v>43130</v>
      </c>
      <c r="O893" s="260">
        <v>43136</v>
      </c>
      <c r="P893" s="106" t="s">
        <v>1964</v>
      </c>
      <c r="Q893" s="107"/>
      <c r="R893" s="244"/>
      <c r="S893" s="37">
        <v>0</v>
      </c>
      <c r="T893" s="36" t="str">
        <f t="shared" ca="1" si="76"/>
        <v>Empty</v>
      </c>
      <c r="U893" s="37"/>
      <c r="V893" s="107" t="s">
        <v>2827</v>
      </c>
      <c r="W893" s="38"/>
      <c r="X893" s="39"/>
      <c r="Y893" s="150"/>
      <c r="Z893" s="40"/>
      <c r="AA893" s="136" t="str">
        <f t="shared" ca="1" si="77"/>
        <v/>
      </c>
      <c r="AB893" s="40"/>
      <c r="AC893" s="116"/>
      <c r="AD893" s="116"/>
      <c r="AE893" s="40"/>
      <c r="AF893" s="136" t="str">
        <f t="shared" ca="1" si="78"/>
        <v/>
      </c>
      <c r="AG893" s="127"/>
      <c r="AH893" s="127"/>
      <c r="AI893" s="127"/>
      <c r="AJ893" s="128"/>
      <c r="AK893" s="128"/>
      <c r="AL893" s="129"/>
    </row>
    <row r="894" spans="1:38" ht="23.25" x14ac:dyDescent="0.25">
      <c r="A894" s="489" t="str">
        <f t="shared" si="75"/>
        <v>18SAM031</v>
      </c>
      <c r="B894" s="490">
        <v>31</v>
      </c>
      <c r="C894" s="489" t="s">
        <v>57</v>
      </c>
      <c r="D894" s="491" t="s">
        <v>40</v>
      </c>
      <c r="E894" s="124" t="s">
        <v>1701</v>
      </c>
      <c r="F894" s="124" t="s">
        <v>2250</v>
      </c>
      <c r="G894" s="251"/>
      <c r="H894" s="34" t="s">
        <v>60</v>
      </c>
      <c r="I894" s="126" t="s">
        <v>2837</v>
      </c>
      <c r="J894" s="47" t="s">
        <v>45</v>
      </c>
      <c r="K894" s="126">
        <v>526.75</v>
      </c>
      <c r="L894" s="126" t="s">
        <v>61</v>
      </c>
      <c r="M894" s="104" t="s">
        <v>61</v>
      </c>
      <c r="N894" s="265">
        <v>43132</v>
      </c>
      <c r="O894" s="260">
        <v>43137</v>
      </c>
      <c r="P894" s="106" t="s">
        <v>1055</v>
      </c>
      <c r="Q894" s="107" t="s">
        <v>1056</v>
      </c>
      <c r="R894" s="266" t="s">
        <v>60</v>
      </c>
      <c r="S894" s="37">
        <v>0</v>
      </c>
      <c r="T894" s="36" t="str">
        <f t="shared" ca="1" si="76"/>
        <v>Empty</v>
      </c>
      <c r="U894" s="37"/>
      <c r="V894" s="37" t="s">
        <v>2840</v>
      </c>
      <c r="W894" s="38"/>
      <c r="X894" s="39"/>
      <c r="Y894" s="150"/>
      <c r="Z894" s="40"/>
      <c r="AA894" s="136" t="str">
        <f t="shared" ca="1" si="77"/>
        <v/>
      </c>
      <c r="AB894" s="40"/>
      <c r="AC894" s="116"/>
      <c r="AD894" s="116"/>
      <c r="AE894" s="40"/>
      <c r="AF894" s="136" t="str">
        <f t="shared" ca="1" si="78"/>
        <v/>
      </c>
      <c r="AG894" s="127"/>
      <c r="AH894" s="127"/>
      <c r="AI894" s="127"/>
      <c r="AJ894" s="128"/>
      <c r="AK894" s="128"/>
      <c r="AL894" s="129"/>
    </row>
    <row r="895" spans="1:38" ht="23.25" x14ac:dyDescent="0.25">
      <c r="A895" s="489" t="str">
        <f t="shared" si="75"/>
        <v>18SAM032</v>
      </c>
      <c r="B895" s="490">
        <v>32</v>
      </c>
      <c r="C895" s="489" t="s">
        <v>57</v>
      </c>
      <c r="D895" s="491" t="s">
        <v>744</v>
      </c>
      <c r="E895" s="124" t="s">
        <v>1701</v>
      </c>
      <c r="F895" s="124" t="s">
        <v>2838</v>
      </c>
      <c r="G895" s="251"/>
      <c r="H895" s="34" t="s">
        <v>60</v>
      </c>
      <c r="I895" s="126" t="s">
        <v>2839</v>
      </c>
      <c r="J895" s="47" t="s">
        <v>45</v>
      </c>
      <c r="K895" s="126">
        <v>428.57</v>
      </c>
      <c r="L895" s="126" t="s">
        <v>61</v>
      </c>
      <c r="M895" s="104" t="s">
        <v>61</v>
      </c>
      <c r="N895" s="265">
        <v>43132</v>
      </c>
      <c r="O895" s="260">
        <v>43137</v>
      </c>
      <c r="P895" s="106" t="s">
        <v>409</v>
      </c>
      <c r="Q895" s="107" t="s">
        <v>1056</v>
      </c>
      <c r="R895" s="266" t="s">
        <v>60</v>
      </c>
      <c r="S895" s="37">
        <f>20-2.28-2.53-1.39-2.43-1.3</f>
        <v>10.069999999999999</v>
      </c>
      <c r="T895" s="36">
        <f t="shared" ca="1" si="76"/>
        <v>238</v>
      </c>
      <c r="U895" s="37"/>
      <c r="V895" s="37" t="s">
        <v>2840</v>
      </c>
      <c r="W895" s="38"/>
      <c r="X895" s="39"/>
      <c r="Y895" s="150"/>
      <c r="Z895" s="40"/>
      <c r="AA895" s="136" t="str">
        <f t="shared" ca="1" si="77"/>
        <v/>
      </c>
      <c r="AB895" s="40"/>
      <c r="AC895" s="116"/>
      <c r="AD895" s="116"/>
      <c r="AE895" s="40"/>
      <c r="AF895" s="136" t="str">
        <f t="shared" ca="1" si="78"/>
        <v/>
      </c>
      <c r="AG895" s="127"/>
      <c r="AH895" s="127"/>
      <c r="AI895" s="127"/>
      <c r="AJ895" s="128"/>
      <c r="AK895" s="128"/>
      <c r="AL895" s="129"/>
    </row>
    <row r="896" spans="1:38" ht="23.25" x14ac:dyDescent="0.25">
      <c r="A896" s="486" t="str">
        <f t="shared" si="75"/>
        <v>18REF033</v>
      </c>
      <c r="B896" s="487">
        <v>33</v>
      </c>
      <c r="C896" s="486" t="s">
        <v>39</v>
      </c>
      <c r="D896" s="488" t="s">
        <v>824</v>
      </c>
      <c r="E896" s="124" t="s">
        <v>701</v>
      </c>
      <c r="F896" s="124" t="s">
        <v>2822</v>
      </c>
      <c r="G896" s="251"/>
      <c r="H896" s="443" t="s">
        <v>3513</v>
      </c>
      <c r="I896" s="126">
        <v>1896197</v>
      </c>
      <c r="J896" s="47" t="s">
        <v>180</v>
      </c>
      <c r="K896" s="126" t="s">
        <v>61</v>
      </c>
      <c r="L896" s="126">
        <v>21103049</v>
      </c>
      <c r="M896" s="104" t="s">
        <v>61</v>
      </c>
      <c r="N896" s="265">
        <v>43136</v>
      </c>
      <c r="O896" s="260"/>
      <c r="P896" s="106" t="s">
        <v>2823</v>
      </c>
      <c r="Q896" s="107"/>
      <c r="R896" s="244"/>
      <c r="S896" s="37"/>
      <c r="T896" s="36" t="str">
        <f t="shared" ca="1" si="76"/>
        <v/>
      </c>
      <c r="U896" s="37"/>
      <c r="V896" s="37"/>
      <c r="W896" s="38"/>
      <c r="X896" s="39"/>
      <c r="Y896" s="150"/>
      <c r="Z896" s="40"/>
      <c r="AA896" s="136" t="str">
        <f t="shared" ca="1" si="77"/>
        <v/>
      </c>
      <c r="AB896" s="40"/>
      <c r="AC896" s="116"/>
      <c r="AD896" s="116"/>
      <c r="AE896" s="40"/>
      <c r="AF896" s="136" t="str">
        <f t="shared" ca="1" si="78"/>
        <v/>
      </c>
      <c r="AG896" s="127"/>
      <c r="AH896" s="127"/>
      <c r="AI896" s="127"/>
      <c r="AJ896" s="128"/>
      <c r="AK896" s="128"/>
      <c r="AL896" s="129"/>
    </row>
    <row r="897" spans="1:38" ht="23.25" x14ac:dyDescent="0.25">
      <c r="A897" s="486" t="str">
        <f t="shared" si="75"/>
        <v>18REF034</v>
      </c>
      <c r="B897" s="487">
        <v>34</v>
      </c>
      <c r="C897" s="486" t="s">
        <v>39</v>
      </c>
      <c r="D897" s="488" t="s">
        <v>824</v>
      </c>
      <c r="E897" s="124" t="s">
        <v>701</v>
      </c>
      <c r="F897" s="124" t="s">
        <v>2822</v>
      </c>
      <c r="G897" s="251"/>
      <c r="H897" s="443" t="s">
        <v>3513</v>
      </c>
      <c r="I897" s="126">
        <v>1896197</v>
      </c>
      <c r="J897" s="47" t="s">
        <v>180</v>
      </c>
      <c r="K897" s="126" t="s">
        <v>61</v>
      </c>
      <c r="L897" s="126">
        <v>21103049</v>
      </c>
      <c r="M897" s="104" t="s">
        <v>61</v>
      </c>
      <c r="N897" s="265">
        <v>43136</v>
      </c>
      <c r="O897" s="260"/>
      <c r="P897" s="106" t="s">
        <v>2823</v>
      </c>
      <c r="Q897" s="107"/>
      <c r="R897" s="244"/>
      <c r="S897" s="37"/>
      <c r="T897" s="36" t="str">
        <f t="shared" ca="1" si="76"/>
        <v/>
      </c>
      <c r="U897" s="37"/>
      <c r="V897" s="37"/>
      <c r="W897" s="38"/>
      <c r="X897" s="39"/>
      <c r="Y897" s="150"/>
      <c r="Z897" s="40"/>
      <c r="AA897" s="136" t="str">
        <f t="shared" ca="1" si="77"/>
        <v/>
      </c>
      <c r="AB897" s="40"/>
      <c r="AC897" s="116"/>
      <c r="AD897" s="116"/>
      <c r="AE897" s="40"/>
      <c r="AF897" s="136" t="str">
        <f t="shared" ca="1" si="78"/>
        <v/>
      </c>
      <c r="AG897" s="127"/>
      <c r="AH897" s="127"/>
      <c r="AI897" s="127"/>
      <c r="AJ897" s="128"/>
      <c r="AK897" s="128"/>
      <c r="AL897" s="129"/>
    </row>
    <row r="898" spans="1:38" ht="23.25" x14ac:dyDescent="0.25">
      <c r="A898" s="486" t="str">
        <f t="shared" si="75"/>
        <v>18REF035</v>
      </c>
      <c r="B898" s="487">
        <v>35</v>
      </c>
      <c r="C898" s="486" t="s">
        <v>39</v>
      </c>
      <c r="D898" s="488" t="s">
        <v>824</v>
      </c>
      <c r="E898" s="124" t="s">
        <v>701</v>
      </c>
      <c r="F898" s="124" t="s">
        <v>2822</v>
      </c>
      <c r="G898" s="251"/>
      <c r="H898" s="443" t="s">
        <v>3513</v>
      </c>
      <c r="I898" s="126">
        <v>1896197</v>
      </c>
      <c r="J898" s="47" t="s">
        <v>180</v>
      </c>
      <c r="K898" s="126" t="s">
        <v>61</v>
      </c>
      <c r="L898" s="126">
        <v>21103049</v>
      </c>
      <c r="M898" s="104" t="s">
        <v>61</v>
      </c>
      <c r="N898" s="265">
        <v>43136</v>
      </c>
      <c r="O898" s="260"/>
      <c r="P898" s="106" t="s">
        <v>2823</v>
      </c>
      <c r="Q898" s="107"/>
      <c r="R898" s="244"/>
      <c r="S898" s="37"/>
      <c r="T898" s="36" t="str">
        <f t="shared" ca="1" si="76"/>
        <v/>
      </c>
      <c r="U898" s="37"/>
      <c r="V898" s="37"/>
      <c r="W898" s="38"/>
      <c r="X898" s="39"/>
      <c r="Y898" s="150"/>
      <c r="Z898" s="40"/>
      <c r="AA898" s="136" t="str">
        <f t="shared" ca="1" si="77"/>
        <v/>
      </c>
      <c r="AB898" s="40"/>
      <c r="AC898" s="116"/>
      <c r="AD898" s="116"/>
      <c r="AE898" s="40"/>
      <c r="AF898" s="136" t="str">
        <f t="shared" ca="1" si="78"/>
        <v/>
      </c>
      <c r="AG898" s="127"/>
      <c r="AH898" s="127"/>
      <c r="AI898" s="127"/>
      <c r="AJ898" s="128"/>
      <c r="AK898" s="128"/>
      <c r="AL898" s="129"/>
    </row>
    <row r="899" spans="1:38" ht="23.25" x14ac:dyDescent="0.25">
      <c r="A899" s="486" t="str">
        <f t="shared" si="75"/>
        <v>18REF036</v>
      </c>
      <c r="B899" s="487">
        <v>36</v>
      </c>
      <c r="C899" s="486" t="s">
        <v>39</v>
      </c>
      <c r="D899" s="488" t="s">
        <v>824</v>
      </c>
      <c r="E899" s="124" t="s">
        <v>701</v>
      </c>
      <c r="F899" s="124" t="s">
        <v>2874</v>
      </c>
      <c r="G899" s="251"/>
      <c r="H899" s="443" t="s">
        <v>3513</v>
      </c>
      <c r="I899" s="126">
        <v>1934492</v>
      </c>
      <c r="J899" s="47" t="s">
        <v>180</v>
      </c>
      <c r="K899" s="126" t="s">
        <v>61</v>
      </c>
      <c r="L899" s="126">
        <v>17101015</v>
      </c>
      <c r="M899" s="104" t="s">
        <v>61</v>
      </c>
      <c r="N899" s="265">
        <v>43136</v>
      </c>
      <c r="O899" s="260">
        <v>43143</v>
      </c>
      <c r="P899" s="106" t="s">
        <v>160</v>
      </c>
      <c r="Q899" s="107"/>
      <c r="R899" s="244"/>
      <c r="S899" s="37">
        <v>0</v>
      </c>
      <c r="T899" s="36" t="str">
        <f t="shared" ca="1" si="76"/>
        <v>Empty</v>
      </c>
      <c r="U899" s="37"/>
      <c r="V899" s="107" t="s">
        <v>2827</v>
      </c>
      <c r="W899" s="38"/>
      <c r="X899" s="39"/>
      <c r="Y899" s="150"/>
      <c r="Z899" s="40"/>
      <c r="AA899" s="136" t="str">
        <f t="shared" ca="1" si="77"/>
        <v/>
      </c>
      <c r="AB899" s="40"/>
      <c r="AC899" s="116"/>
      <c r="AD899" s="116"/>
      <c r="AE899" s="40"/>
      <c r="AF899" s="136" t="str">
        <f t="shared" ca="1" si="78"/>
        <v/>
      </c>
      <c r="AG899" s="127"/>
      <c r="AH899" s="127"/>
      <c r="AI899" s="127"/>
      <c r="AJ899" s="128"/>
      <c r="AK899" s="128"/>
      <c r="AL899" s="129"/>
    </row>
    <row r="900" spans="1:38" ht="23.25" x14ac:dyDescent="0.25">
      <c r="A900" s="486" t="str">
        <f t="shared" si="75"/>
        <v>18REF037</v>
      </c>
      <c r="B900" s="487">
        <v>37</v>
      </c>
      <c r="C900" s="486" t="s">
        <v>39</v>
      </c>
      <c r="D900" s="488" t="s">
        <v>824</v>
      </c>
      <c r="E900" s="124" t="s">
        <v>701</v>
      </c>
      <c r="F900" s="124" t="s">
        <v>2875</v>
      </c>
      <c r="G900" s="251"/>
      <c r="H900" s="443" t="s">
        <v>3513</v>
      </c>
      <c r="I900" s="126">
        <v>1910899</v>
      </c>
      <c r="J900" s="47" t="s">
        <v>180</v>
      </c>
      <c r="K900" s="126" t="s">
        <v>61</v>
      </c>
      <c r="L900" s="126">
        <v>17105041</v>
      </c>
      <c r="M900" s="104" t="s">
        <v>61</v>
      </c>
      <c r="N900" s="265">
        <v>43136</v>
      </c>
      <c r="O900" s="260">
        <v>43143</v>
      </c>
      <c r="P900" s="106" t="s">
        <v>258</v>
      </c>
      <c r="Q900" s="107"/>
      <c r="R900" s="244"/>
      <c r="S900" s="37">
        <v>0</v>
      </c>
      <c r="T900" s="36" t="str">
        <f t="shared" ca="1" si="76"/>
        <v>Empty</v>
      </c>
      <c r="U900" s="37"/>
      <c r="V900" s="107" t="s">
        <v>2827</v>
      </c>
      <c r="W900" s="38"/>
      <c r="X900" s="39"/>
      <c r="Y900" s="150"/>
      <c r="Z900" s="40"/>
      <c r="AA900" s="136" t="str">
        <f t="shared" ca="1" si="77"/>
        <v/>
      </c>
      <c r="AB900" s="40"/>
      <c r="AC900" s="116"/>
      <c r="AD900" s="116"/>
      <c r="AE900" s="40"/>
      <c r="AF900" s="136" t="str">
        <f t="shared" ca="1" si="78"/>
        <v/>
      </c>
      <c r="AG900" s="127"/>
      <c r="AH900" s="127"/>
      <c r="AI900" s="127"/>
      <c r="AJ900" s="128"/>
      <c r="AK900" s="128"/>
      <c r="AL900" s="129"/>
    </row>
    <row r="901" spans="1:38" ht="23.25" x14ac:dyDescent="0.25">
      <c r="A901" s="486" t="str">
        <f t="shared" si="75"/>
        <v>18REF038</v>
      </c>
      <c r="B901" s="487">
        <v>38</v>
      </c>
      <c r="C901" s="486" t="s">
        <v>39</v>
      </c>
      <c r="D901" s="488" t="s">
        <v>824</v>
      </c>
      <c r="E901" s="124" t="s">
        <v>701</v>
      </c>
      <c r="F901" s="124" t="s">
        <v>2876</v>
      </c>
      <c r="G901" s="251"/>
      <c r="H901" s="443" t="s">
        <v>3513</v>
      </c>
      <c r="I901" s="126">
        <v>1929865</v>
      </c>
      <c r="J901" s="47" t="s">
        <v>180</v>
      </c>
      <c r="K901" s="126" t="s">
        <v>61</v>
      </c>
      <c r="L901" s="126">
        <v>11415049</v>
      </c>
      <c r="M901" s="104" t="s">
        <v>61</v>
      </c>
      <c r="N901" s="265">
        <v>43136</v>
      </c>
      <c r="O901" s="260">
        <v>43136</v>
      </c>
      <c r="P901" s="106" t="s">
        <v>2823</v>
      </c>
      <c r="Q901" s="107"/>
      <c r="R901" s="244"/>
      <c r="S901" s="37">
        <v>0</v>
      </c>
      <c r="T901" s="36" t="str">
        <f t="shared" ca="1" si="76"/>
        <v>Empty</v>
      </c>
      <c r="U901" s="37"/>
      <c r="V901" s="107" t="s">
        <v>2827</v>
      </c>
      <c r="W901" s="38"/>
      <c r="X901" s="39"/>
      <c r="Y901" s="150"/>
      <c r="Z901" s="40"/>
      <c r="AA901" s="136" t="str">
        <f t="shared" ca="1" si="77"/>
        <v/>
      </c>
      <c r="AB901" s="40"/>
      <c r="AC901" s="116"/>
      <c r="AD901" s="116"/>
      <c r="AE901" s="40"/>
      <c r="AF901" s="136" t="str">
        <f t="shared" ca="1" si="78"/>
        <v/>
      </c>
      <c r="AG901" s="127"/>
      <c r="AH901" s="127"/>
      <c r="AI901" s="127"/>
      <c r="AJ901" s="128"/>
      <c r="AK901" s="128"/>
      <c r="AL901" s="129"/>
    </row>
    <row r="902" spans="1:38" ht="23.25" x14ac:dyDescent="0.25">
      <c r="A902" s="486" t="str">
        <f t="shared" si="75"/>
        <v>18REF039</v>
      </c>
      <c r="B902" s="487">
        <v>39</v>
      </c>
      <c r="C902" s="486" t="s">
        <v>39</v>
      </c>
      <c r="D902" s="488" t="s">
        <v>824</v>
      </c>
      <c r="E902" s="124" t="s">
        <v>701</v>
      </c>
      <c r="F902" s="124" t="s">
        <v>2877</v>
      </c>
      <c r="G902" s="251"/>
      <c r="H902" s="443" t="s">
        <v>3513</v>
      </c>
      <c r="I902" s="126">
        <v>1881858</v>
      </c>
      <c r="J902" s="47" t="s">
        <v>45</v>
      </c>
      <c r="K902" s="126" t="s">
        <v>61</v>
      </c>
      <c r="L902" s="126">
        <v>14185045</v>
      </c>
      <c r="M902" s="104" t="s">
        <v>61</v>
      </c>
      <c r="N902" s="265">
        <v>43136</v>
      </c>
      <c r="O902" s="260"/>
      <c r="P902" s="106" t="s">
        <v>2823</v>
      </c>
      <c r="Q902" s="107"/>
      <c r="R902" s="244"/>
      <c r="S902" s="37"/>
      <c r="T902" s="36" t="str">
        <f t="shared" ca="1" si="76"/>
        <v/>
      </c>
      <c r="U902" s="37"/>
      <c r="V902" s="37"/>
      <c r="W902" s="38"/>
      <c r="X902" s="39"/>
      <c r="Y902" s="150"/>
      <c r="Z902" s="40"/>
      <c r="AA902" s="136" t="str">
        <f t="shared" ca="1" si="77"/>
        <v/>
      </c>
      <c r="AB902" s="40"/>
      <c r="AC902" s="116"/>
      <c r="AD902" s="116"/>
      <c r="AE902" s="40"/>
      <c r="AF902" s="136" t="str">
        <f t="shared" ca="1" si="78"/>
        <v/>
      </c>
      <c r="AG902" s="127"/>
      <c r="AH902" s="127"/>
      <c r="AI902" s="127"/>
      <c r="AJ902" s="128"/>
      <c r="AK902" s="128"/>
      <c r="AL902" s="129"/>
    </row>
    <row r="903" spans="1:38" ht="24" thickBot="1" x14ac:dyDescent="0.3">
      <c r="A903" s="486" t="str">
        <f t="shared" si="75"/>
        <v>18REF040</v>
      </c>
      <c r="B903" s="487">
        <v>40</v>
      </c>
      <c r="C903" s="486" t="s">
        <v>39</v>
      </c>
      <c r="D903" s="488" t="s">
        <v>824</v>
      </c>
      <c r="E903" s="124" t="s">
        <v>701</v>
      </c>
      <c r="F903" s="124" t="s">
        <v>1380</v>
      </c>
      <c r="G903" s="251"/>
      <c r="H903" s="34" t="s">
        <v>43</v>
      </c>
      <c r="I903" s="126" t="s">
        <v>2881</v>
      </c>
      <c r="J903" s="47" t="s">
        <v>105</v>
      </c>
      <c r="K903" s="126" t="s">
        <v>61</v>
      </c>
      <c r="L903" s="126" t="s">
        <v>1383</v>
      </c>
      <c r="M903" s="104" t="s">
        <v>1384</v>
      </c>
      <c r="N903" s="265">
        <v>43139</v>
      </c>
      <c r="O903" s="260">
        <v>43143</v>
      </c>
      <c r="P903" s="106" t="s">
        <v>194</v>
      </c>
      <c r="Q903" s="324" t="s">
        <v>3522</v>
      </c>
      <c r="R903" s="244" t="s">
        <v>61</v>
      </c>
      <c r="S903" s="37">
        <v>0</v>
      </c>
      <c r="T903" s="36" t="str">
        <f t="shared" ca="1" si="76"/>
        <v>Empty</v>
      </c>
      <c r="U903" s="37"/>
      <c r="V903" s="37"/>
      <c r="W903" s="38"/>
      <c r="X903" s="39"/>
      <c r="Y903" s="150"/>
      <c r="Z903" s="40"/>
      <c r="AA903" s="136" t="str">
        <f t="shared" ca="1" si="77"/>
        <v/>
      </c>
      <c r="AB903" s="40"/>
      <c r="AC903" s="116"/>
      <c r="AD903" s="116"/>
      <c r="AE903" s="40"/>
      <c r="AF903" s="136" t="str">
        <f t="shared" ca="1" si="78"/>
        <v/>
      </c>
      <c r="AG903" s="127"/>
      <c r="AH903" s="127"/>
      <c r="AI903" s="127"/>
      <c r="AJ903" s="128"/>
      <c r="AK903" s="128"/>
      <c r="AL903" s="129"/>
    </row>
    <row r="904" spans="1:38" ht="23.25" x14ac:dyDescent="0.25">
      <c r="A904" s="486" t="str">
        <f t="shared" si="75"/>
        <v>18REF041</v>
      </c>
      <c r="B904" s="487">
        <v>41</v>
      </c>
      <c r="C904" s="486" t="s">
        <v>39</v>
      </c>
      <c r="D904" s="488" t="s">
        <v>824</v>
      </c>
      <c r="E904" s="124" t="s">
        <v>701</v>
      </c>
      <c r="F904" s="124" t="s">
        <v>2879</v>
      </c>
      <c r="G904" s="251"/>
      <c r="H904" s="34" t="s">
        <v>43</v>
      </c>
      <c r="I904" s="126" t="s">
        <v>2880</v>
      </c>
      <c r="J904" s="47" t="s">
        <v>105</v>
      </c>
      <c r="K904" s="126" t="s">
        <v>61</v>
      </c>
      <c r="L904" s="126" t="s">
        <v>1559</v>
      </c>
      <c r="M904" s="104" t="s">
        <v>1560</v>
      </c>
      <c r="N904" s="265">
        <v>43139</v>
      </c>
      <c r="O904" s="260"/>
      <c r="P904" s="106" t="s">
        <v>86</v>
      </c>
      <c r="Q904" s="107"/>
      <c r="R904" s="244"/>
      <c r="S904" s="37"/>
      <c r="T904" s="36" t="str">
        <f t="shared" ca="1" si="76"/>
        <v/>
      </c>
      <c r="U904" s="37"/>
      <c r="V904" s="37"/>
      <c r="W904" s="38"/>
      <c r="X904" s="39"/>
      <c r="Y904" s="150"/>
      <c r="Z904" s="40"/>
      <c r="AA904" s="136" t="str">
        <f t="shared" ca="1" si="77"/>
        <v/>
      </c>
      <c r="AB904" s="40"/>
      <c r="AC904" s="116"/>
      <c r="AD904" s="116"/>
      <c r="AE904" s="40"/>
      <c r="AF904" s="136" t="str">
        <f t="shared" ca="1" si="78"/>
        <v/>
      </c>
      <c r="AG904" s="127"/>
      <c r="AH904" s="127"/>
      <c r="AI904" s="127"/>
      <c r="AJ904" s="128"/>
      <c r="AK904" s="128"/>
      <c r="AL904" s="129"/>
    </row>
    <row r="905" spans="1:38" ht="23.25" x14ac:dyDescent="0.25">
      <c r="A905" s="486" t="str">
        <f t="shared" si="75"/>
        <v>18REF042</v>
      </c>
      <c r="B905" s="487">
        <v>42</v>
      </c>
      <c r="C905" s="486" t="s">
        <v>39</v>
      </c>
      <c r="D905" s="488" t="s">
        <v>170</v>
      </c>
      <c r="E905" s="124" t="s">
        <v>701</v>
      </c>
      <c r="F905" s="124" t="s">
        <v>3013</v>
      </c>
      <c r="G905" s="251"/>
      <c r="H905" s="443" t="s">
        <v>43</v>
      </c>
      <c r="I905" s="126" t="s">
        <v>2884</v>
      </c>
      <c r="J905" s="47" t="s">
        <v>180</v>
      </c>
      <c r="K905" s="126">
        <v>163.19</v>
      </c>
      <c r="L905" s="126" t="s">
        <v>2642</v>
      </c>
      <c r="M905" s="104" t="s">
        <v>2643</v>
      </c>
      <c r="N905" s="265">
        <v>43139</v>
      </c>
      <c r="O905" s="260">
        <v>43165</v>
      </c>
      <c r="P905" s="106" t="s">
        <v>327</v>
      </c>
      <c r="Q905" s="107"/>
      <c r="R905" s="266">
        <v>0.99</v>
      </c>
      <c r="S905" s="37">
        <v>0</v>
      </c>
      <c r="T905" s="36" t="str">
        <f t="shared" ca="1" si="76"/>
        <v>Empty</v>
      </c>
      <c r="U905" s="37"/>
      <c r="V905" s="37"/>
      <c r="W905" s="38"/>
      <c r="X905" s="39"/>
      <c r="Y905" s="150"/>
      <c r="Z905" s="40"/>
      <c r="AA905" s="136" t="str">
        <f t="shared" ca="1" si="77"/>
        <v/>
      </c>
      <c r="AB905" s="40"/>
      <c r="AC905" s="116"/>
      <c r="AD905" s="116"/>
      <c r="AE905" s="40"/>
      <c r="AF905" s="136" t="str">
        <f t="shared" ca="1" si="78"/>
        <v/>
      </c>
      <c r="AG905" s="127"/>
      <c r="AH905" s="127"/>
      <c r="AI905" s="127"/>
      <c r="AJ905" s="128"/>
      <c r="AK905" s="128"/>
      <c r="AL905" s="129"/>
    </row>
    <row r="906" spans="1:38" ht="23.25" x14ac:dyDescent="0.25">
      <c r="A906" s="486" t="str">
        <f t="shared" si="75"/>
        <v>18REF043</v>
      </c>
      <c r="B906" s="487">
        <v>43</v>
      </c>
      <c r="C906" s="486" t="s">
        <v>39</v>
      </c>
      <c r="D906" s="488" t="s">
        <v>170</v>
      </c>
      <c r="E906" s="124" t="s">
        <v>701</v>
      </c>
      <c r="F906" s="124" t="s">
        <v>2882</v>
      </c>
      <c r="G906" s="251"/>
      <c r="H906" s="443" t="s">
        <v>43</v>
      </c>
      <c r="I906" s="126" t="s">
        <v>2885</v>
      </c>
      <c r="J906" s="47" t="s">
        <v>105</v>
      </c>
      <c r="K906" s="126">
        <v>507.18</v>
      </c>
      <c r="L906" s="126" t="s">
        <v>2888</v>
      </c>
      <c r="M906" s="104" t="s">
        <v>2889</v>
      </c>
      <c r="N906" s="265">
        <v>43139</v>
      </c>
      <c r="O906" s="260"/>
      <c r="P906" s="106" t="s">
        <v>133</v>
      </c>
      <c r="Q906" s="107"/>
      <c r="R906" s="266">
        <v>0.95</v>
      </c>
      <c r="S906" s="37"/>
      <c r="T906" s="36" t="str">
        <f t="shared" ca="1" si="76"/>
        <v/>
      </c>
      <c r="U906" s="37"/>
      <c r="V906" s="37"/>
      <c r="W906" s="38"/>
      <c r="X906" s="39"/>
      <c r="Y906" s="150"/>
      <c r="Z906" s="40"/>
      <c r="AA906" s="136" t="str">
        <f t="shared" ca="1" si="77"/>
        <v/>
      </c>
      <c r="AB906" s="40"/>
      <c r="AC906" s="116"/>
      <c r="AD906" s="116"/>
      <c r="AE906" s="40"/>
      <c r="AF906" s="136" t="str">
        <f t="shared" ca="1" si="78"/>
        <v/>
      </c>
      <c r="AG906" s="127"/>
      <c r="AH906" s="127"/>
      <c r="AI906" s="127"/>
      <c r="AJ906" s="128"/>
      <c r="AK906" s="128"/>
      <c r="AL906" s="129"/>
    </row>
    <row r="907" spans="1:38" ht="23.25" x14ac:dyDescent="0.25">
      <c r="A907" s="486" t="str">
        <f t="shared" si="75"/>
        <v>18REF044</v>
      </c>
      <c r="B907" s="487">
        <v>44</v>
      </c>
      <c r="C907" s="486" t="s">
        <v>39</v>
      </c>
      <c r="D907" s="488" t="s">
        <v>824</v>
      </c>
      <c r="E907" s="124" t="s">
        <v>701</v>
      </c>
      <c r="F907" s="124" t="s">
        <v>2883</v>
      </c>
      <c r="G907" s="251"/>
      <c r="H907" s="443" t="s">
        <v>43</v>
      </c>
      <c r="I907" s="126" t="s">
        <v>2886</v>
      </c>
      <c r="J907" s="47" t="s">
        <v>45</v>
      </c>
      <c r="K907" s="126">
        <v>139.62</v>
      </c>
      <c r="L907" s="126" t="s">
        <v>2890</v>
      </c>
      <c r="M907" s="104" t="s">
        <v>2891</v>
      </c>
      <c r="N907" s="265">
        <v>43139</v>
      </c>
      <c r="O907" s="260"/>
      <c r="P907" s="106" t="s">
        <v>271</v>
      </c>
      <c r="Q907" s="107"/>
      <c r="R907" s="266">
        <v>0.98</v>
      </c>
      <c r="S907" s="37"/>
      <c r="T907" s="36" t="str">
        <f t="shared" ca="1" si="76"/>
        <v/>
      </c>
      <c r="U907" s="37"/>
      <c r="V907" s="37"/>
      <c r="W907" s="38"/>
      <c r="X907" s="39"/>
      <c r="Y907" s="150"/>
      <c r="Z907" s="40"/>
      <c r="AA907" s="136" t="str">
        <f t="shared" ca="1" si="77"/>
        <v/>
      </c>
      <c r="AB907" s="40"/>
      <c r="AC907" s="116"/>
      <c r="AD907" s="116"/>
      <c r="AE907" s="40"/>
      <c r="AF907" s="136" t="str">
        <f t="shared" ca="1" si="78"/>
        <v/>
      </c>
      <c r="AG907" s="127"/>
      <c r="AH907" s="127"/>
      <c r="AI907" s="127"/>
      <c r="AJ907" s="128"/>
      <c r="AK907" s="128"/>
      <c r="AL907" s="129"/>
    </row>
    <row r="908" spans="1:38" ht="23.25" x14ac:dyDescent="0.25">
      <c r="A908" s="486" t="str">
        <f t="shared" si="75"/>
        <v>18REF045</v>
      </c>
      <c r="B908" s="487">
        <v>45</v>
      </c>
      <c r="C908" s="486" t="s">
        <v>39</v>
      </c>
      <c r="D908" s="488" t="s">
        <v>824</v>
      </c>
      <c r="E908" s="124" t="s">
        <v>701</v>
      </c>
      <c r="F908" s="124" t="s">
        <v>1763</v>
      </c>
      <c r="G908" s="251"/>
      <c r="H908" s="443" t="s">
        <v>43</v>
      </c>
      <c r="I908" s="126" t="s">
        <v>2887</v>
      </c>
      <c r="J908" s="47" t="s">
        <v>105</v>
      </c>
      <c r="K908" s="126" t="s">
        <v>61</v>
      </c>
      <c r="L908" s="126" t="s">
        <v>1765</v>
      </c>
      <c r="M908" s="104" t="s">
        <v>1766</v>
      </c>
      <c r="N908" s="265">
        <v>43139</v>
      </c>
      <c r="O908" s="260"/>
      <c r="P908" s="106" t="s">
        <v>497</v>
      </c>
      <c r="Q908" s="107"/>
      <c r="R908" s="244"/>
      <c r="S908" s="37"/>
      <c r="T908" s="36" t="str">
        <f t="shared" ca="1" si="76"/>
        <v/>
      </c>
      <c r="U908" s="37"/>
      <c r="V908" s="37"/>
      <c r="W908" s="38"/>
      <c r="X908" s="39"/>
      <c r="Y908" s="150"/>
      <c r="Z908" s="40"/>
      <c r="AA908" s="136" t="str">
        <f t="shared" ca="1" si="77"/>
        <v/>
      </c>
      <c r="AB908" s="40"/>
      <c r="AC908" s="116"/>
      <c r="AD908" s="116"/>
      <c r="AE908" s="40"/>
      <c r="AF908" s="136" t="str">
        <f t="shared" ca="1" si="78"/>
        <v/>
      </c>
      <c r="AG908" s="127"/>
      <c r="AH908" s="127"/>
      <c r="AI908" s="127"/>
      <c r="AJ908" s="128"/>
      <c r="AK908" s="128"/>
      <c r="AL908" s="129"/>
    </row>
    <row r="909" spans="1:38" ht="23.25" x14ac:dyDescent="0.25">
      <c r="A909" s="486" t="str">
        <f t="shared" si="75"/>
        <v>18REF046</v>
      </c>
      <c r="B909" s="487">
        <v>46</v>
      </c>
      <c r="C909" s="486" t="s">
        <v>39</v>
      </c>
      <c r="D909" s="488" t="s">
        <v>824</v>
      </c>
      <c r="E909" s="124" t="s">
        <v>701</v>
      </c>
      <c r="F909" s="124" t="s">
        <v>2893</v>
      </c>
      <c r="G909" s="251"/>
      <c r="H909" s="443" t="s">
        <v>3513</v>
      </c>
      <c r="I909" s="126">
        <v>1903385</v>
      </c>
      <c r="J909" s="47" t="s">
        <v>105</v>
      </c>
      <c r="K909" s="126" t="s">
        <v>61</v>
      </c>
      <c r="L909" s="126">
        <v>17504044</v>
      </c>
      <c r="M909" s="104" t="s">
        <v>61</v>
      </c>
      <c r="N909" s="265">
        <v>43139</v>
      </c>
      <c r="O909" s="260">
        <v>43143</v>
      </c>
      <c r="P909" s="106" t="s">
        <v>2828</v>
      </c>
      <c r="Q909" s="107"/>
      <c r="R909" s="244"/>
      <c r="S909" s="37">
        <v>0</v>
      </c>
      <c r="T909" s="36" t="str">
        <f t="shared" ca="1" si="76"/>
        <v>Empty</v>
      </c>
      <c r="U909" s="37"/>
      <c r="V909" s="107" t="s">
        <v>2827</v>
      </c>
      <c r="W909" s="38"/>
      <c r="X909" s="39"/>
      <c r="Y909" s="150"/>
      <c r="Z909" s="40"/>
      <c r="AA909" s="136" t="str">
        <f t="shared" ca="1" si="77"/>
        <v/>
      </c>
      <c r="AB909" s="40"/>
      <c r="AC909" s="116"/>
      <c r="AD909" s="116"/>
      <c r="AE909" s="40"/>
      <c r="AF909" s="136" t="str">
        <f t="shared" ca="1" si="78"/>
        <v/>
      </c>
      <c r="AG909" s="127"/>
      <c r="AH909" s="127"/>
      <c r="AI909" s="127"/>
      <c r="AJ909" s="128"/>
      <c r="AK909" s="128"/>
      <c r="AL909" s="129"/>
    </row>
    <row r="910" spans="1:38" ht="23.25" x14ac:dyDescent="0.25">
      <c r="A910" s="486" t="str">
        <f t="shared" si="75"/>
        <v>18REF047</v>
      </c>
      <c r="B910" s="487">
        <v>47</v>
      </c>
      <c r="C910" s="486" t="s">
        <v>39</v>
      </c>
      <c r="D910" s="488" t="s">
        <v>824</v>
      </c>
      <c r="E910" s="124" t="s">
        <v>701</v>
      </c>
      <c r="F910" s="124" t="s">
        <v>2893</v>
      </c>
      <c r="G910" s="251"/>
      <c r="H910" s="443" t="s">
        <v>3513</v>
      </c>
      <c r="I910" s="126">
        <v>1903385</v>
      </c>
      <c r="J910" s="47" t="s">
        <v>105</v>
      </c>
      <c r="K910" s="126" t="s">
        <v>61</v>
      </c>
      <c r="L910" s="126">
        <v>17504044</v>
      </c>
      <c r="M910" s="104" t="s">
        <v>61</v>
      </c>
      <c r="N910" s="265">
        <v>43139</v>
      </c>
      <c r="O910" s="260"/>
      <c r="P910" s="106" t="s">
        <v>2828</v>
      </c>
      <c r="Q910" s="107"/>
      <c r="R910" s="244"/>
      <c r="S910" s="37"/>
      <c r="T910" s="36" t="str">
        <f t="shared" ca="1" si="76"/>
        <v/>
      </c>
      <c r="U910" s="37"/>
      <c r="V910" s="107" t="s">
        <v>2827</v>
      </c>
      <c r="W910" s="38"/>
      <c r="X910" s="39"/>
      <c r="Y910" s="150"/>
      <c r="Z910" s="40"/>
      <c r="AA910" s="136" t="str">
        <f t="shared" ca="1" si="77"/>
        <v/>
      </c>
      <c r="AB910" s="40"/>
      <c r="AC910" s="116"/>
      <c r="AD910" s="116"/>
      <c r="AE910" s="40"/>
      <c r="AF910" s="136" t="str">
        <f t="shared" ca="1" si="78"/>
        <v/>
      </c>
      <c r="AG910" s="127"/>
      <c r="AH910" s="127"/>
      <c r="AI910" s="127"/>
      <c r="AJ910" s="128"/>
      <c r="AK910" s="128"/>
      <c r="AL910" s="129"/>
    </row>
    <row r="911" spans="1:38" ht="23.25" x14ac:dyDescent="0.25">
      <c r="A911" s="486" t="str">
        <f t="shared" si="75"/>
        <v>18REF048</v>
      </c>
      <c r="B911" s="487">
        <v>48</v>
      </c>
      <c r="C911" s="486" t="s">
        <v>39</v>
      </c>
      <c r="D911" s="488" t="s">
        <v>824</v>
      </c>
      <c r="E911" s="124" t="s">
        <v>701</v>
      </c>
      <c r="F911" s="124" t="s">
        <v>2893</v>
      </c>
      <c r="G911" s="251"/>
      <c r="H911" s="443" t="s">
        <v>3513</v>
      </c>
      <c r="I911" s="126">
        <v>1903385</v>
      </c>
      <c r="J911" s="47" t="s">
        <v>105</v>
      </c>
      <c r="K911" s="126" t="s">
        <v>61</v>
      </c>
      <c r="L911" s="126">
        <v>17504044</v>
      </c>
      <c r="M911" s="104" t="s">
        <v>61</v>
      </c>
      <c r="N911" s="265">
        <v>43139</v>
      </c>
      <c r="O911" s="260">
        <v>43257</v>
      </c>
      <c r="P911" s="106" t="s">
        <v>2828</v>
      </c>
      <c r="Q911" s="107"/>
      <c r="R911" s="244"/>
      <c r="S911" s="37"/>
      <c r="T911" s="36" t="str">
        <f t="shared" ca="1" si="76"/>
        <v/>
      </c>
      <c r="U911" s="37"/>
      <c r="V911" s="107" t="s">
        <v>2827</v>
      </c>
      <c r="W911" s="38"/>
      <c r="X911" s="39"/>
      <c r="Y911" s="150"/>
      <c r="Z911" s="40"/>
      <c r="AA911" s="136" t="str">
        <f t="shared" ca="1" si="77"/>
        <v/>
      </c>
      <c r="AB911" s="40"/>
      <c r="AC911" s="116"/>
      <c r="AD911" s="116"/>
      <c r="AE911" s="40"/>
      <c r="AF911" s="136" t="str">
        <f t="shared" ca="1" si="78"/>
        <v/>
      </c>
      <c r="AG911" s="127"/>
      <c r="AH911" s="127"/>
      <c r="AI911" s="127"/>
      <c r="AJ911" s="128"/>
      <c r="AK911" s="128"/>
      <c r="AL911" s="129"/>
    </row>
    <row r="912" spans="1:38" ht="23.25" x14ac:dyDescent="0.25">
      <c r="A912" s="486" t="str">
        <f t="shared" ref="A912:A962" si="79">IF(C912="","",CONCATENATE(18,MID(C912,1,3),IF(B912&lt;10,"00",0),B912))</f>
        <v>18REF049</v>
      </c>
      <c r="B912" s="487">
        <v>49</v>
      </c>
      <c r="C912" s="486" t="s">
        <v>39</v>
      </c>
      <c r="D912" s="488" t="s">
        <v>824</v>
      </c>
      <c r="E912" s="124" t="s">
        <v>701</v>
      </c>
      <c r="F912" s="124" t="s">
        <v>2894</v>
      </c>
      <c r="G912" s="251"/>
      <c r="H912" s="443" t="s">
        <v>330</v>
      </c>
      <c r="I912" s="126" t="s">
        <v>2895</v>
      </c>
      <c r="J912" s="47" t="s">
        <v>45</v>
      </c>
      <c r="K912" s="126">
        <v>357.79</v>
      </c>
      <c r="L912" s="126" t="s">
        <v>2896</v>
      </c>
      <c r="M912" s="104" t="s">
        <v>2897</v>
      </c>
      <c r="N912" s="265">
        <v>43140</v>
      </c>
      <c r="O912" s="260"/>
      <c r="P912" s="106" t="s">
        <v>86</v>
      </c>
      <c r="Q912" s="107" t="s">
        <v>2905</v>
      </c>
      <c r="R912" s="266">
        <v>0.99</v>
      </c>
      <c r="S912" s="37"/>
      <c r="T912" s="36" t="str">
        <f t="shared" ref="T912:T975" ca="1" si="80">IF(S912="","",IF(S912=0,"Empty",IF(O912="","",IF(O912,DAYS360(O912,TODAY())))))</f>
        <v/>
      </c>
      <c r="U912" s="37"/>
      <c r="V912" s="37"/>
      <c r="W912" s="38"/>
      <c r="X912" s="39"/>
      <c r="Y912" s="150"/>
      <c r="Z912" s="40"/>
      <c r="AA912" s="136" t="str">
        <f t="shared" ref="AA912:AA975" ca="1" si="81">IF(W912="","",IF(W912,DAYS360(W912,TODAY())))</f>
        <v/>
      </c>
      <c r="AB912" s="40"/>
      <c r="AC912" s="116"/>
      <c r="AD912" s="116"/>
      <c r="AE912" s="40"/>
      <c r="AF912" s="136" t="str">
        <f t="shared" ref="AF912:AF975" ca="1" si="82">IF(AB912="","",IF(AB912,DAYS360(AB912,TODAY())))</f>
        <v/>
      </c>
      <c r="AG912" s="127"/>
      <c r="AH912" s="127"/>
      <c r="AI912" s="127"/>
      <c r="AJ912" s="128"/>
      <c r="AK912" s="128"/>
      <c r="AL912" s="129"/>
    </row>
    <row r="913" spans="1:38" ht="23.25" x14ac:dyDescent="0.25">
      <c r="A913" s="486" t="str">
        <f t="shared" si="79"/>
        <v>18REF050</v>
      </c>
      <c r="B913" s="487">
        <v>50</v>
      </c>
      <c r="C913" s="486" t="s">
        <v>39</v>
      </c>
      <c r="D913" s="488" t="s">
        <v>744</v>
      </c>
      <c r="E913" s="124" t="s">
        <v>701</v>
      </c>
      <c r="F913" s="124" t="s">
        <v>2898</v>
      </c>
      <c r="G913" s="251"/>
      <c r="H913" s="443" t="s">
        <v>625</v>
      </c>
      <c r="I913" s="126" t="s">
        <v>2899</v>
      </c>
      <c r="J913" s="47" t="s">
        <v>45</v>
      </c>
      <c r="K913" s="126">
        <v>211.15</v>
      </c>
      <c r="L913" s="126" t="s">
        <v>2900</v>
      </c>
      <c r="M913" s="190" t="s">
        <v>2901</v>
      </c>
      <c r="N913" s="265">
        <v>43140</v>
      </c>
      <c r="O913" s="260"/>
      <c r="P913" s="106" t="s">
        <v>160</v>
      </c>
      <c r="Q913" s="107" t="s">
        <v>1058</v>
      </c>
      <c r="R913" s="267">
        <v>0.996</v>
      </c>
      <c r="S913" s="37"/>
      <c r="T913" s="36" t="str">
        <f t="shared" ca="1" si="80"/>
        <v/>
      </c>
      <c r="U913" s="37"/>
      <c r="V913" s="37"/>
      <c r="W913" s="38"/>
      <c r="X913" s="39"/>
      <c r="Y913" s="150"/>
      <c r="Z913" s="40"/>
      <c r="AA913" s="136" t="str">
        <f t="shared" ca="1" si="81"/>
        <v/>
      </c>
      <c r="AB913" s="40"/>
      <c r="AC913" s="116"/>
      <c r="AD913" s="116"/>
      <c r="AE913" s="40"/>
      <c r="AF913" s="136" t="str">
        <f t="shared" ca="1" si="82"/>
        <v/>
      </c>
      <c r="AG913" s="127"/>
      <c r="AH913" s="127"/>
      <c r="AI913" s="127"/>
      <c r="AJ913" s="128"/>
      <c r="AK913" s="128"/>
      <c r="AL913" s="129"/>
    </row>
    <row r="914" spans="1:38" ht="23.25" x14ac:dyDescent="0.25">
      <c r="A914" s="486" t="str">
        <f t="shared" si="79"/>
        <v>18REF051</v>
      </c>
      <c r="B914" s="487">
        <v>51</v>
      </c>
      <c r="C914" s="486" t="s">
        <v>39</v>
      </c>
      <c r="D914" s="488" t="s">
        <v>170</v>
      </c>
      <c r="E914" s="124" t="s">
        <v>701</v>
      </c>
      <c r="F914" s="124" t="s">
        <v>1541</v>
      </c>
      <c r="G914" s="251" t="s">
        <v>802</v>
      </c>
      <c r="H914" s="443" t="s">
        <v>625</v>
      </c>
      <c r="I914" s="126" t="s">
        <v>2902</v>
      </c>
      <c r="J914" s="47" t="s">
        <v>45</v>
      </c>
      <c r="K914" s="126">
        <v>276.12</v>
      </c>
      <c r="L914" s="126" t="s">
        <v>2903</v>
      </c>
      <c r="M914" s="190" t="s">
        <v>805</v>
      </c>
      <c r="N914" s="265">
        <v>43140</v>
      </c>
      <c r="O914" s="260">
        <v>43245</v>
      </c>
      <c r="P914" s="106" t="s">
        <v>183</v>
      </c>
      <c r="Q914" s="107" t="s">
        <v>3234</v>
      </c>
      <c r="R914" s="266">
        <v>1</v>
      </c>
      <c r="S914" s="37">
        <v>0</v>
      </c>
      <c r="T914" s="36" t="str">
        <f t="shared" ca="1" si="80"/>
        <v>Empty</v>
      </c>
      <c r="U914" s="37"/>
      <c r="V914" s="37"/>
      <c r="W914" s="38"/>
      <c r="X914" s="39"/>
      <c r="Y914" s="150"/>
      <c r="Z914" s="40"/>
      <c r="AA914" s="136" t="str">
        <f t="shared" ca="1" si="81"/>
        <v/>
      </c>
      <c r="AB914" s="40"/>
      <c r="AC914" s="116"/>
      <c r="AD914" s="116"/>
      <c r="AE914" s="40"/>
      <c r="AF914" s="136" t="str">
        <f t="shared" ca="1" si="82"/>
        <v/>
      </c>
      <c r="AG914" s="127"/>
      <c r="AH914" s="127"/>
      <c r="AI914" s="127"/>
      <c r="AJ914" s="128"/>
      <c r="AK914" s="128"/>
      <c r="AL914" s="129"/>
    </row>
    <row r="915" spans="1:38" ht="23.25" x14ac:dyDescent="0.25">
      <c r="A915" s="486" t="str">
        <f t="shared" si="79"/>
        <v>18REF052</v>
      </c>
      <c r="B915" s="487">
        <v>52</v>
      </c>
      <c r="C915" s="486" t="s">
        <v>39</v>
      </c>
      <c r="D915" s="488" t="s">
        <v>744</v>
      </c>
      <c r="E915" s="124" t="s">
        <v>701</v>
      </c>
      <c r="F915" s="124" t="s">
        <v>860</v>
      </c>
      <c r="G915" s="251" t="s">
        <v>802</v>
      </c>
      <c r="H915" s="443" t="s">
        <v>625</v>
      </c>
      <c r="I915" s="126" t="s">
        <v>2918</v>
      </c>
      <c r="J915" s="47" t="s">
        <v>45</v>
      </c>
      <c r="K915" s="126">
        <v>340.78</v>
      </c>
      <c r="L915" s="126" t="s">
        <v>2919</v>
      </c>
      <c r="M915" s="104" t="s">
        <v>863</v>
      </c>
      <c r="N915" s="265">
        <v>43144</v>
      </c>
      <c r="O915" s="260">
        <v>43154</v>
      </c>
      <c r="P915" s="106" t="s">
        <v>183</v>
      </c>
      <c r="Q915" s="107" t="s">
        <v>2920</v>
      </c>
      <c r="R915" s="266">
        <v>0.99</v>
      </c>
      <c r="S915" s="37">
        <v>0</v>
      </c>
      <c r="T915" s="36" t="str">
        <f t="shared" ca="1" si="80"/>
        <v>Empty</v>
      </c>
      <c r="U915" s="37"/>
      <c r="V915" s="37"/>
      <c r="W915" s="38"/>
      <c r="X915" s="39"/>
      <c r="Y915" s="150"/>
      <c r="Z915" s="40"/>
      <c r="AA915" s="136" t="str">
        <f t="shared" ca="1" si="81"/>
        <v/>
      </c>
      <c r="AB915" s="40"/>
      <c r="AC915" s="116"/>
      <c r="AD915" s="116"/>
      <c r="AE915" s="40"/>
      <c r="AF915" s="136" t="str">
        <f t="shared" ca="1" si="82"/>
        <v/>
      </c>
      <c r="AG915" s="127"/>
      <c r="AH915" s="127"/>
      <c r="AI915" s="127"/>
      <c r="AJ915" s="128"/>
      <c r="AK915" s="128"/>
      <c r="AL915" s="129"/>
    </row>
    <row r="916" spans="1:38" ht="23.25" x14ac:dyDescent="0.25">
      <c r="A916" s="486" t="str">
        <f t="shared" si="79"/>
        <v>18REF053</v>
      </c>
      <c r="B916" s="487">
        <v>53</v>
      </c>
      <c r="C916" s="486" t="s">
        <v>39</v>
      </c>
      <c r="D916" s="488" t="s">
        <v>744</v>
      </c>
      <c r="E916" s="124" t="s">
        <v>701</v>
      </c>
      <c r="F916" s="124" t="s">
        <v>779</v>
      </c>
      <c r="G916" s="251" t="s">
        <v>1126</v>
      </c>
      <c r="H916" s="443" t="s">
        <v>625</v>
      </c>
      <c r="I916" s="126" t="s">
        <v>2921</v>
      </c>
      <c r="J916" s="47" t="s">
        <v>45</v>
      </c>
      <c r="K916" s="126">
        <v>197.1</v>
      </c>
      <c r="L916" s="126" t="s">
        <v>2922</v>
      </c>
      <c r="M916" s="104" t="s">
        <v>782</v>
      </c>
      <c r="N916" s="265">
        <v>43144</v>
      </c>
      <c r="O916" s="260">
        <v>43335</v>
      </c>
      <c r="P916" s="106" t="s">
        <v>86</v>
      </c>
      <c r="Q916" s="107" t="s">
        <v>3009</v>
      </c>
      <c r="R916" s="267">
        <v>0.99299999999999999</v>
      </c>
      <c r="S916" s="37">
        <v>0</v>
      </c>
      <c r="T916" s="36" t="str">
        <f t="shared" ca="1" si="80"/>
        <v>Empty</v>
      </c>
      <c r="U916" s="37"/>
      <c r="V916" s="37"/>
      <c r="W916" s="38"/>
      <c r="X916" s="39"/>
      <c r="Y916" s="150"/>
      <c r="Z916" s="40"/>
      <c r="AA916" s="136" t="str">
        <f t="shared" ca="1" si="81"/>
        <v/>
      </c>
      <c r="AB916" s="40"/>
      <c r="AC916" s="116"/>
      <c r="AD916" s="116"/>
      <c r="AE916" s="40"/>
      <c r="AF916" s="136" t="str">
        <f t="shared" ca="1" si="82"/>
        <v/>
      </c>
      <c r="AG916" s="127"/>
      <c r="AH916" s="127"/>
      <c r="AI916" s="127"/>
      <c r="AJ916" s="128"/>
      <c r="AK916" s="128"/>
      <c r="AL916" s="129"/>
    </row>
    <row r="917" spans="1:38" ht="23.25" customHeight="1" x14ac:dyDescent="0.25">
      <c r="A917" s="486" t="str">
        <f t="shared" si="79"/>
        <v>18REF054</v>
      </c>
      <c r="B917" s="487">
        <v>54</v>
      </c>
      <c r="C917" s="486" t="s">
        <v>39</v>
      </c>
      <c r="D917" s="488" t="s">
        <v>744</v>
      </c>
      <c r="E917" s="124" t="s">
        <v>701</v>
      </c>
      <c r="F917" s="124" t="s">
        <v>878</v>
      </c>
      <c r="G917" s="251" t="s">
        <v>3225</v>
      </c>
      <c r="H917" s="443" t="s">
        <v>43</v>
      </c>
      <c r="I917" s="126" t="s">
        <v>2923</v>
      </c>
      <c r="J917" s="47" t="s">
        <v>45</v>
      </c>
      <c r="K917" s="126">
        <v>189.17</v>
      </c>
      <c r="L917" s="126" t="s">
        <v>880</v>
      </c>
      <c r="M917" s="104" t="s">
        <v>881</v>
      </c>
      <c r="N917" s="265">
        <v>43144</v>
      </c>
      <c r="O917" s="260">
        <v>43146</v>
      </c>
      <c r="P917" s="106" t="s">
        <v>56</v>
      </c>
      <c r="Q917" s="107"/>
      <c r="R917" s="266">
        <v>1</v>
      </c>
      <c r="S917" s="37"/>
      <c r="T917" s="36" t="str">
        <f t="shared" ca="1" si="80"/>
        <v/>
      </c>
      <c r="U917" s="37"/>
      <c r="V917" s="37"/>
      <c r="W917" s="38"/>
      <c r="X917" s="39"/>
      <c r="Y917" s="150"/>
      <c r="Z917" s="40"/>
      <c r="AA917" s="136" t="str">
        <f t="shared" ca="1" si="81"/>
        <v/>
      </c>
      <c r="AB917" s="40"/>
      <c r="AC917" s="116"/>
      <c r="AD917" s="116"/>
      <c r="AE917" s="40"/>
      <c r="AF917" s="136" t="str">
        <f t="shared" ca="1" si="82"/>
        <v/>
      </c>
      <c r="AG917" s="127"/>
      <c r="AH917" s="127"/>
      <c r="AI917" s="127"/>
      <c r="AJ917" s="128"/>
      <c r="AK917" s="128"/>
      <c r="AL917" s="129"/>
    </row>
    <row r="918" spans="1:38" ht="23.25" customHeight="1" x14ac:dyDescent="0.25">
      <c r="A918" s="486" t="str">
        <f t="shared" si="79"/>
        <v>18REF055</v>
      </c>
      <c r="B918" s="487">
        <v>55</v>
      </c>
      <c r="C918" s="486" t="s">
        <v>39</v>
      </c>
      <c r="D918" s="488" t="s">
        <v>744</v>
      </c>
      <c r="E918" s="124" t="s">
        <v>701</v>
      </c>
      <c r="F918" s="124" t="s">
        <v>878</v>
      </c>
      <c r="G918" s="251" t="s">
        <v>3225</v>
      </c>
      <c r="H918" s="443" t="s">
        <v>43</v>
      </c>
      <c r="I918" s="126" t="s">
        <v>2923</v>
      </c>
      <c r="J918" s="47" t="s">
        <v>45</v>
      </c>
      <c r="K918" s="126">
        <v>189.17</v>
      </c>
      <c r="L918" s="126" t="s">
        <v>880</v>
      </c>
      <c r="M918" s="104" t="s">
        <v>881</v>
      </c>
      <c r="N918" s="265">
        <v>43144</v>
      </c>
      <c r="O918" s="260">
        <v>43234</v>
      </c>
      <c r="P918" s="106" t="s">
        <v>56</v>
      </c>
      <c r="Q918" s="107"/>
      <c r="R918" s="266">
        <v>1</v>
      </c>
      <c r="S918" s="37">
        <v>0</v>
      </c>
      <c r="T918" s="36" t="str">
        <f t="shared" ca="1" si="80"/>
        <v>Empty</v>
      </c>
      <c r="U918" s="37"/>
      <c r="V918" s="37"/>
      <c r="W918" s="38"/>
      <c r="X918" s="39"/>
      <c r="Y918" s="150"/>
      <c r="Z918" s="40"/>
      <c r="AA918" s="136" t="str">
        <f t="shared" ca="1" si="81"/>
        <v/>
      </c>
      <c r="AB918" s="40"/>
      <c r="AC918" s="116"/>
      <c r="AD918" s="116"/>
      <c r="AE918" s="40"/>
      <c r="AF918" s="136" t="str">
        <f t="shared" ca="1" si="82"/>
        <v/>
      </c>
      <c r="AG918" s="127"/>
      <c r="AH918" s="127"/>
      <c r="AI918" s="127"/>
      <c r="AJ918" s="128"/>
      <c r="AK918" s="128"/>
      <c r="AL918" s="129"/>
    </row>
    <row r="919" spans="1:38" ht="23.25" x14ac:dyDescent="0.25">
      <c r="A919" s="489" t="str">
        <f t="shared" si="79"/>
        <v>18SAM056</v>
      </c>
      <c r="B919" s="490">
        <v>56</v>
      </c>
      <c r="C919" s="489" t="s">
        <v>57</v>
      </c>
      <c r="D919" s="491" t="s">
        <v>40</v>
      </c>
      <c r="E919" s="124" t="s">
        <v>1701</v>
      </c>
      <c r="F919" s="124" t="s">
        <v>2250</v>
      </c>
      <c r="G919" s="251"/>
      <c r="H919" s="443" t="s">
        <v>60</v>
      </c>
      <c r="I919" s="126" t="s">
        <v>2837</v>
      </c>
      <c r="J919" s="47" t="s">
        <v>45</v>
      </c>
      <c r="K919" s="126">
        <v>526.75</v>
      </c>
      <c r="L919" s="126" t="s">
        <v>61</v>
      </c>
      <c r="M919" s="104" t="s">
        <v>61</v>
      </c>
      <c r="N919" s="265">
        <v>43150</v>
      </c>
      <c r="O919" s="260">
        <v>43152</v>
      </c>
      <c r="P919" s="106" t="s">
        <v>86</v>
      </c>
      <c r="Q919" s="107" t="s">
        <v>1056</v>
      </c>
      <c r="R919" s="266" t="s">
        <v>60</v>
      </c>
      <c r="S919" s="37">
        <f>10-1.9-1.11</f>
        <v>6.9899999999999993</v>
      </c>
      <c r="T919" s="36">
        <f t="shared" ca="1" si="80"/>
        <v>223</v>
      </c>
      <c r="U919" s="37"/>
      <c r="V919" s="37"/>
      <c r="W919" s="38"/>
      <c r="X919" s="39"/>
      <c r="Y919" s="150"/>
      <c r="Z919" s="40"/>
      <c r="AA919" s="136" t="str">
        <f t="shared" ca="1" si="81"/>
        <v/>
      </c>
      <c r="AB919" s="40"/>
      <c r="AC919" s="116"/>
      <c r="AD919" s="116"/>
      <c r="AE919" s="40"/>
      <c r="AF919" s="136" t="str">
        <f t="shared" ca="1" si="82"/>
        <v/>
      </c>
      <c r="AG919" s="127"/>
      <c r="AH919" s="127"/>
      <c r="AI919" s="127"/>
      <c r="AJ919" s="128"/>
      <c r="AK919" s="128"/>
      <c r="AL919" s="129"/>
    </row>
    <row r="920" spans="1:38" ht="23.25" x14ac:dyDescent="0.25">
      <c r="A920" s="489" t="str">
        <f t="shared" si="79"/>
        <v>18SAM057</v>
      </c>
      <c r="B920" s="490">
        <v>57</v>
      </c>
      <c r="C920" s="489" t="s">
        <v>57</v>
      </c>
      <c r="D920" s="491" t="s">
        <v>40</v>
      </c>
      <c r="E920" s="124" t="s">
        <v>1701</v>
      </c>
      <c r="F920" s="124" t="s">
        <v>2838</v>
      </c>
      <c r="G920" s="251"/>
      <c r="H920" s="443" t="s">
        <v>60</v>
      </c>
      <c r="I920" s="126" t="s">
        <v>2839</v>
      </c>
      <c r="J920" s="47" t="s">
        <v>45</v>
      </c>
      <c r="K920" s="126">
        <v>428.57</v>
      </c>
      <c r="L920" s="126" t="s">
        <v>61</v>
      </c>
      <c r="M920" s="104" t="s">
        <v>61</v>
      </c>
      <c r="N920" s="265">
        <v>43150</v>
      </c>
      <c r="O920" s="260"/>
      <c r="P920" s="106" t="s">
        <v>406</v>
      </c>
      <c r="Q920" s="107" t="s">
        <v>1056</v>
      </c>
      <c r="R920" s="266" t="s">
        <v>60</v>
      </c>
      <c r="S920" s="37"/>
      <c r="T920" s="36" t="str">
        <f t="shared" ca="1" si="80"/>
        <v/>
      </c>
      <c r="U920" s="37"/>
      <c r="V920" s="37"/>
      <c r="W920" s="38"/>
      <c r="X920" s="39"/>
      <c r="Y920" s="150"/>
      <c r="Z920" s="40"/>
      <c r="AA920" s="136" t="str">
        <f t="shared" ca="1" si="81"/>
        <v/>
      </c>
      <c r="AB920" s="40"/>
      <c r="AC920" s="116"/>
      <c r="AD920" s="116"/>
      <c r="AE920" s="40"/>
      <c r="AF920" s="136" t="str">
        <f t="shared" ca="1" si="82"/>
        <v/>
      </c>
      <c r="AG920" s="127"/>
      <c r="AH920" s="127"/>
      <c r="AI920" s="127"/>
      <c r="AJ920" s="128"/>
      <c r="AK920" s="128"/>
      <c r="AL920" s="129"/>
    </row>
    <row r="921" spans="1:38" ht="23.25" x14ac:dyDescent="0.25">
      <c r="A921" s="489" t="str">
        <f t="shared" si="79"/>
        <v>18SAM058</v>
      </c>
      <c r="B921" s="490">
        <v>58</v>
      </c>
      <c r="C921" s="489" t="s">
        <v>57</v>
      </c>
      <c r="D921" s="491" t="s">
        <v>40</v>
      </c>
      <c r="E921" s="124" t="s">
        <v>1368</v>
      </c>
      <c r="F921" s="124" t="s">
        <v>2941</v>
      </c>
      <c r="G921" s="251"/>
      <c r="H921" s="443" t="s">
        <v>60</v>
      </c>
      <c r="I921" s="126" t="s">
        <v>61</v>
      </c>
      <c r="J921" s="47" t="s">
        <v>45</v>
      </c>
      <c r="K921" s="126">
        <v>341.37</v>
      </c>
      <c r="L921" s="126" t="s">
        <v>61</v>
      </c>
      <c r="M921" s="104" t="s">
        <v>61</v>
      </c>
      <c r="N921" s="265">
        <v>43150</v>
      </c>
      <c r="O921" s="260">
        <v>43159</v>
      </c>
      <c r="P921" s="106" t="s">
        <v>2942</v>
      </c>
      <c r="Q921" s="107" t="s">
        <v>1056</v>
      </c>
      <c r="R921" s="266">
        <v>1</v>
      </c>
      <c r="S921" s="37">
        <v>0</v>
      </c>
      <c r="T921" s="36" t="str">
        <f t="shared" ca="1" si="80"/>
        <v>Empty</v>
      </c>
      <c r="U921" s="37"/>
      <c r="V921" s="37"/>
      <c r="W921" s="38"/>
      <c r="X921" s="39"/>
      <c r="Y921" s="150"/>
      <c r="Z921" s="40"/>
      <c r="AA921" s="136" t="str">
        <f t="shared" ca="1" si="81"/>
        <v/>
      </c>
      <c r="AB921" s="40"/>
      <c r="AC921" s="116"/>
      <c r="AD921" s="116"/>
      <c r="AE921" s="40"/>
      <c r="AF921" s="136" t="str">
        <f t="shared" ca="1" si="82"/>
        <v/>
      </c>
      <c r="AG921" s="127"/>
      <c r="AH921" s="127"/>
      <c r="AI921" s="127"/>
      <c r="AJ921" s="128"/>
      <c r="AK921" s="128"/>
      <c r="AL921" s="129"/>
    </row>
    <row r="922" spans="1:38" ht="23.25" x14ac:dyDescent="0.25">
      <c r="A922" s="486" t="str">
        <f t="shared" si="79"/>
        <v>18REF059</v>
      </c>
      <c r="B922" s="487">
        <v>59</v>
      </c>
      <c r="C922" s="486" t="s">
        <v>39</v>
      </c>
      <c r="D922" s="488" t="s">
        <v>744</v>
      </c>
      <c r="E922" s="124" t="s">
        <v>701</v>
      </c>
      <c r="F922" s="124" t="s">
        <v>2954</v>
      </c>
      <c r="G922" s="251"/>
      <c r="H922" s="443" t="s">
        <v>1703</v>
      </c>
      <c r="I922" s="126">
        <v>612.15099999999995</v>
      </c>
      <c r="J922" s="443" t="s">
        <v>180</v>
      </c>
      <c r="K922" s="126">
        <v>319.27999999999997</v>
      </c>
      <c r="L922" s="126" t="s">
        <v>1704</v>
      </c>
      <c r="M922" s="104" t="s">
        <v>2162</v>
      </c>
      <c r="N922" s="265">
        <v>43157</v>
      </c>
      <c r="O922" s="260">
        <v>43287</v>
      </c>
      <c r="P922" s="106" t="s">
        <v>2163</v>
      </c>
      <c r="Q922" s="107" t="s">
        <v>1706</v>
      </c>
      <c r="R922" s="266">
        <v>0.99</v>
      </c>
      <c r="S922" s="37">
        <v>0</v>
      </c>
      <c r="T922" s="36" t="str">
        <f t="shared" ca="1" si="80"/>
        <v>Empty</v>
      </c>
      <c r="U922" s="37"/>
      <c r="V922" s="37"/>
      <c r="W922" s="38"/>
      <c r="X922" s="39"/>
      <c r="Y922" s="150"/>
      <c r="Z922" s="40"/>
      <c r="AA922" s="136" t="str">
        <f t="shared" ca="1" si="81"/>
        <v/>
      </c>
      <c r="AB922" s="40"/>
      <c r="AC922" s="116"/>
      <c r="AD922" s="116"/>
      <c r="AE922" s="40"/>
      <c r="AF922" s="136" t="str">
        <f t="shared" ca="1" si="82"/>
        <v/>
      </c>
      <c r="AG922" s="127"/>
      <c r="AH922" s="127"/>
      <c r="AI922" s="127"/>
      <c r="AJ922" s="128"/>
      <c r="AK922" s="128"/>
      <c r="AL922" s="129"/>
    </row>
    <row r="923" spans="1:38" ht="23.25" x14ac:dyDescent="0.25">
      <c r="A923" s="486" t="str">
        <f t="shared" si="79"/>
        <v>18REF060</v>
      </c>
      <c r="B923" s="487">
        <v>60</v>
      </c>
      <c r="C923" s="486" t="s">
        <v>39</v>
      </c>
      <c r="D923" s="488" t="s">
        <v>744</v>
      </c>
      <c r="E923" s="124" t="s">
        <v>701</v>
      </c>
      <c r="F923" s="124" t="s">
        <v>2954</v>
      </c>
      <c r="G923" s="251"/>
      <c r="H923" s="443" t="s">
        <v>1703</v>
      </c>
      <c r="I923" s="126">
        <v>612.15099999999995</v>
      </c>
      <c r="J923" s="443" t="s">
        <v>180</v>
      </c>
      <c r="K923" s="126">
        <v>319.27999999999997</v>
      </c>
      <c r="L923" s="126" t="s">
        <v>1704</v>
      </c>
      <c r="M923" s="104" t="s">
        <v>2162</v>
      </c>
      <c r="N923" s="265">
        <v>43157</v>
      </c>
      <c r="O923" s="260"/>
      <c r="P923" s="106" t="s">
        <v>2163</v>
      </c>
      <c r="Q923" s="107" t="s">
        <v>1706</v>
      </c>
      <c r="R923" s="266">
        <v>0.99</v>
      </c>
      <c r="S923" s="37"/>
      <c r="T923" s="36" t="str">
        <f t="shared" ca="1" si="80"/>
        <v/>
      </c>
      <c r="U923" s="37"/>
      <c r="V923" s="37"/>
      <c r="W923" s="38"/>
      <c r="X923" s="39"/>
      <c r="Y923" s="150"/>
      <c r="Z923" s="40"/>
      <c r="AA923" s="136" t="str">
        <f t="shared" ca="1" si="81"/>
        <v/>
      </c>
      <c r="AB923" s="40"/>
      <c r="AC923" s="116"/>
      <c r="AD923" s="116"/>
      <c r="AE923" s="40"/>
      <c r="AF923" s="136" t="str">
        <f t="shared" ca="1" si="82"/>
        <v/>
      </c>
      <c r="AG923" s="127"/>
      <c r="AH923" s="127"/>
      <c r="AI923" s="127"/>
      <c r="AJ923" s="128"/>
      <c r="AK923" s="128"/>
      <c r="AL923" s="129"/>
    </row>
    <row r="924" spans="1:38" ht="23.25" x14ac:dyDescent="0.25">
      <c r="A924" s="486" t="str">
        <f t="shared" si="79"/>
        <v>18REF061</v>
      </c>
      <c r="B924" s="487">
        <v>61</v>
      </c>
      <c r="C924" s="486" t="s">
        <v>39</v>
      </c>
      <c r="D924" s="488" t="s">
        <v>744</v>
      </c>
      <c r="E924" s="124" t="s">
        <v>701</v>
      </c>
      <c r="F924" s="124" t="s">
        <v>2954</v>
      </c>
      <c r="G924" s="251"/>
      <c r="H924" s="443" t="s">
        <v>1703</v>
      </c>
      <c r="I924" s="126">
        <v>612.15099999999995</v>
      </c>
      <c r="J924" s="443" t="s">
        <v>180</v>
      </c>
      <c r="K924" s="126">
        <v>319.27999999999997</v>
      </c>
      <c r="L924" s="126" t="s">
        <v>1704</v>
      </c>
      <c r="M924" s="104" t="s">
        <v>2162</v>
      </c>
      <c r="N924" s="265">
        <v>43157</v>
      </c>
      <c r="O924" s="260"/>
      <c r="P924" s="106" t="s">
        <v>2163</v>
      </c>
      <c r="Q924" s="107" t="s">
        <v>1706</v>
      </c>
      <c r="R924" s="266">
        <v>0.99</v>
      </c>
      <c r="S924" s="37"/>
      <c r="T924" s="36" t="str">
        <f t="shared" ca="1" si="80"/>
        <v/>
      </c>
      <c r="U924" s="37"/>
      <c r="V924" s="37"/>
      <c r="W924" s="38"/>
      <c r="X924" s="39"/>
      <c r="Y924" s="150"/>
      <c r="Z924" s="40"/>
      <c r="AA924" s="136" t="str">
        <f t="shared" ca="1" si="81"/>
        <v/>
      </c>
      <c r="AB924" s="40"/>
      <c r="AC924" s="116"/>
      <c r="AD924" s="116"/>
      <c r="AE924" s="40"/>
      <c r="AF924" s="136" t="str">
        <f t="shared" ca="1" si="82"/>
        <v/>
      </c>
      <c r="AG924" s="127"/>
      <c r="AH924" s="127"/>
      <c r="AI924" s="127"/>
      <c r="AJ924" s="128"/>
      <c r="AK924" s="128"/>
      <c r="AL924" s="129"/>
    </row>
    <row r="925" spans="1:38" ht="23.25" x14ac:dyDescent="0.25">
      <c r="A925" s="489" t="str">
        <f t="shared" si="79"/>
        <v>18SAM062</v>
      </c>
      <c r="B925" s="490">
        <v>62</v>
      </c>
      <c r="C925" s="489" t="s">
        <v>57</v>
      </c>
      <c r="D925" s="491" t="s">
        <v>824</v>
      </c>
      <c r="E925" s="124" t="s">
        <v>2960</v>
      </c>
      <c r="F925" s="124" t="s">
        <v>2961</v>
      </c>
      <c r="G925" s="492" t="s">
        <v>2965</v>
      </c>
      <c r="H925" s="443" t="s">
        <v>60</v>
      </c>
      <c r="I925" s="126" t="s">
        <v>61</v>
      </c>
      <c r="J925" s="47" t="s">
        <v>180</v>
      </c>
      <c r="K925" s="493">
        <v>357.79</v>
      </c>
      <c r="L925" s="126" t="s">
        <v>61</v>
      </c>
      <c r="M925" s="104" t="s">
        <v>61</v>
      </c>
      <c r="N925" s="265">
        <v>43164</v>
      </c>
      <c r="O925" s="260">
        <v>43167</v>
      </c>
      <c r="P925" s="106" t="s">
        <v>2969</v>
      </c>
      <c r="Q925" s="107"/>
      <c r="R925" s="244"/>
      <c r="S925" s="37">
        <v>0</v>
      </c>
      <c r="T925" s="36" t="str">
        <f t="shared" ca="1" si="80"/>
        <v>Empty</v>
      </c>
      <c r="U925" s="37" t="s">
        <v>2933</v>
      </c>
      <c r="V925" s="37"/>
      <c r="W925" s="38"/>
      <c r="X925" s="39"/>
      <c r="Y925" s="150"/>
      <c r="Z925" s="40"/>
      <c r="AA925" s="136" t="str">
        <f t="shared" ca="1" si="81"/>
        <v/>
      </c>
      <c r="AB925" s="40"/>
      <c r="AC925" s="116"/>
      <c r="AD925" s="116"/>
      <c r="AE925" s="40"/>
      <c r="AF925" s="136" t="str">
        <f t="shared" ca="1" si="82"/>
        <v/>
      </c>
      <c r="AG925" s="127"/>
      <c r="AH925" s="127"/>
      <c r="AI925" s="127"/>
      <c r="AJ925" s="128"/>
      <c r="AK925" s="128"/>
      <c r="AL925" s="129"/>
    </row>
    <row r="926" spans="1:38" ht="23.25" x14ac:dyDescent="0.25">
      <c r="A926" s="489" t="str">
        <f t="shared" si="79"/>
        <v>18SAM063</v>
      </c>
      <c r="B926" s="490">
        <v>63</v>
      </c>
      <c r="C926" s="489" t="s">
        <v>57</v>
      </c>
      <c r="D926" s="491" t="s">
        <v>824</v>
      </c>
      <c r="E926" s="124" t="s">
        <v>2960</v>
      </c>
      <c r="F926" s="124" t="s">
        <v>2962</v>
      </c>
      <c r="G926" s="492" t="s">
        <v>2966</v>
      </c>
      <c r="H926" s="443" t="s">
        <v>60</v>
      </c>
      <c r="I926" s="126" t="s">
        <v>61</v>
      </c>
      <c r="J926" s="47" t="s">
        <v>180</v>
      </c>
      <c r="K926" s="493">
        <v>488.48</v>
      </c>
      <c r="L926" s="126" t="s">
        <v>61</v>
      </c>
      <c r="M926" s="104" t="s">
        <v>61</v>
      </c>
      <c r="N926" s="265">
        <v>43164</v>
      </c>
      <c r="O926" s="260">
        <v>43167</v>
      </c>
      <c r="P926" s="106" t="s">
        <v>2970</v>
      </c>
      <c r="Q926" s="107"/>
      <c r="R926" s="244"/>
      <c r="S926" s="37">
        <v>0</v>
      </c>
      <c r="T926" s="36" t="str">
        <f t="shared" ca="1" si="80"/>
        <v>Empty</v>
      </c>
      <c r="U926" s="37" t="s">
        <v>2933</v>
      </c>
      <c r="V926" s="37"/>
      <c r="W926" s="38"/>
      <c r="X926" s="39"/>
      <c r="Y926" s="150"/>
      <c r="Z926" s="40"/>
      <c r="AA926" s="136" t="str">
        <f t="shared" ca="1" si="81"/>
        <v/>
      </c>
      <c r="AB926" s="40"/>
      <c r="AC926" s="116"/>
      <c r="AD926" s="116"/>
      <c r="AE926" s="40"/>
      <c r="AF926" s="136" t="str">
        <f t="shared" ca="1" si="82"/>
        <v/>
      </c>
      <c r="AG926" s="127"/>
      <c r="AH926" s="127"/>
      <c r="AI926" s="127"/>
      <c r="AJ926" s="128"/>
      <c r="AK926" s="128"/>
      <c r="AL926" s="129"/>
    </row>
    <row r="927" spans="1:38" ht="23.25" x14ac:dyDescent="0.25">
      <c r="A927" s="489" t="str">
        <f t="shared" si="79"/>
        <v>18SAM064</v>
      </c>
      <c r="B927" s="490">
        <v>64</v>
      </c>
      <c r="C927" s="489" t="s">
        <v>57</v>
      </c>
      <c r="D927" s="491" t="s">
        <v>824</v>
      </c>
      <c r="E927" s="124" t="s">
        <v>2960</v>
      </c>
      <c r="F927" s="124" t="s">
        <v>2963</v>
      </c>
      <c r="G927" s="492" t="s">
        <v>2967</v>
      </c>
      <c r="H927" s="443" t="s">
        <v>60</v>
      </c>
      <c r="I927" s="126" t="s">
        <v>61</v>
      </c>
      <c r="J927" s="47" t="s">
        <v>180</v>
      </c>
      <c r="K927" s="493">
        <v>350.82</v>
      </c>
      <c r="L927" s="126" t="s">
        <v>61</v>
      </c>
      <c r="M927" s="104" t="s">
        <v>61</v>
      </c>
      <c r="N927" s="265">
        <v>43164</v>
      </c>
      <c r="O927" s="260">
        <v>43167</v>
      </c>
      <c r="P927" s="106" t="s">
        <v>2971</v>
      </c>
      <c r="Q927" s="107"/>
      <c r="R927" s="244"/>
      <c r="S927" s="37">
        <v>0</v>
      </c>
      <c r="T927" s="36" t="str">
        <f t="shared" ca="1" si="80"/>
        <v>Empty</v>
      </c>
      <c r="U927" s="37" t="s">
        <v>2933</v>
      </c>
      <c r="V927" s="37"/>
      <c r="W927" s="38"/>
      <c r="X927" s="39"/>
      <c r="Y927" s="150"/>
      <c r="Z927" s="40"/>
      <c r="AA927" s="136" t="str">
        <f t="shared" ca="1" si="81"/>
        <v/>
      </c>
      <c r="AB927" s="40"/>
      <c r="AC927" s="116"/>
      <c r="AD927" s="116"/>
      <c r="AE927" s="40"/>
      <c r="AF927" s="136" t="str">
        <f t="shared" ca="1" si="82"/>
        <v/>
      </c>
      <c r="AG927" s="127"/>
      <c r="AH927" s="127"/>
      <c r="AI927" s="127"/>
      <c r="AJ927" s="128"/>
      <c r="AK927" s="128"/>
      <c r="AL927" s="129"/>
    </row>
    <row r="928" spans="1:38" ht="23.25" x14ac:dyDescent="0.25">
      <c r="A928" s="489" t="str">
        <f t="shared" si="79"/>
        <v>18SAM065</v>
      </c>
      <c r="B928" s="490">
        <v>65</v>
      </c>
      <c r="C928" s="489" t="s">
        <v>57</v>
      </c>
      <c r="D928" s="491" t="s">
        <v>824</v>
      </c>
      <c r="E928" s="124" t="s">
        <v>2960</v>
      </c>
      <c r="F928" s="124" t="s">
        <v>2964</v>
      </c>
      <c r="G928" s="492" t="s">
        <v>2968</v>
      </c>
      <c r="H928" s="443" t="s">
        <v>60</v>
      </c>
      <c r="I928" s="126" t="s">
        <v>61</v>
      </c>
      <c r="J928" s="47" t="s">
        <v>180</v>
      </c>
      <c r="K928" s="493">
        <v>236.27</v>
      </c>
      <c r="L928" s="126" t="s">
        <v>61</v>
      </c>
      <c r="M928" s="104" t="s">
        <v>61</v>
      </c>
      <c r="N928" s="265">
        <v>43164</v>
      </c>
      <c r="O928" s="260">
        <v>43167</v>
      </c>
      <c r="P928" s="106" t="s">
        <v>2972</v>
      </c>
      <c r="Q928" s="107"/>
      <c r="R928" s="244"/>
      <c r="S928" s="37">
        <v>0</v>
      </c>
      <c r="T928" s="36" t="str">
        <f t="shared" ca="1" si="80"/>
        <v>Empty</v>
      </c>
      <c r="U928" s="37" t="s">
        <v>2933</v>
      </c>
      <c r="V928" s="37"/>
      <c r="W928" s="38"/>
      <c r="X928" s="39"/>
      <c r="Y928" s="150"/>
      <c r="Z928" s="40"/>
      <c r="AA928" s="136" t="str">
        <f t="shared" ca="1" si="81"/>
        <v/>
      </c>
      <c r="AB928" s="40"/>
      <c r="AC928" s="116"/>
      <c r="AD928" s="116"/>
      <c r="AE928" s="40"/>
      <c r="AF928" s="136" t="str">
        <f t="shared" ca="1" si="82"/>
        <v/>
      </c>
      <c r="AG928" s="127"/>
      <c r="AH928" s="127"/>
      <c r="AI928" s="127"/>
      <c r="AJ928" s="128"/>
      <c r="AK928" s="128"/>
      <c r="AL928" s="129"/>
    </row>
    <row r="929" spans="1:38" ht="23.25" x14ac:dyDescent="0.25">
      <c r="A929" s="486" t="str">
        <f t="shared" si="79"/>
        <v>18REF066</v>
      </c>
      <c r="B929" s="487">
        <v>66</v>
      </c>
      <c r="C929" s="486" t="s">
        <v>39</v>
      </c>
      <c r="D929" s="488" t="s">
        <v>744</v>
      </c>
      <c r="E929" s="124" t="s">
        <v>701</v>
      </c>
      <c r="F929" s="124" t="s">
        <v>3013</v>
      </c>
      <c r="G929" s="251"/>
      <c r="H929" s="443" t="s">
        <v>43</v>
      </c>
      <c r="I929" s="126" t="s">
        <v>2988</v>
      </c>
      <c r="J929" s="443" t="s">
        <v>180</v>
      </c>
      <c r="K929" s="126">
        <v>163.19</v>
      </c>
      <c r="L929" s="126" t="s">
        <v>2642</v>
      </c>
      <c r="M929" s="104" t="s">
        <v>2989</v>
      </c>
      <c r="N929" s="265">
        <v>43171</v>
      </c>
      <c r="O929" s="260">
        <v>43264</v>
      </c>
      <c r="P929" s="106" t="s">
        <v>327</v>
      </c>
      <c r="Q929" s="107" t="s">
        <v>2645</v>
      </c>
      <c r="R929" s="266">
        <v>1</v>
      </c>
      <c r="S929" s="37"/>
      <c r="T929" s="36" t="str">
        <f t="shared" ca="1" si="80"/>
        <v/>
      </c>
      <c r="U929" s="37"/>
      <c r="V929" s="37"/>
      <c r="W929" s="38"/>
      <c r="X929" s="39"/>
      <c r="Y929" s="150"/>
      <c r="Z929" s="40"/>
      <c r="AA929" s="136" t="str">
        <f t="shared" ca="1" si="81"/>
        <v/>
      </c>
      <c r="AB929" s="40"/>
      <c r="AC929" s="116"/>
      <c r="AD929" s="116"/>
      <c r="AE929" s="40"/>
      <c r="AF929" s="136" t="str">
        <f t="shared" ca="1" si="82"/>
        <v/>
      </c>
      <c r="AG929" s="127"/>
      <c r="AH929" s="127"/>
      <c r="AI929" s="127"/>
      <c r="AJ929" s="128"/>
      <c r="AK929" s="128"/>
      <c r="AL929" s="129"/>
    </row>
    <row r="930" spans="1:38" ht="23.25" x14ac:dyDescent="0.25">
      <c r="A930" s="486" t="str">
        <f t="shared" si="79"/>
        <v>18REF067</v>
      </c>
      <c r="B930" s="487">
        <v>67</v>
      </c>
      <c r="C930" s="486" t="s">
        <v>39</v>
      </c>
      <c r="D930" s="488" t="s">
        <v>744</v>
      </c>
      <c r="E930" s="124" t="s">
        <v>701</v>
      </c>
      <c r="F930" s="124" t="s">
        <v>1840</v>
      </c>
      <c r="G930" s="251"/>
      <c r="H930" s="443" t="s">
        <v>43</v>
      </c>
      <c r="I930" s="531" t="s">
        <v>2990</v>
      </c>
      <c r="J930" s="443" t="s">
        <v>45</v>
      </c>
      <c r="K930" s="126">
        <v>238.3</v>
      </c>
      <c r="L930" s="126" t="s">
        <v>1842</v>
      </c>
      <c r="M930" s="104" t="s">
        <v>2198</v>
      </c>
      <c r="N930" s="265">
        <v>43171</v>
      </c>
      <c r="O930" s="260">
        <v>43173</v>
      </c>
      <c r="P930" s="106" t="s">
        <v>1875</v>
      </c>
      <c r="Q930" s="107" t="s">
        <v>2991</v>
      </c>
      <c r="R930" s="266">
        <v>1</v>
      </c>
      <c r="S930" s="37">
        <v>0</v>
      </c>
      <c r="T930" s="36" t="str">
        <f t="shared" ca="1" si="80"/>
        <v>Empty</v>
      </c>
      <c r="U930" s="37"/>
      <c r="V930" s="37"/>
      <c r="W930" s="38"/>
      <c r="X930" s="39"/>
      <c r="Y930" s="150"/>
      <c r="Z930" s="40"/>
      <c r="AA930" s="136" t="str">
        <f t="shared" ca="1" si="81"/>
        <v/>
      </c>
      <c r="AB930" s="40"/>
      <c r="AC930" s="116"/>
      <c r="AD930" s="116"/>
      <c r="AE930" s="40"/>
      <c r="AF930" s="136" t="str">
        <f t="shared" ca="1" si="82"/>
        <v/>
      </c>
      <c r="AG930" s="127"/>
      <c r="AH930" s="127"/>
      <c r="AI930" s="127"/>
      <c r="AJ930" s="128"/>
      <c r="AK930" s="128"/>
      <c r="AL930" s="129"/>
    </row>
    <row r="931" spans="1:38" ht="23.25" x14ac:dyDescent="0.25">
      <c r="A931" s="486" t="str">
        <f t="shared" si="79"/>
        <v>18REF068</v>
      </c>
      <c r="B931" s="487">
        <v>68</v>
      </c>
      <c r="C931" s="486" t="s">
        <v>39</v>
      </c>
      <c r="D931" s="488" t="s">
        <v>744</v>
      </c>
      <c r="E931" s="124" t="s">
        <v>701</v>
      </c>
      <c r="F931" s="124" t="s">
        <v>1840</v>
      </c>
      <c r="G931" s="251"/>
      <c r="H931" s="443" t="s">
        <v>43</v>
      </c>
      <c r="I931" s="531" t="s">
        <v>2990</v>
      </c>
      <c r="J931" s="443" t="s">
        <v>45</v>
      </c>
      <c r="K931" s="126">
        <v>238.3</v>
      </c>
      <c r="L931" s="126" t="s">
        <v>1842</v>
      </c>
      <c r="M931" s="104" t="s">
        <v>2198</v>
      </c>
      <c r="N931" s="265">
        <v>43171</v>
      </c>
      <c r="O931" s="260">
        <v>43235</v>
      </c>
      <c r="P931" s="106" t="s">
        <v>1875</v>
      </c>
      <c r="Q931" s="107" t="s">
        <v>2991</v>
      </c>
      <c r="R931" s="266">
        <v>1</v>
      </c>
      <c r="S931" s="37">
        <f>250000-239.15-139.71</f>
        <v>249621.14</v>
      </c>
      <c r="T931" s="36">
        <f t="shared" ca="1" si="80"/>
        <v>139</v>
      </c>
      <c r="U931" s="37"/>
      <c r="V931" s="37"/>
      <c r="W931" s="38"/>
      <c r="X931" s="39"/>
      <c r="Y931" s="150"/>
      <c r="Z931" s="40"/>
      <c r="AA931" s="136" t="str">
        <f t="shared" ca="1" si="81"/>
        <v/>
      </c>
      <c r="AB931" s="40"/>
      <c r="AC931" s="116"/>
      <c r="AD931" s="116"/>
      <c r="AE931" s="40"/>
      <c r="AF931" s="136" t="str">
        <f t="shared" ca="1" si="82"/>
        <v/>
      </c>
      <c r="AG931" s="127"/>
      <c r="AH931" s="127"/>
      <c r="AI931" s="127"/>
      <c r="AJ931" s="128"/>
      <c r="AK931" s="128"/>
      <c r="AL931" s="129"/>
    </row>
    <row r="932" spans="1:38" ht="23.25" x14ac:dyDescent="0.25">
      <c r="A932" s="486" t="str">
        <f t="shared" si="79"/>
        <v>18REF069</v>
      </c>
      <c r="B932" s="487">
        <v>69</v>
      </c>
      <c r="C932" s="486" t="s">
        <v>39</v>
      </c>
      <c r="D932" s="488" t="s">
        <v>170</v>
      </c>
      <c r="E932" s="124" t="s">
        <v>701</v>
      </c>
      <c r="F932" s="124" t="s">
        <v>1744</v>
      </c>
      <c r="G932" s="251"/>
      <c r="H932" s="443" t="s">
        <v>43</v>
      </c>
      <c r="I932" s="126" t="s">
        <v>2736</v>
      </c>
      <c r="J932" s="443" t="s">
        <v>45</v>
      </c>
      <c r="K932" s="126">
        <v>228</v>
      </c>
      <c r="L932" s="126" t="s">
        <v>1747</v>
      </c>
      <c r="M932" s="104" t="s">
        <v>1748</v>
      </c>
      <c r="N932" s="265">
        <v>43171</v>
      </c>
      <c r="O932" s="260"/>
      <c r="P932" s="106" t="s">
        <v>56</v>
      </c>
      <c r="Q932" s="107" t="s">
        <v>2992</v>
      </c>
      <c r="R932" s="266">
        <v>1</v>
      </c>
      <c r="S932" s="37"/>
      <c r="T932" s="36" t="str">
        <f t="shared" ca="1" si="80"/>
        <v/>
      </c>
      <c r="U932" s="37"/>
      <c r="V932" s="37"/>
      <c r="W932" s="38"/>
      <c r="X932" s="39"/>
      <c r="Y932" s="150"/>
      <c r="Z932" s="40"/>
      <c r="AA932" s="136" t="str">
        <f t="shared" ca="1" si="81"/>
        <v/>
      </c>
      <c r="AB932" s="40"/>
      <c r="AC932" s="116"/>
      <c r="AD932" s="116"/>
      <c r="AE932" s="40"/>
      <c r="AF932" s="136" t="str">
        <f t="shared" ca="1" si="82"/>
        <v/>
      </c>
      <c r="AG932" s="127"/>
      <c r="AH932" s="127"/>
      <c r="AI932" s="127"/>
      <c r="AJ932" s="128"/>
      <c r="AK932" s="128"/>
      <c r="AL932" s="129"/>
    </row>
    <row r="933" spans="1:38" ht="23.25" x14ac:dyDescent="0.25">
      <c r="A933" s="486" t="str">
        <f t="shared" si="79"/>
        <v>18REF070</v>
      </c>
      <c r="B933" s="487">
        <v>70</v>
      </c>
      <c r="C933" s="486" t="s">
        <v>39</v>
      </c>
      <c r="D933" s="488" t="s">
        <v>744</v>
      </c>
      <c r="E933" s="124" t="s">
        <v>701</v>
      </c>
      <c r="F933" s="124" t="s">
        <v>2986</v>
      </c>
      <c r="G933" s="251"/>
      <c r="H933" s="443" t="s">
        <v>43</v>
      </c>
      <c r="I933" s="126" t="s">
        <v>2993</v>
      </c>
      <c r="J933" s="443" t="s">
        <v>45</v>
      </c>
      <c r="K933" s="126" t="s">
        <v>61</v>
      </c>
      <c r="L933" s="126" t="s">
        <v>1869</v>
      </c>
      <c r="M933" s="104" t="s">
        <v>1870</v>
      </c>
      <c r="N933" s="265">
        <v>43171</v>
      </c>
      <c r="O933" s="260">
        <v>43277</v>
      </c>
      <c r="P933" s="106" t="s">
        <v>48</v>
      </c>
      <c r="Q933" s="107" t="s">
        <v>2994</v>
      </c>
      <c r="R933" s="244" t="s">
        <v>61</v>
      </c>
      <c r="S933" s="37"/>
      <c r="T933" s="36" t="str">
        <f t="shared" ca="1" si="80"/>
        <v/>
      </c>
      <c r="U933" s="37"/>
      <c r="V933" s="37"/>
      <c r="W933" s="38"/>
      <c r="X933" s="39"/>
      <c r="Y933" s="150"/>
      <c r="Z933" s="40"/>
      <c r="AA933" s="136" t="str">
        <f t="shared" ca="1" si="81"/>
        <v/>
      </c>
      <c r="AB933" s="40"/>
      <c r="AC933" s="116"/>
      <c r="AD933" s="116"/>
      <c r="AE933" s="40"/>
      <c r="AF933" s="136" t="str">
        <f t="shared" ca="1" si="82"/>
        <v/>
      </c>
      <c r="AG933" s="127"/>
      <c r="AH933" s="127"/>
      <c r="AI933" s="127"/>
      <c r="AJ933" s="128"/>
      <c r="AK933" s="128"/>
      <c r="AL933" s="129"/>
    </row>
    <row r="934" spans="1:38" ht="23.25" x14ac:dyDescent="0.25">
      <c r="A934" s="486" t="str">
        <f t="shared" si="79"/>
        <v>18REF071</v>
      </c>
      <c r="B934" s="487">
        <v>71</v>
      </c>
      <c r="C934" s="486" t="s">
        <v>39</v>
      </c>
      <c r="D934" s="488" t="s">
        <v>170</v>
      </c>
      <c r="E934" s="124" t="s">
        <v>701</v>
      </c>
      <c r="F934" s="124" t="s">
        <v>1777</v>
      </c>
      <c r="G934" s="251"/>
      <c r="H934" s="443" t="s">
        <v>43</v>
      </c>
      <c r="I934" s="126" t="s">
        <v>2995</v>
      </c>
      <c r="J934" s="443" t="s">
        <v>45</v>
      </c>
      <c r="K934" s="126">
        <v>298.85000000000002</v>
      </c>
      <c r="L934" s="126" t="s">
        <v>1779</v>
      </c>
      <c r="M934" s="190" t="s">
        <v>1780</v>
      </c>
      <c r="N934" s="265">
        <v>43172</v>
      </c>
      <c r="O934" s="260"/>
      <c r="P934" s="106" t="s">
        <v>133</v>
      </c>
      <c r="Q934" s="107" t="s">
        <v>2992</v>
      </c>
      <c r="R934" s="266">
        <v>0.99</v>
      </c>
      <c r="S934" s="37"/>
      <c r="T934" s="36" t="str">
        <f t="shared" ca="1" si="80"/>
        <v/>
      </c>
      <c r="U934" s="37"/>
      <c r="V934" s="37"/>
      <c r="W934" s="38"/>
      <c r="X934" s="39"/>
      <c r="Y934" s="150"/>
      <c r="Z934" s="40"/>
      <c r="AA934" s="136" t="str">
        <f t="shared" ca="1" si="81"/>
        <v/>
      </c>
      <c r="AB934" s="40"/>
      <c r="AC934" s="116"/>
      <c r="AD934" s="116"/>
      <c r="AE934" s="40"/>
      <c r="AF934" s="136" t="str">
        <f t="shared" ca="1" si="82"/>
        <v/>
      </c>
      <c r="AG934" s="127"/>
      <c r="AH934" s="127"/>
      <c r="AI934" s="127"/>
      <c r="AJ934" s="128"/>
      <c r="AK934" s="128"/>
      <c r="AL934" s="129"/>
    </row>
    <row r="935" spans="1:38" ht="23.25" x14ac:dyDescent="0.25">
      <c r="A935" s="486" t="str">
        <f t="shared" si="79"/>
        <v>18REF072</v>
      </c>
      <c r="B935" s="487">
        <v>72</v>
      </c>
      <c r="C935" s="486" t="s">
        <v>39</v>
      </c>
      <c r="D935" s="488" t="s">
        <v>170</v>
      </c>
      <c r="E935" s="124" t="s">
        <v>701</v>
      </c>
      <c r="F935" s="124" t="s">
        <v>2987</v>
      </c>
      <c r="G935" s="251"/>
      <c r="H935" s="443" t="s">
        <v>43</v>
      </c>
      <c r="I935" s="126" t="s">
        <v>2568</v>
      </c>
      <c r="J935" s="47" t="s">
        <v>105</v>
      </c>
      <c r="K935" s="126">
        <v>523.79999999999995</v>
      </c>
      <c r="L935" s="126" t="s">
        <v>1858</v>
      </c>
      <c r="M935" s="104" t="s">
        <v>1859</v>
      </c>
      <c r="N935" s="265">
        <v>43172</v>
      </c>
      <c r="O935" s="260"/>
      <c r="P935" s="106" t="s">
        <v>124</v>
      </c>
      <c r="Q935" s="107" t="s">
        <v>2992</v>
      </c>
      <c r="R935" s="266">
        <v>0.97</v>
      </c>
      <c r="S935" s="37"/>
      <c r="T935" s="36" t="str">
        <f t="shared" ca="1" si="80"/>
        <v/>
      </c>
      <c r="U935" s="37"/>
      <c r="V935" s="37"/>
      <c r="W935" s="38"/>
      <c r="X935" s="39"/>
      <c r="Y935" s="150"/>
      <c r="Z935" s="40"/>
      <c r="AA935" s="136" t="str">
        <f t="shared" ca="1" si="81"/>
        <v/>
      </c>
      <c r="AB935" s="40"/>
      <c r="AC935" s="116"/>
      <c r="AD935" s="116"/>
      <c r="AE935" s="40"/>
      <c r="AF935" s="136" t="str">
        <f t="shared" ca="1" si="82"/>
        <v/>
      </c>
      <c r="AG935" s="127"/>
      <c r="AH935" s="127"/>
      <c r="AI935" s="127"/>
      <c r="AJ935" s="128"/>
      <c r="AK935" s="128"/>
      <c r="AL935" s="129"/>
    </row>
    <row r="936" spans="1:38" ht="23.25" x14ac:dyDescent="0.25">
      <c r="A936" s="486" t="str">
        <f t="shared" si="79"/>
        <v>18REF073</v>
      </c>
      <c r="B936" s="487">
        <v>73</v>
      </c>
      <c r="C936" s="486" t="s">
        <v>39</v>
      </c>
      <c r="D936" s="488" t="s">
        <v>170</v>
      </c>
      <c r="E936" s="124" t="s">
        <v>701</v>
      </c>
      <c r="F936" s="124" t="s">
        <v>2987</v>
      </c>
      <c r="G936" s="251"/>
      <c r="H936" s="443" t="s">
        <v>43</v>
      </c>
      <c r="I936" s="126" t="s">
        <v>2568</v>
      </c>
      <c r="J936" s="47" t="s">
        <v>105</v>
      </c>
      <c r="K936" s="126">
        <v>523.79999999999995</v>
      </c>
      <c r="L936" s="126" t="s">
        <v>1858</v>
      </c>
      <c r="M936" s="104" t="s">
        <v>1859</v>
      </c>
      <c r="N936" s="265">
        <v>43172</v>
      </c>
      <c r="O936" s="260">
        <v>43286</v>
      </c>
      <c r="P936" s="106" t="s">
        <v>124</v>
      </c>
      <c r="Q936" s="107" t="s">
        <v>2992</v>
      </c>
      <c r="R936" s="266">
        <v>0.97</v>
      </c>
      <c r="S936" s="37">
        <f>100-36.8</f>
        <v>63.2</v>
      </c>
      <c r="T936" s="36">
        <f t="shared" ca="1" si="80"/>
        <v>89</v>
      </c>
      <c r="U936" s="37"/>
      <c r="V936" s="37"/>
      <c r="W936" s="38"/>
      <c r="X936" s="39"/>
      <c r="Y936" s="150"/>
      <c r="Z936" s="40"/>
      <c r="AA936" s="136" t="str">
        <f t="shared" ca="1" si="81"/>
        <v/>
      </c>
      <c r="AB936" s="40"/>
      <c r="AC936" s="116"/>
      <c r="AD936" s="116"/>
      <c r="AE936" s="40"/>
      <c r="AF936" s="136" t="str">
        <f t="shared" ca="1" si="82"/>
        <v/>
      </c>
      <c r="AG936" s="127"/>
      <c r="AH936" s="127"/>
      <c r="AI936" s="127"/>
      <c r="AJ936" s="128"/>
      <c r="AK936" s="128"/>
      <c r="AL936" s="129"/>
    </row>
    <row r="937" spans="1:38" ht="23.25" x14ac:dyDescent="0.25">
      <c r="A937" s="489" t="str">
        <f t="shared" si="79"/>
        <v>18SAM074</v>
      </c>
      <c r="B937" s="490">
        <v>74</v>
      </c>
      <c r="C937" s="489" t="s">
        <v>57</v>
      </c>
      <c r="D937" s="491" t="s">
        <v>824</v>
      </c>
      <c r="E937" s="124" t="s">
        <v>2960</v>
      </c>
      <c r="F937" s="124" t="s">
        <v>2964</v>
      </c>
      <c r="G937" s="492" t="s">
        <v>2968</v>
      </c>
      <c r="H937" s="443" t="s">
        <v>60</v>
      </c>
      <c r="I937" s="126" t="s">
        <v>61</v>
      </c>
      <c r="J937" s="443" t="s">
        <v>180</v>
      </c>
      <c r="K937" s="493">
        <v>236.27</v>
      </c>
      <c r="L937" s="126" t="s">
        <v>61</v>
      </c>
      <c r="M937" s="104" t="s">
        <v>61</v>
      </c>
      <c r="N937" s="265">
        <v>43174</v>
      </c>
      <c r="O937" s="260">
        <v>43179</v>
      </c>
      <c r="P937" s="106" t="s">
        <v>2996</v>
      </c>
      <c r="Q937" s="107"/>
      <c r="R937" s="266">
        <v>1</v>
      </c>
      <c r="S937" s="37">
        <v>0</v>
      </c>
      <c r="T937" s="36" t="str">
        <f t="shared" ca="1" si="80"/>
        <v>Empty</v>
      </c>
      <c r="U937" s="37" t="s">
        <v>2933</v>
      </c>
      <c r="V937" s="37"/>
      <c r="W937" s="38"/>
      <c r="X937" s="39"/>
      <c r="Y937" s="150"/>
      <c r="Z937" s="40"/>
      <c r="AA937" s="136" t="str">
        <f t="shared" ca="1" si="81"/>
        <v/>
      </c>
      <c r="AB937" s="40"/>
      <c r="AC937" s="116"/>
      <c r="AD937" s="116"/>
      <c r="AE937" s="40"/>
      <c r="AF937" s="136" t="str">
        <f t="shared" ca="1" si="82"/>
        <v/>
      </c>
      <c r="AG937" s="127"/>
      <c r="AH937" s="127"/>
      <c r="AI937" s="127"/>
      <c r="AJ937" s="128"/>
      <c r="AK937" s="128"/>
      <c r="AL937" s="129"/>
    </row>
    <row r="938" spans="1:38" ht="23.25" x14ac:dyDescent="0.25">
      <c r="A938" s="489" t="str">
        <f t="shared" si="79"/>
        <v>18SAM075</v>
      </c>
      <c r="B938" s="490">
        <v>75</v>
      </c>
      <c r="C938" s="489" t="s">
        <v>57</v>
      </c>
      <c r="D938" s="491" t="s">
        <v>40</v>
      </c>
      <c r="E938" s="124" t="s">
        <v>1701</v>
      </c>
      <c r="F938" s="124" t="s">
        <v>2997</v>
      </c>
      <c r="G938" s="251"/>
      <c r="H938" s="443" t="s">
        <v>60</v>
      </c>
      <c r="I938" s="126" t="s">
        <v>2998</v>
      </c>
      <c r="J938" s="443" t="s">
        <v>45</v>
      </c>
      <c r="K938" s="126">
        <v>428.57</v>
      </c>
      <c r="L938" s="126" t="s">
        <v>61</v>
      </c>
      <c r="M938" s="104" t="s">
        <v>61</v>
      </c>
      <c r="N938" s="265">
        <v>43174</v>
      </c>
      <c r="O938" s="260">
        <v>43179</v>
      </c>
      <c r="P938" s="106" t="s">
        <v>409</v>
      </c>
      <c r="Q938" s="107" t="s">
        <v>3122</v>
      </c>
      <c r="R938" s="266" t="s">
        <v>60</v>
      </c>
      <c r="S938" s="37">
        <f>20-6-5.12-3.35</f>
        <v>5.5299999999999994</v>
      </c>
      <c r="T938" s="36">
        <f t="shared" ca="1" si="80"/>
        <v>194</v>
      </c>
      <c r="U938" s="37" t="s">
        <v>3007</v>
      </c>
      <c r="V938" s="37" t="s">
        <v>2840</v>
      </c>
      <c r="W938" s="38"/>
      <c r="X938" s="39"/>
      <c r="Y938" s="150"/>
      <c r="Z938" s="40"/>
      <c r="AA938" s="136" t="str">
        <f t="shared" ca="1" si="81"/>
        <v/>
      </c>
      <c r="AB938" s="40"/>
      <c r="AC938" s="116"/>
      <c r="AD938" s="116"/>
      <c r="AE938" s="40"/>
      <c r="AF938" s="136" t="str">
        <f t="shared" ca="1" si="82"/>
        <v/>
      </c>
      <c r="AG938" s="127"/>
      <c r="AH938" s="127"/>
      <c r="AI938" s="127"/>
      <c r="AJ938" s="128"/>
      <c r="AK938" s="128"/>
      <c r="AL938" s="129"/>
    </row>
    <row r="939" spans="1:38" ht="23.25" x14ac:dyDescent="0.25">
      <c r="A939" s="486" t="str">
        <f t="shared" si="79"/>
        <v>18REF076</v>
      </c>
      <c r="B939" s="487">
        <v>76</v>
      </c>
      <c r="C939" s="486" t="s">
        <v>39</v>
      </c>
      <c r="D939" s="488" t="s">
        <v>744</v>
      </c>
      <c r="E939" s="124" t="s">
        <v>701</v>
      </c>
      <c r="F939" s="124" t="s">
        <v>779</v>
      </c>
      <c r="G939" s="251" t="s">
        <v>1126</v>
      </c>
      <c r="H939" s="443" t="s">
        <v>625</v>
      </c>
      <c r="I939" s="126" t="s">
        <v>2921</v>
      </c>
      <c r="J939" s="443" t="s">
        <v>45</v>
      </c>
      <c r="K939" s="126">
        <v>197.1</v>
      </c>
      <c r="L939" s="126" t="s">
        <v>2922</v>
      </c>
      <c r="M939" s="104" t="s">
        <v>782</v>
      </c>
      <c r="N939" s="265">
        <v>43180</v>
      </c>
      <c r="O939" s="260">
        <v>43335</v>
      </c>
      <c r="P939" s="106" t="s">
        <v>86</v>
      </c>
      <c r="Q939" s="107" t="s">
        <v>3009</v>
      </c>
      <c r="R939" s="267">
        <v>0.99299999999999999</v>
      </c>
      <c r="S939" s="37">
        <v>0</v>
      </c>
      <c r="T939" s="36" t="str">
        <f t="shared" ca="1" si="80"/>
        <v>Empty</v>
      </c>
      <c r="U939" s="37"/>
      <c r="V939" s="37"/>
      <c r="W939" s="38"/>
      <c r="X939" s="39"/>
      <c r="Y939" s="150"/>
      <c r="Z939" s="40"/>
      <c r="AA939" s="136" t="str">
        <f t="shared" ca="1" si="81"/>
        <v/>
      </c>
      <c r="AB939" s="40"/>
      <c r="AC939" s="116"/>
      <c r="AD939" s="116"/>
      <c r="AE939" s="40"/>
      <c r="AF939" s="136" t="str">
        <f t="shared" ca="1" si="82"/>
        <v/>
      </c>
      <c r="AG939" s="127"/>
      <c r="AH939" s="127"/>
      <c r="AI939" s="127"/>
      <c r="AJ939" s="128"/>
      <c r="AK939" s="128"/>
      <c r="AL939" s="129"/>
    </row>
    <row r="940" spans="1:38" ht="23.25" x14ac:dyDescent="0.25">
      <c r="A940" s="486" t="str">
        <f t="shared" si="79"/>
        <v>18REF077</v>
      </c>
      <c r="B940" s="487">
        <v>77</v>
      </c>
      <c r="C940" s="486" t="s">
        <v>39</v>
      </c>
      <c r="D940" s="488" t="s">
        <v>744</v>
      </c>
      <c r="E940" s="124" t="s">
        <v>701</v>
      </c>
      <c r="F940" s="124" t="s">
        <v>860</v>
      </c>
      <c r="G940" s="251" t="s">
        <v>802</v>
      </c>
      <c r="H940" s="443" t="s">
        <v>625</v>
      </c>
      <c r="I940" s="126" t="s">
        <v>2918</v>
      </c>
      <c r="J940" s="443" t="s">
        <v>45</v>
      </c>
      <c r="K940" s="126">
        <v>336.28</v>
      </c>
      <c r="L940" s="126" t="s">
        <v>2919</v>
      </c>
      <c r="M940" s="104" t="s">
        <v>863</v>
      </c>
      <c r="N940" s="265">
        <v>43180</v>
      </c>
      <c r="O940" s="260">
        <v>43206</v>
      </c>
      <c r="P940" s="106" t="s">
        <v>183</v>
      </c>
      <c r="Q940" s="107" t="s">
        <v>2920</v>
      </c>
      <c r="R940" s="266">
        <v>0.99</v>
      </c>
      <c r="S940" s="37">
        <v>0</v>
      </c>
      <c r="T940" s="36" t="str">
        <f t="shared" ca="1" si="80"/>
        <v>Empty</v>
      </c>
      <c r="U940" s="37"/>
      <c r="V940" s="37"/>
      <c r="W940" s="38"/>
      <c r="X940" s="39"/>
      <c r="Y940" s="150"/>
      <c r="Z940" s="40"/>
      <c r="AA940" s="136" t="str">
        <f t="shared" ca="1" si="81"/>
        <v/>
      </c>
      <c r="AB940" s="40"/>
      <c r="AC940" s="116"/>
      <c r="AD940" s="116"/>
      <c r="AE940" s="40"/>
      <c r="AF940" s="136" t="str">
        <f t="shared" ca="1" si="82"/>
        <v/>
      </c>
      <c r="AG940" s="127"/>
      <c r="AH940" s="127"/>
      <c r="AI940" s="127"/>
      <c r="AJ940" s="128"/>
      <c r="AK940" s="128"/>
      <c r="AL940" s="129"/>
    </row>
    <row r="941" spans="1:38" ht="23.25" x14ac:dyDescent="0.25">
      <c r="A941" s="486" t="str">
        <f t="shared" si="79"/>
        <v>18REF078</v>
      </c>
      <c r="B941" s="487">
        <v>78</v>
      </c>
      <c r="C941" s="486" t="s">
        <v>39</v>
      </c>
      <c r="D941" s="488" t="s">
        <v>744</v>
      </c>
      <c r="E941" s="124" t="s">
        <v>701</v>
      </c>
      <c r="F941" s="124" t="s">
        <v>860</v>
      </c>
      <c r="G941" s="251" t="s">
        <v>802</v>
      </c>
      <c r="H941" s="443" t="s">
        <v>625</v>
      </c>
      <c r="I941" s="126" t="s">
        <v>2918</v>
      </c>
      <c r="J941" s="443" t="s">
        <v>45</v>
      </c>
      <c r="K941" s="126">
        <v>336.28</v>
      </c>
      <c r="L941" s="126" t="s">
        <v>2919</v>
      </c>
      <c r="M941" s="104" t="s">
        <v>863</v>
      </c>
      <c r="N941" s="265">
        <v>43180</v>
      </c>
      <c r="O941" s="260">
        <v>43217</v>
      </c>
      <c r="P941" s="106" t="s">
        <v>183</v>
      </c>
      <c r="Q941" s="107" t="s">
        <v>2920</v>
      </c>
      <c r="R941" s="266">
        <v>0.99</v>
      </c>
      <c r="S941" s="37">
        <v>0</v>
      </c>
      <c r="T941" s="36" t="str">
        <f t="shared" ca="1" si="80"/>
        <v>Empty</v>
      </c>
      <c r="U941" s="37"/>
      <c r="V941" s="37"/>
      <c r="W941" s="38"/>
      <c r="X941" s="39"/>
      <c r="Y941" s="150"/>
      <c r="Z941" s="40"/>
      <c r="AA941" s="136" t="str">
        <f t="shared" ca="1" si="81"/>
        <v/>
      </c>
      <c r="AB941" s="40"/>
      <c r="AC941" s="116"/>
      <c r="AD941" s="116"/>
      <c r="AE941" s="40"/>
      <c r="AF941" s="136" t="str">
        <f t="shared" ca="1" si="82"/>
        <v/>
      </c>
      <c r="AG941" s="127"/>
      <c r="AH941" s="127"/>
      <c r="AI941" s="127"/>
      <c r="AJ941" s="128"/>
      <c r="AK941" s="128"/>
      <c r="AL941" s="129"/>
    </row>
    <row r="942" spans="1:38" ht="23.25" x14ac:dyDescent="0.25">
      <c r="A942" s="486" t="str">
        <f t="shared" si="79"/>
        <v>18REF079</v>
      </c>
      <c r="B942" s="487">
        <v>79</v>
      </c>
      <c r="C942" s="486" t="s">
        <v>39</v>
      </c>
      <c r="D942" s="488" t="s">
        <v>824</v>
      </c>
      <c r="E942" s="124" t="s">
        <v>701</v>
      </c>
      <c r="F942" s="124" t="s">
        <v>3011</v>
      </c>
      <c r="G942" s="251" t="s">
        <v>3012</v>
      </c>
      <c r="H942" s="443" t="s">
        <v>43</v>
      </c>
      <c r="I942" s="126" t="s">
        <v>2571</v>
      </c>
      <c r="J942" s="443" t="s">
        <v>45</v>
      </c>
      <c r="K942" s="126">
        <v>165.7</v>
      </c>
      <c r="L942" s="126" t="s">
        <v>2572</v>
      </c>
      <c r="M942" s="104" t="s">
        <v>2575</v>
      </c>
      <c r="N942" s="265">
        <v>43180</v>
      </c>
      <c r="O942" s="260">
        <v>43187</v>
      </c>
      <c r="P942" s="106" t="s">
        <v>1295</v>
      </c>
      <c r="Q942" s="107" t="s">
        <v>1527</v>
      </c>
      <c r="R942" s="267">
        <v>0.99199999999999999</v>
      </c>
      <c r="S942" s="37">
        <v>0</v>
      </c>
      <c r="T942" s="36" t="str">
        <f t="shared" ca="1" si="80"/>
        <v>Empty</v>
      </c>
      <c r="U942" s="37"/>
      <c r="V942" s="37"/>
      <c r="W942" s="38"/>
      <c r="X942" s="39"/>
      <c r="Y942" s="150"/>
      <c r="Z942" s="40"/>
      <c r="AA942" s="136" t="str">
        <f t="shared" ca="1" si="81"/>
        <v/>
      </c>
      <c r="AB942" s="40"/>
      <c r="AC942" s="116"/>
      <c r="AD942" s="116"/>
      <c r="AE942" s="40"/>
      <c r="AF942" s="136" t="str">
        <f t="shared" ca="1" si="82"/>
        <v/>
      </c>
      <c r="AG942" s="127"/>
      <c r="AH942" s="127"/>
      <c r="AI942" s="127"/>
      <c r="AJ942" s="128"/>
      <c r="AK942" s="128"/>
      <c r="AL942" s="129"/>
    </row>
    <row r="943" spans="1:38" ht="23.25" x14ac:dyDescent="0.25">
      <c r="A943" s="486" t="str">
        <f t="shared" si="79"/>
        <v>18REF080</v>
      </c>
      <c r="B943" s="487">
        <v>80</v>
      </c>
      <c r="C943" s="486" t="s">
        <v>39</v>
      </c>
      <c r="D943" s="488" t="s">
        <v>824</v>
      </c>
      <c r="E943" s="124" t="s">
        <v>701</v>
      </c>
      <c r="F943" s="124" t="s">
        <v>3011</v>
      </c>
      <c r="G943" s="251" t="s">
        <v>3012</v>
      </c>
      <c r="H943" s="443" t="s">
        <v>43</v>
      </c>
      <c r="I943" s="126" t="s">
        <v>2571</v>
      </c>
      <c r="J943" s="443" t="s">
        <v>45</v>
      </c>
      <c r="K943" s="126">
        <v>165.7</v>
      </c>
      <c r="L943" s="126" t="s">
        <v>2572</v>
      </c>
      <c r="M943" s="104" t="s">
        <v>2575</v>
      </c>
      <c r="N943" s="265">
        <v>43180</v>
      </c>
      <c r="O943" s="260">
        <v>43235</v>
      </c>
      <c r="P943" s="106" t="s">
        <v>1295</v>
      </c>
      <c r="Q943" s="107" t="s">
        <v>1527</v>
      </c>
      <c r="R943" s="267">
        <v>0.99199999999999999</v>
      </c>
      <c r="S943" s="37">
        <v>0</v>
      </c>
      <c r="T943" s="36" t="str">
        <f t="shared" ca="1" si="80"/>
        <v>Empty</v>
      </c>
      <c r="U943" s="37"/>
      <c r="V943" s="37"/>
      <c r="W943" s="38"/>
      <c r="X943" s="39"/>
      <c r="Y943" s="150"/>
      <c r="Z943" s="40"/>
      <c r="AA943" s="136" t="str">
        <f t="shared" ca="1" si="81"/>
        <v/>
      </c>
      <c r="AB943" s="40"/>
      <c r="AC943" s="116"/>
      <c r="AD943" s="116"/>
      <c r="AE943" s="40"/>
      <c r="AF943" s="136" t="str">
        <f t="shared" ca="1" si="82"/>
        <v/>
      </c>
      <c r="AG943" s="127"/>
      <c r="AH943" s="127"/>
      <c r="AI943" s="127"/>
      <c r="AJ943" s="128"/>
      <c r="AK943" s="128"/>
      <c r="AL943" s="129"/>
    </row>
    <row r="944" spans="1:38" ht="23.25" x14ac:dyDescent="0.25">
      <c r="A944" s="489" t="str">
        <f t="shared" si="79"/>
        <v>18SAM081</v>
      </c>
      <c r="B944" s="490">
        <v>81</v>
      </c>
      <c r="C944" s="489" t="s">
        <v>57</v>
      </c>
      <c r="D944" s="491" t="s">
        <v>40</v>
      </c>
      <c r="E944" s="124" t="s">
        <v>3014</v>
      </c>
      <c r="F944" s="496" t="s">
        <v>3015</v>
      </c>
      <c r="G944" s="251"/>
      <c r="H944" s="443" t="s">
        <v>60</v>
      </c>
      <c r="I944" s="126">
        <v>1056002</v>
      </c>
      <c r="J944" s="47" t="s">
        <v>105</v>
      </c>
      <c r="K944" s="126">
        <v>4329.8599999999997</v>
      </c>
      <c r="L944" s="126" t="s">
        <v>61</v>
      </c>
      <c r="M944" s="104" t="s">
        <v>61</v>
      </c>
      <c r="N944" s="265">
        <v>43181</v>
      </c>
      <c r="O944" s="260">
        <v>43182</v>
      </c>
      <c r="P944" s="106" t="s">
        <v>3016</v>
      </c>
      <c r="Q944" s="107" t="s">
        <v>3017</v>
      </c>
      <c r="R944" s="244" t="s">
        <v>61</v>
      </c>
      <c r="S944" s="37">
        <v>0</v>
      </c>
      <c r="T944" s="36" t="str">
        <f t="shared" ca="1" si="80"/>
        <v>Empty</v>
      </c>
      <c r="U944" s="37" t="s">
        <v>3029</v>
      </c>
      <c r="V944" s="37"/>
      <c r="W944" s="38"/>
      <c r="X944" s="39"/>
      <c r="Y944" s="150"/>
      <c r="Z944" s="40"/>
      <c r="AA944" s="136" t="str">
        <f t="shared" ca="1" si="81"/>
        <v/>
      </c>
      <c r="AB944" s="40"/>
      <c r="AC944" s="116"/>
      <c r="AD944" s="116"/>
      <c r="AE944" s="40"/>
      <c r="AF944" s="136" t="str">
        <f t="shared" ca="1" si="82"/>
        <v/>
      </c>
      <c r="AG944" s="127"/>
      <c r="AH944" s="127"/>
      <c r="AI944" s="127"/>
      <c r="AJ944" s="128"/>
      <c r="AK944" s="128"/>
      <c r="AL944" s="129"/>
    </row>
    <row r="945" spans="1:38" ht="23.25" x14ac:dyDescent="0.25">
      <c r="A945" s="489" t="str">
        <f t="shared" si="79"/>
        <v>18SAM082</v>
      </c>
      <c r="B945" s="490">
        <v>82</v>
      </c>
      <c r="C945" s="489" t="s">
        <v>57</v>
      </c>
      <c r="D945" s="491" t="s">
        <v>40</v>
      </c>
      <c r="E945" s="124" t="s">
        <v>3014</v>
      </c>
      <c r="F945" s="496" t="s">
        <v>3021</v>
      </c>
      <c r="G945" s="251"/>
      <c r="H945" s="443" t="s">
        <v>60</v>
      </c>
      <c r="I945" s="126" t="s">
        <v>3020</v>
      </c>
      <c r="J945" s="47" t="s">
        <v>105</v>
      </c>
      <c r="K945" s="126">
        <v>2033.36</v>
      </c>
      <c r="L945" s="126" t="s">
        <v>61</v>
      </c>
      <c r="M945" s="104" t="s">
        <v>61</v>
      </c>
      <c r="N945" s="265">
        <v>43181</v>
      </c>
      <c r="O945" s="260">
        <v>43182</v>
      </c>
      <c r="P945" s="106" t="s">
        <v>3093</v>
      </c>
      <c r="Q945" s="107" t="s">
        <v>877</v>
      </c>
      <c r="R945" s="244">
        <v>95.4</v>
      </c>
      <c r="S945" s="37">
        <v>0</v>
      </c>
      <c r="T945" s="36" t="str">
        <f t="shared" ca="1" si="80"/>
        <v>Empty</v>
      </c>
      <c r="U945" s="37" t="s">
        <v>3029</v>
      </c>
      <c r="V945" s="37"/>
      <c r="W945" s="38"/>
      <c r="X945" s="39"/>
      <c r="Y945" s="150"/>
      <c r="Z945" s="40"/>
      <c r="AA945" s="136" t="str">
        <f t="shared" ca="1" si="81"/>
        <v/>
      </c>
      <c r="AB945" s="40"/>
      <c r="AC945" s="116"/>
      <c r="AD945" s="116"/>
      <c r="AE945" s="40"/>
      <c r="AF945" s="136" t="str">
        <f t="shared" ca="1" si="82"/>
        <v/>
      </c>
      <c r="AG945" s="127"/>
      <c r="AH945" s="127"/>
      <c r="AI945" s="127"/>
      <c r="AJ945" s="128"/>
      <c r="AK945" s="128"/>
      <c r="AL945" s="129"/>
    </row>
    <row r="946" spans="1:38" ht="23.25" x14ac:dyDescent="0.25">
      <c r="A946" s="489" t="str">
        <f t="shared" si="79"/>
        <v>18SAM083</v>
      </c>
      <c r="B946" s="490">
        <v>83</v>
      </c>
      <c r="C946" s="489" t="s">
        <v>57</v>
      </c>
      <c r="D946" s="491" t="s">
        <v>40</v>
      </c>
      <c r="E946" s="124" t="s">
        <v>3014</v>
      </c>
      <c r="F946" s="496" t="s">
        <v>3018</v>
      </c>
      <c r="G946" s="251"/>
      <c r="H946" s="443" t="s">
        <v>60</v>
      </c>
      <c r="I946" s="126" t="s">
        <v>3019</v>
      </c>
      <c r="J946" s="47" t="s">
        <v>105</v>
      </c>
      <c r="K946" s="126">
        <v>2314.48</v>
      </c>
      <c r="L946" s="126" t="s">
        <v>61</v>
      </c>
      <c r="M946" s="104" t="s">
        <v>61</v>
      </c>
      <c r="N946" s="265">
        <v>43181</v>
      </c>
      <c r="O946" s="260">
        <v>43182</v>
      </c>
      <c r="P946" s="106" t="s">
        <v>3094</v>
      </c>
      <c r="Q946" s="107" t="s">
        <v>877</v>
      </c>
      <c r="R946" s="244">
        <v>97.9</v>
      </c>
      <c r="S946" s="37">
        <v>0</v>
      </c>
      <c r="T946" s="36" t="str">
        <f t="shared" ca="1" si="80"/>
        <v>Empty</v>
      </c>
      <c r="U946" s="37" t="s">
        <v>3029</v>
      </c>
      <c r="V946" s="37"/>
      <c r="W946" s="38"/>
      <c r="X946" s="39"/>
      <c r="Y946" s="150"/>
      <c r="Z946" s="40"/>
      <c r="AA946" s="136" t="str">
        <f t="shared" ca="1" si="81"/>
        <v/>
      </c>
      <c r="AB946" s="40"/>
      <c r="AC946" s="116"/>
      <c r="AD946" s="116"/>
      <c r="AE946" s="40"/>
      <c r="AF946" s="136" t="str">
        <f t="shared" ca="1" si="82"/>
        <v/>
      </c>
      <c r="AG946" s="127"/>
      <c r="AH946" s="127"/>
      <c r="AI946" s="127"/>
      <c r="AJ946" s="128"/>
      <c r="AK946" s="128"/>
      <c r="AL946" s="129"/>
    </row>
    <row r="947" spans="1:38" ht="23.25" x14ac:dyDescent="0.25">
      <c r="A947" s="489" t="str">
        <f t="shared" si="79"/>
        <v>18SAM084</v>
      </c>
      <c r="B947" s="490">
        <v>84</v>
      </c>
      <c r="C947" s="489" t="s">
        <v>57</v>
      </c>
      <c r="D947" s="491" t="s">
        <v>40</v>
      </c>
      <c r="E947" s="124" t="s">
        <v>3037</v>
      </c>
      <c r="F947" s="124" t="s">
        <v>3038</v>
      </c>
      <c r="G947" s="251" t="s">
        <v>3041</v>
      </c>
      <c r="H947" s="443" t="s">
        <v>112</v>
      </c>
      <c r="I947" s="126" t="s">
        <v>2298</v>
      </c>
      <c r="J947" s="47" t="s">
        <v>105</v>
      </c>
      <c r="K947" s="126">
        <v>3561.12</v>
      </c>
      <c r="L947" s="126">
        <v>1455</v>
      </c>
      <c r="M947" s="104" t="s">
        <v>3039</v>
      </c>
      <c r="N947" s="265">
        <v>43187</v>
      </c>
      <c r="O947" s="260">
        <v>43188</v>
      </c>
      <c r="P947" s="106" t="s">
        <v>3040</v>
      </c>
      <c r="Q947" s="107" t="s">
        <v>877</v>
      </c>
      <c r="R947" s="267">
        <v>0.96499999999999997</v>
      </c>
      <c r="S947" s="37">
        <v>0</v>
      </c>
      <c r="T947" s="36" t="str">
        <f t="shared" ca="1" si="80"/>
        <v>Empty</v>
      </c>
      <c r="U947" s="37" t="s">
        <v>3054</v>
      </c>
      <c r="V947" s="392" t="s">
        <v>3044</v>
      </c>
      <c r="W947" s="38"/>
      <c r="X947" s="39"/>
      <c r="Y947" s="150"/>
      <c r="Z947" s="40"/>
      <c r="AA947" s="136" t="str">
        <f t="shared" ca="1" si="81"/>
        <v/>
      </c>
      <c r="AB947" s="40"/>
      <c r="AC947" s="116"/>
      <c r="AD947" s="116"/>
      <c r="AE947" s="40"/>
      <c r="AF947" s="136" t="str">
        <f t="shared" ca="1" si="82"/>
        <v/>
      </c>
      <c r="AG947" s="127"/>
      <c r="AH947" s="127"/>
      <c r="AI947" s="127"/>
      <c r="AJ947" s="128"/>
      <c r="AK947" s="128"/>
      <c r="AL947" s="129"/>
    </row>
    <row r="948" spans="1:38" ht="23.25" x14ac:dyDescent="0.25">
      <c r="A948" s="489" t="str">
        <f t="shared" si="79"/>
        <v>18SAM085</v>
      </c>
      <c r="B948" s="490">
        <v>85</v>
      </c>
      <c r="C948" s="489" t="s">
        <v>57</v>
      </c>
      <c r="D948" s="491" t="s">
        <v>40</v>
      </c>
      <c r="E948" s="124" t="s">
        <v>3037</v>
      </c>
      <c r="F948" s="124" t="s">
        <v>3038</v>
      </c>
      <c r="G948" s="251" t="s">
        <v>3041</v>
      </c>
      <c r="H948" s="443" t="s">
        <v>112</v>
      </c>
      <c r="I948" s="126" t="s">
        <v>2298</v>
      </c>
      <c r="J948" s="47" t="s">
        <v>105</v>
      </c>
      <c r="K948" s="126">
        <v>3561.12</v>
      </c>
      <c r="L948" s="126">
        <v>1455</v>
      </c>
      <c r="M948" s="104" t="s">
        <v>3039</v>
      </c>
      <c r="N948" s="265">
        <v>43187</v>
      </c>
      <c r="O948" s="260">
        <v>43188</v>
      </c>
      <c r="P948" s="106" t="s">
        <v>3040</v>
      </c>
      <c r="Q948" s="107" t="s">
        <v>877</v>
      </c>
      <c r="R948" s="267">
        <v>0.96499999999999997</v>
      </c>
      <c r="S948" s="37">
        <v>0</v>
      </c>
      <c r="T948" s="36" t="str">
        <f t="shared" ca="1" si="80"/>
        <v>Empty</v>
      </c>
      <c r="U948" s="37" t="s">
        <v>3054</v>
      </c>
      <c r="V948" s="392" t="s">
        <v>3044</v>
      </c>
      <c r="W948" s="38"/>
      <c r="X948" s="39"/>
      <c r="Y948" s="150"/>
      <c r="Z948" s="40"/>
      <c r="AA948" s="136" t="str">
        <f t="shared" ca="1" si="81"/>
        <v/>
      </c>
      <c r="AB948" s="40"/>
      <c r="AC948" s="116"/>
      <c r="AD948" s="116"/>
      <c r="AE948" s="40"/>
      <c r="AF948" s="136" t="str">
        <f t="shared" ca="1" si="82"/>
        <v/>
      </c>
      <c r="AG948" s="127"/>
      <c r="AH948" s="127"/>
      <c r="AI948" s="127"/>
      <c r="AJ948" s="128"/>
      <c r="AK948" s="128"/>
      <c r="AL948" s="129"/>
    </row>
    <row r="949" spans="1:38" ht="23.25" x14ac:dyDescent="0.25">
      <c r="A949" s="489" t="str">
        <f t="shared" si="79"/>
        <v>18SAM086</v>
      </c>
      <c r="B949" s="490">
        <v>86</v>
      </c>
      <c r="C949" s="489" t="s">
        <v>57</v>
      </c>
      <c r="D949" s="491" t="s">
        <v>40</v>
      </c>
      <c r="E949" s="124" t="s">
        <v>3037</v>
      </c>
      <c r="F949" s="124" t="s">
        <v>3038</v>
      </c>
      <c r="G949" s="251" t="s">
        <v>3041</v>
      </c>
      <c r="H949" s="443" t="s">
        <v>112</v>
      </c>
      <c r="I949" s="126" t="s">
        <v>2298</v>
      </c>
      <c r="J949" s="47" t="s">
        <v>105</v>
      </c>
      <c r="K949" s="126">
        <v>3561.12</v>
      </c>
      <c r="L949" s="126">
        <v>1455</v>
      </c>
      <c r="M949" s="104" t="s">
        <v>3039</v>
      </c>
      <c r="N949" s="265">
        <v>43187</v>
      </c>
      <c r="O949" s="260">
        <v>43235</v>
      </c>
      <c r="P949" s="106" t="s">
        <v>3040</v>
      </c>
      <c r="Q949" s="107" t="s">
        <v>877</v>
      </c>
      <c r="R949" s="267">
        <v>0.96499999999999997</v>
      </c>
      <c r="S949" s="37">
        <v>0</v>
      </c>
      <c r="T949" s="36" t="str">
        <f t="shared" ca="1" si="80"/>
        <v>Empty</v>
      </c>
      <c r="U949" s="37" t="s">
        <v>3054</v>
      </c>
      <c r="V949" s="392" t="s">
        <v>3044</v>
      </c>
      <c r="W949" s="38"/>
      <c r="X949" s="39"/>
      <c r="Y949" s="150"/>
      <c r="Z949" s="40"/>
      <c r="AA949" s="136" t="str">
        <f t="shared" ca="1" si="81"/>
        <v/>
      </c>
      <c r="AB949" s="40"/>
      <c r="AC949" s="116"/>
      <c r="AD949" s="116"/>
      <c r="AE949" s="40"/>
      <c r="AF949" s="136" t="str">
        <f t="shared" ca="1" si="82"/>
        <v/>
      </c>
      <c r="AG949" s="127"/>
      <c r="AH949" s="127"/>
      <c r="AI949" s="127"/>
      <c r="AJ949" s="128"/>
      <c r="AK949" s="128"/>
      <c r="AL949" s="129"/>
    </row>
    <row r="950" spans="1:38" ht="23.25" x14ac:dyDescent="0.25">
      <c r="A950" s="489" t="str">
        <f t="shared" si="79"/>
        <v>18SAM087</v>
      </c>
      <c r="B950" s="490">
        <v>87</v>
      </c>
      <c r="C950" s="489" t="s">
        <v>57</v>
      </c>
      <c r="D950" s="491" t="s">
        <v>40</v>
      </c>
      <c r="E950" s="124" t="s">
        <v>3037</v>
      </c>
      <c r="F950" s="124" t="s">
        <v>3042</v>
      </c>
      <c r="G950" s="251" t="s">
        <v>3041</v>
      </c>
      <c r="H950" s="443" t="s">
        <v>112</v>
      </c>
      <c r="I950" s="126" t="s">
        <v>875</v>
      </c>
      <c r="J950" s="47" t="s">
        <v>105</v>
      </c>
      <c r="K950" s="126">
        <v>2899.36</v>
      </c>
      <c r="L950" s="126">
        <v>1456</v>
      </c>
      <c r="M950" s="104" t="s">
        <v>3043</v>
      </c>
      <c r="N950" s="265">
        <v>43187</v>
      </c>
      <c r="O950" s="260">
        <v>43188</v>
      </c>
      <c r="P950" s="106" t="s">
        <v>3040</v>
      </c>
      <c r="Q950" s="107" t="s">
        <v>877</v>
      </c>
      <c r="R950" s="267">
        <v>0.93100000000000005</v>
      </c>
      <c r="S950" s="37">
        <v>0</v>
      </c>
      <c r="T950" s="36" t="str">
        <f t="shared" ca="1" si="80"/>
        <v>Empty</v>
      </c>
      <c r="U950" s="37" t="s">
        <v>3054</v>
      </c>
      <c r="V950" s="497" t="s">
        <v>3045</v>
      </c>
      <c r="W950" s="38"/>
      <c r="X950" s="39"/>
      <c r="Y950" s="150"/>
      <c r="Z950" s="40"/>
      <c r="AA950" s="136" t="str">
        <f t="shared" ca="1" si="81"/>
        <v/>
      </c>
      <c r="AB950" s="40"/>
      <c r="AC950" s="116"/>
      <c r="AD950" s="116"/>
      <c r="AE950" s="40"/>
      <c r="AF950" s="136" t="str">
        <f t="shared" ca="1" si="82"/>
        <v/>
      </c>
      <c r="AG950" s="127"/>
      <c r="AH950" s="127"/>
      <c r="AI950" s="127"/>
      <c r="AJ950" s="128"/>
      <c r="AK950" s="128"/>
      <c r="AL950" s="129"/>
    </row>
    <row r="951" spans="1:38" ht="23.25" x14ac:dyDescent="0.25">
      <c r="A951" s="489" t="str">
        <f t="shared" si="79"/>
        <v>18SAM088</v>
      </c>
      <c r="B951" s="490">
        <v>88</v>
      </c>
      <c r="C951" s="489" t="s">
        <v>57</v>
      </c>
      <c r="D951" s="491" t="s">
        <v>40</v>
      </c>
      <c r="E951" s="124" t="s">
        <v>3037</v>
      </c>
      <c r="F951" s="124" t="s">
        <v>3042</v>
      </c>
      <c r="G951" s="251" t="s">
        <v>3041</v>
      </c>
      <c r="H951" s="443" t="s">
        <v>112</v>
      </c>
      <c r="I951" s="126" t="s">
        <v>875</v>
      </c>
      <c r="J951" s="47" t="s">
        <v>105</v>
      </c>
      <c r="K951" s="126">
        <v>2899.36</v>
      </c>
      <c r="L951" s="126">
        <v>1456</v>
      </c>
      <c r="M951" s="104" t="s">
        <v>3043</v>
      </c>
      <c r="N951" s="265">
        <v>43187</v>
      </c>
      <c r="O951" s="260">
        <v>43188</v>
      </c>
      <c r="P951" s="106" t="s">
        <v>3040</v>
      </c>
      <c r="Q951" s="107" t="s">
        <v>877</v>
      </c>
      <c r="R951" s="267">
        <v>0.96099999999999997</v>
      </c>
      <c r="S951" s="37">
        <v>0</v>
      </c>
      <c r="T951" s="36" t="str">
        <f t="shared" ca="1" si="80"/>
        <v>Empty</v>
      </c>
      <c r="U951" s="37" t="s">
        <v>3054</v>
      </c>
      <c r="V951" s="497" t="s">
        <v>3045</v>
      </c>
      <c r="W951" s="38"/>
      <c r="X951" s="39"/>
      <c r="Y951" s="150"/>
      <c r="Z951" s="40"/>
      <c r="AA951" s="136" t="str">
        <f t="shared" ca="1" si="81"/>
        <v/>
      </c>
      <c r="AB951" s="40"/>
      <c r="AC951" s="116"/>
      <c r="AD951" s="116"/>
      <c r="AE951" s="40"/>
      <c r="AF951" s="136" t="str">
        <f t="shared" ca="1" si="82"/>
        <v/>
      </c>
      <c r="AG951" s="127"/>
      <c r="AH951" s="127"/>
      <c r="AI951" s="127"/>
      <c r="AJ951" s="128"/>
      <c r="AK951" s="128"/>
      <c r="AL951" s="129"/>
    </row>
    <row r="952" spans="1:38" ht="23.25" x14ac:dyDescent="0.25">
      <c r="A952" s="489" t="str">
        <f t="shared" si="79"/>
        <v>18SAM089</v>
      </c>
      <c r="B952" s="490">
        <v>89</v>
      </c>
      <c r="C952" s="489" t="s">
        <v>57</v>
      </c>
      <c r="D952" s="491" t="s">
        <v>40</v>
      </c>
      <c r="E952" s="124" t="s">
        <v>3046</v>
      </c>
      <c r="F952" s="124" t="s">
        <v>3047</v>
      </c>
      <c r="G952" s="251"/>
      <c r="H952" s="443" t="s">
        <v>60</v>
      </c>
      <c r="I952" s="126" t="s">
        <v>61</v>
      </c>
      <c r="J952" s="443" t="s">
        <v>45</v>
      </c>
      <c r="K952" s="126">
        <v>424.45</v>
      </c>
      <c r="L952" s="126" t="s">
        <v>61</v>
      </c>
      <c r="M952" s="104" t="s">
        <v>61</v>
      </c>
      <c r="N952" s="265">
        <v>43187</v>
      </c>
      <c r="O952" s="260">
        <v>43193</v>
      </c>
      <c r="P952" s="106" t="s">
        <v>1331</v>
      </c>
      <c r="Q952" s="107" t="s">
        <v>1056</v>
      </c>
      <c r="R952" s="266">
        <v>1</v>
      </c>
      <c r="S952" s="37">
        <v>0</v>
      </c>
      <c r="T952" s="36" t="str">
        <f t="shared" ca="1" si="80"/>
        <v>Empty</v>
      </c>
      <c r="U952" s="37" t="s">
        <v>3090</v>
      </c>
      <c r="V952" s="37"/>
      <c r="W952" s="38"/>
      <c r="X952" s="39"/>
      <c r="Y952" s="150"/>
      <c r="Z952" s="40"/>
      <c r="AA952" s="136" t="str">
        <f t="shared" ca="1" si="81"/>
        <v/>
      </c>
      <c r="AB952" s="40"/>
      <c r="AC952" s="116"/>
      <c r="AD952" s="116"/>
      <c r="AE952" s="40"/>
      <c r="AF952" s="136" t="str">
        <f t="shared" ca="1" si="82"/>
        <v/>
      </c>
      <c r="AG952" s="127"/>
      <c r="AH952" s="127"/>
      <c r="AI952" s="127"/>
      <c r="AJ952" s="128"/>
      <c r="AK952" s="128"/>
      <c r="AL952" s="129"/>
    </row>
    <row r="953" spans="1:38" ht="23.25" x14ac:dyDescent="0.25">
      <c r="A953" s="489" t="str">
        <f t="shared" si="79"/>
        <v>18SAM090</v>
      </c>
      <c r="B953" s="490">
        <v>90</v>
      </c>
      <c r="C953" s="489" t="s">
        <v>57</v>
      </c>
      <c r="D953" s="491" t="s">
        <v>40</v>
      </c>
      <c r="E953" s="124" t="s">
        <v>3046</v>
      </c>
      <c r="F953" s="124" t="s">
        <v>3048</v>
      </c>
      <c r="G953" s="251"/>
      <c r="H953" s="443" t="s">
        <v>60</v>
      </c>
      <c r="I953" s="126" t="s">
        <v>61</v>
      </c>
      <c r="J953" s="443" t="s">
        <v>45</v>
      </c>
      <c r="K953" s="126">
        <v>410.47</v>
      </c>
      <c r="L953" s="126" t="s">
        <v>61</v>
      </c>
      <c r="M953" s="104" t="s">
        <v>61</v>
      </c>
      <c r="N953" s="265">
        <v>43187</v>
      </c>
      <c r="O953" s="260">
        <v>43193</v>
      </c>
      <c r="P953" s="106" t="s">
        <v>3049</v>
      </c>
      <c r="Q953" s="107" t="s">
        <v>1056</v>
      </c>
      <c r="R953" s="266">
        <v>1</v>
      </c>
      <c r="S953" s="37">
        <v>0</v>
      </c>
      <c r="T953" s="36" t="str">
        <f t="shared" ca="1" si="80"/>
        <v>Empty</v>
      </c>
      <c r="U953" s="37" t="s">
        <v>3090</v>
      </c>
      <c r="V953" s="37"/>
      <c r="W953" s="38"/>
      <c r="X953" s="39"/>
      <c r="Y953" s="150"/>
      <c r="Z953" s="40"/>
      <c r="AA953" s="136" t="str">
        <f t="shared" ca="1" si="81"/>
        <v/>
      </c>
      <c r="AB953" s="40"/>
      <c r="AC953" s="116"/>
      <c r="AD953" s="116"/>
      <c r="AE953" s="40"/>
      <c r="AF953" s="136" t="str">
        <f t="shared" ca="1" si="82"/>
        <v/>
      </c>
      <c r="AG953" s="127"/>
      <c r="AH953" s="127"/>
      <c r="AI953" s="127"/>
      <c r="AJ953" s="128"/>
      <c r="AK953" s="128"/>
      <c r="AL953" s="129"/>
    </row>
    <row r="954" spans="1:38" ht="23.25" x14ac:dyDescent="0.25">
      <c r="A954" s="489" t="str">
        <f t="shared" si="79"/>
        <v>18SAM091</v>
      </c>
      <c r="B954" s="490">
        <v>91</v>
      </c>
      <c r="C954" s="489" t="s">
        <v>57</v>
      </c>
      <c r="D954" s="491" t="s">
        <v>40</v>
      </c>
      <c r="E954" s="124" t="s">
        <v>3037</v>
      </c>
      <c r="F954" s="124" t="s">
        <v>3042</v>
      </c>
      <c r="G954" s="251" t="s">
        <v>3041</v>
      </c>
      <c r="H954" s="443" t="s">
        <v>60</v>
      </c>
      <c r="I954" s="126" t="s">
        <v>3050</v>
      </c>
      <c r="J954" s="47" t="s">
        <v>105</v>
      </c>
      <c r="K954" s="126">
        <v>2899.36</v>
      </c>
      <c r="L954" s="126">
        <v>1456</v>
      </c>
      <c r="M954" s="104" t="s">
        <v>3043</v>
      </c>
      <c r="N954" s="265">
        <v>43188</v>
      </c>
      <c r="O954" s="260"/>
      <c r="P954" s="106" t="s">
        <v>3040</v>
      </c>
      <c r="Q954" s="107" t="s">
        <v>877</v>
      </c>
      <c r="R954" s="267">
        <v>0.96799999999999997</v>
      </c>
      <c r="S954" s="37"/>
      <c r="T954" s="36" t="str">
        <f t="shared" ca="1" si="80"/>
        <v/>
      </c>
      <c r="U954" s="37" t="s">
        <v>3054</v>
      </c>
      <c r="V954" s="37"/>
      <c r="W954" s="38"/>
      <c r="X954" s="39"/>
      <c r="Y954" s="150"/>
      <c r="Z954" s="40"/>
      <c r="AA954" s="136" t="str">
        <f t="shared" ca="1" si="81"/>
        <v/>
      </c>
      <c r="AB954" s="40"/>
      <c r="AC954" s="116"/>
      <c r="AD954" s="116"/>
      <c r="AE954" s="40"/>
      <c r="AF954" s="136" t="str">
        <f t="shared" ca="1" si="82"/>
        <v/>
      </c>
      <c r="AG954" s="127"/>
      <c r="AH954" s="127"/>
      <c r="AI954" s="127"/>
      <c r="AJ954" s="128"/>
      <c r="AK954" s="128"/>
      <c r="AL954" s="129"/>
    </row>
    <row r="955" spans="1:38" ht="23.25" x14ac:dyDescent="0.25">
      <c r="A955" s="489" t="str">
        <f t="shared" si="79"/>
        <v>18SAM092</v>
      </c>
      <c r="B955" s="490">
        <v>92</v>
      </c>
      <c r="C955" s="489" t="s">
        <v>57</v>
      </c>
      <c r="D955" s="491" t="s">
        <v>40</v>
      </c>
      <c r="E955" s="124" t="s">
        <v>2381</v>
      </c>
      <c r="F955" s="124" t="s">
        <v>3063</v>
      </c>
      <c r="G955" s="251" t="s">
        <v>61</v>
      </c>
      <c r="H955" s="443" t="s">
        <v>60</v>
      </c>
      <c r="I955" s="126" t="s">
        <v>61</v>
      </c>
      <c r="J955" s="443" t="s">
        <v>45</v>
      </c>
      <c r="K955" s="126">
        <v>322.87700000000001</v>
      </c>
      <c r="L955" s="126" t="s">
        <v>61</v>
      </c>
      <c r="M955" s="104" t="s">
        <v>61</v>
      </c>
      <c r="N955" s="265">
        <v>43196</v>
      </c>
      <c r="O955" s="260">
        <v>43199</v>
      </c>
      <c r="P955" s="106" t="s">
        <v>3064</v>
      </c>
      <c r="Q955" s="107" t="s">
        <v>125</v>
      </c>
      <c r="R955" s="266">
        <v>1</v>
      </c>
      <c r="S955" s="37">
        <f>30.21-5.42</f>
        <v>24.79</v>
      </c>
      <c r="T955" s="36">
        <f t="shared" ca="1" si="80"/>
        <v>175</v>
      </c>
      <c r="U955" s="37" t="s">
        <v>3072</v>
      </c>
      <c r="V955" s="37"/>
      <c r="W955" s="38"/>
      <c r="X955" s="39"/>
      <c r="Y955" s="150"/>
      <c r="Z955" s="40"/>
      <c r="AA955" s="136" t="str">
        <f t="shared" ca="1" si="81"/>
        <v/>
      </c>
      <c r="AB955" s="40"/>
      <c r="AC955" s="116"/>
      <c r="AD955" s="116"/>
      <c r="AE955" s="40"/>
      <c r="AF955" s="136" t="str">
        <f t="shared" ca="1" si="82"/>
        <v/>
      </c>
      <c r="AG955" s="127"/>
      <c r="AH955" s="127"/>
      <c r="AI955" s="127"/>
      <c r="AJ955" s="128"/>
      <c r="AK955" s="128"/>
      <c r="AL955" s="129"/>
    </row>
    <row r="956" spans="1:38" ht="23.25" x14ac:dyDescent="0.25">
      <c r="A956" s="489" t="str">
        <f t="shared" si="79"/>
        <v>18SAM093</v>
      </c>
      <c r="B956" s="490">
        <v>93</v>
      </c>
      <c r="C956" s="489" t="s">
        <v>57</v>
      </c>
      <c r="D956" s="491" t="s">
        <v>40</v>
      </c>
      <c r="E956" s="124" t="s">
        <v>2381</v>
      </c>
      <c r="F956" s="124" t="s">
        <v>3067</v>
      </c>
      <c r="G956" s="251" t="s">
        <v>61</v>
      </c>
      <c r="H956" s="443" t="s">
        <v>60</v>
      </c>
      <c r="I956" s="126" t="s">
        <v>61</v>
      </c>
      <c r="J956" s="443" t="s">
        <v>45</v>
      </c>
      <c r="K956" s="126">
        <v>409.96</v>
      </c>
      <c r="L956" s="126" t="s">
        <v>61</v>
      </c>
      <c r="M956" s="104" t="s">
        <v>61</v>
      </c>
      <c r="N956" s="265">
        <v>43196</v>
      </c>
      <c r="O956" s="260">
        <v>43199</v>
      </c>
      <c r="P956" s="106" t="s">
        <v>3065</v>
      </c>
      <c r="Q956" s="107" t="s">
        <v>125</v>
      </c>
      <c r="R956" s="266">
        <v>1</v>
      </c>
      <c r="S956" s="37">
        <f>30.17-6.33</f>
        <v>23.840000000000003</v>
      </c>
      <c r="T956" s="36">
        <f t="shared" ca="1" si="80"/>
        <v>175</v>
      </c>
      <c r="U956" s="37" t="s">
        <v>3072</v>
      </c>
      <c r="V956" s="37"/>
      <c r="W956" s="38"/>
      <c r="X956" s="39"/>
      <c r="Y956" s="150"/>
      <c r="Z956" s="40"/>
      <c r="AA956" s="136" t="str">
        <f t="shared" ca="1" si="81"/>
        <v/>
      </c>
      <c r="AB956" s="40"/>
      <c r="AC956" s="116"/>
      <c r="AD956" s="116"/>
      <c r="AE956" s="40"/>
      <c r="AF956" s="136" t="str">
        <f t="shared" ca="1" si="82"/>
        <v/>
      </c>
      <c r="AG956" s="127"/>
      <c r="AH956" s="127"/>
      <c r="AI956" s="127"/>
      <c r="AJ956" s="128"/>
      <c r="AK956" s="128"/>
      <c r="AL956" s="129"/>
    </row>
    <row r="957" spans="1:38" ht="23.25" x14ac:dyDescent="0.25">
      <c r="A957" s="489" t="str">
        <f t="shared" si="79"/>
        <v>18SAM094</v>
      </c>
      <c r="B957" s="490">
        <v>94</v>
      </c>
      <c r="C957" s="489" t="s">
        <v>57</v>
      </c>
      <c r="D957" s="491" t="s">
        <v>40</v>
      </c>
      <c r="E957" s="124" t="s">
        <v>2381</v>
      </c>
      <c r="F957" s="124" t="s">
        <v>3066</v>
      </c>
      <c r="G957" s="251" t="s">
        <v>61</v>
      </c>
      <c r="H957" s="443" t="s">
        <v>60</v>
      </c>
      <c r="I957" s="126" t="s">
        <v>61</v>
      </c>
      <c r="J957" s="443" t="s">
        <v>45</v>
      </c>
      <c r="K957" s="126">
        <v>366.26</v>
      </c>
      <c r="L957" s="126" t="s">
        <v>61</v>
      </c>
      <c r="M957" s="104" t="s">
        <v>61</v>
      </c>
      <c r="N957" s="265">
        <v>43196</v>
      </c>
      <c r="O957" s="260">
        <v>43199</v>
      </c>
      <c r="P957" s="106" t="s">
        <v>3068</v>
      </c>
      <c r="Q957" s="107" t="s">
        <v>125</v>
      </c>
      <c r="R957" s="266">
        <v>1</v>
      </c>
      <c r="S957" s="37">
        <f>30.14-5.49</f>
        <v>24.65</v>
      </c>
      <c r="T957" s="36">
        <f t="shared" ca="1" si="80"/>
        <v>175</v>
      </c>
      <c r="U957" s="37" t="s">
        <v>3072</v>
      </c>
      <c r="V957" s="37"/>
      <c r="W957" s="38"/>
      <c r="X957" s="39"/>
      <c r="Y957" s="150"/>
      <c r="Z957" s="40"/>
      <c r="AA957" s="136" t="str">
        <f t="shared" ca="1" si="81"/>
        <v/>
      </c>
      <c r="AB957" s="40"/>
      <c r="AC957" s="116"/>
      <c r="AD957" s="116"/>
      <c r="AE957" s="40"/>
      <c r="AF957" s="136" t="str">
        <f t="shared" ca="1" si="82"/>
        <v/>
      </c>
      <c r="AG957" s="127"/>
      <c r="AH957" s="127"/>
      <c r="AI957" s="127"/>
      <c r="AJ957" s="128"/>
      <c r="AK957" s="128"/>
      <c r="AL957" s="129"/>
    </row>
    <row r="958" spans="1:38" ht="23.25" x14ac:dyDescent="0.25">
      <c r="A958" s="489" t="str">
        <f t="shared" si="79"/>
        <v>18SAM095</v>
      </c>
      <c r="B958" s="490">
        <v>95</v>
      </c>
      <c r="C958" s="489" t="s">
        <v>57</v>
      </c>
      <c r="D958" s="491" t="s">
        <v>40</v>
      </c>
      <c r="E958" s="124" t="s">
        <v>2381</v>
      </c>
      <c r="F958" s="124" t="s">
        <v>3069</v>
      </c>
      <c r="G958" s="251" t="s">
        <v>61</v>
      </c>
      <c r="H958" s="443" t="s">
        <v>60</v>
      </c>
      <c r="I958" s="126" t="s">
        <v>61</v>
      </c>
      <c r="J958" s="443" t="s">
        <v>45</v>
      </c>
      <c r="K958" s="126">
        <v>348.27</v>
      </c>
      <c r="L958" s="126" t="s">
        <v>61</v>
      </c>
      <c r="M958" s="104" t="s">
        <v>61</v>
      </c>
      <c r="N958" s="265">
        <v>43196</v>
      </c>
      <c r="O958" s="260">
        <v>43199</v>
      </c>
      <c r="P958" s="106" t="s">
        <v>3070</v>
      </c>
      <c r="Q958" s="107" t="s">
        <v>125</v>
      </c>
      <c r="R958" s="266">
        <v>1</v>
      </c>
      <c r="S958" s="37">
        <f>30.08-8.26-2.51</f>
        <v>19.310000000000002</v>
      </c>
      <c r="T958" s="36">
        <f t="shared" ca="1" si="80"/>
        <v>175</v>
      </c>
      <c r="U958" s="37" t="s">
        <v>3072</v>
      </c>
      <c r="V958" s="37"/>
      <c r="W958" s="38"/>
      <c r="X958" s="39"/>
      <c r="Y958" s="150"/>
      <c r="Z958" s="40"/>
      <c r="AA958" s="136" t="str">
        <f t="shared" ca="1" si="81"/>
        <v/>
      </c>
      <c r="AB958" s="40"/>
      <c r="AC958" s="116"/>
      <c r="AD958" s="116"/>
      <c r="AE958" s="40"/>
      <c r="AF958" s="136" t="str">
        <f t="shared" ca="1" si="82"/>
        <v/>
      </c>
      <c r="AG958" s="127"/>
      <c r="AH958" s="127"/>
      <c r="AI958" s="127"/>
      <c r="AJ958" s="128"/>
      <c r="AK958" s="128"/>
      <c r="AL958" s="129"/>
    </row>
    <row r="959" spans="1:38" ht="23.25" x14ac:dyDescent="0.25">
      <c r="A959" s="489" t="str">
        <f t="shared" si="79"/>
        <v>18SAM096</v>
      </c>
      <c r="B959" s="490">
        <v>96</v>
      </c>
      <c r="C959" s="489" t="s">
        <v>57</v>
      </c>
      <c r="D959" s="491" t="s">
        <v>170</v>
      </c>
      <c r="E959" s="124" t="s">
        <v>289</v>
      </c>
      <c r="F959" s="124" t="s">
        <v>3083</v>
      </c>
      <c r="G959" s="251" t="s">
        <v>3084</v>
      </c>
      <c r="H959" s="443" t="s">
        <v>60</v>
      </c>
      <c r="I959" s="126"/>
      <c r="J959" s="443" t="s">
        <v>45</v>
      </c>
      <c r="K959" s="126">
        <v>393.50200000000001</v>
      </c>
      <c r="L959" s="126"/>
      <c r="M959" s="104"/>
      <c r="N959" s="265">
        <v>43200</v>
      </c>
      <c r="O959" s="260">
        <v>43231</v>
      </c>
      <c r="P959" s="106" t="s">
        <v>3085</v>
      </c>
      <c r="Q959" s="107" t="s">
        <v>212</v>
      </c>
      <c r="R959" s="244" t="s">
        <v>60</v>
      </c>
      <c r="S959" s="37">
        <v>0</v>
      </c>
      <c r="T959" s="36" t="str">
        <f t="shared" ca="1" si="80"/>
        <v>Empty</v>
      </c>
      <c r="U959" s="37" t="s">
        <v>3030</v>
      </c>
      <c r="V959" s="37"/>
      <c r="W959" s="38"/>
      <c r="X959" s="39"/>
      <c r="Y959" s="150"/>
      <c r="Z959" s="40"/>
      <c r="AA959" s="136" t="str">
        <f t="shared" ca="1" si="81"/>
        <v/>
      </c>
      <c r="AB959" s="40"/>
      <c r="AC959" s="116"/>
      <c r="AD959" s="116"/>
      <c r="AE959" s="40"/>
      <c r="AF959" s="136" t="str">
        <f t="shared" ca="1" si="82"/>
        <v/>
      </c>
      <c r="AG959" s="127"/>
      <c r="AH959" s="127"/>
      <c r="AI959" s="127"/>
      <c r="AJ959" s="128"/>
      <c r="AK959" s="128"/>
      <c r="AL959" s="129"/>
    </row>
    <row r="960" spans="1:38" ht="23.25" x14ac:dyDescent="0.25">
      <c r="A960" s="489" t="str">
        <f t="shared" si="79"/>
        <v>18SAM097</v>
      </c>
      <c r="B960" s="490">
        <v>97</v>
      </c>
      <c r="C960" s="489" t="s">
        <v>57</v>
      </c>
      <c r="D960" s="491" t="s">
        <v>170</v>
      </c>
      <c r="E960" s="124" t="s">
        <v>289</v>
      </c>
      <c r="F960" s="124" t="s">
        <v>3086</v>
      </c>
      <c r="G960" s="251" t="s">
        <v>3087</v>
      </c>
      <c r="H960" s="443" t="s">
        <v>60</v>
      </c>
      <c r="I960" s="126" t="s">
        <v>3088</v>
      </c>
      <c r="J960" s="443" t="s">
        <v>45</v>
      </c>
      <c r="K960" s="126">
        <v>383.42599999999999</v>
      </c>
      <c r="L960" s="126" t="s">
        <v>61</v>
      </c>
      <c r="M960" s="104" t="s">
        <v>61</v>
      </c>
      <c r="N960" s="265">
        <v>43200</v>
      </c>
      <c r="O960" s="260">
        <v>43238</v>
      </c>
      <c r="P960" s="106" t="s">
        <v>3089</v>
      </c>
      <c r="Q960" s="107" t="s">
        <v>212</v>
      </c>
      <c r="R960" s="244" t="s">
        <v>60</v>
      </c>
      <c r="S960" s="37">
        <v>0</v>
      </c>
      <c r="T960" s="36" t="str">
        <f t="shared" ca="1" si="80"/>
        <v>Empty</v>
      </c>
      <c r="U960" s="37" t="s">
        <v>3030</v>
      </c>
      <c r="V960" s="37"/>
      <c r="W960" s="38"/>
      <c r="X960" s="39"/>
      <c r="Y960" s="150"/>
      <c r="Z960" s="40"/>
      <c r="AA960" s="136" t="str">
        <f t="shared" ca="1" si="81"/>
        <v/>
      </c>
      <c r="AB960" s="40"/>
      <c r="AC960" s="116"/>
      <c r="AD960" s="116"/>
      <c r="AE960" s="40"/>
      <c r="AF960" s="136" t="str">
        <f t="shared" ca="1" si="82"/>
        <v/>
      </c>
      <c r="AG960" s="127"/>
      <c r="AH960" s="127"/>
      <c r="AI960" s="127"/>
      <c r="AJ960" s="128"/>
      <c r="AK960" s="128"/>
      <c r="AL960" s="129"/>
    </row>
    <row r="961" spans="1:38" ht="30" x14ac:dyDescent="0.25">
      <c r="A961" s="489" t="str">
        <f t="shared" si="79"/>
        <v>18SAM098</v>
      </c>
      <c r="B961" s="490">
        <v>98</v>
      </c>
      <c r="C961" s="489" t="s">
        <v>57</v>
      </c>
      <c r="D961" s="491" t="s">
        <v>170</v>
      </c>
      <c r="E961" s="124" t="s">
        <v>1701</v>
      </c>
      <c r="F961" s="124" t="s">
        <v>2612</v>
      </c>
      <c r="G961" s="251" t="s">
        <v>3101</v>
      </c>
      <c r="H961" s="443" t="s">
        <v>60</v>
      </c>
      <c r="I961" s="126" t="s">
        <v>3100</v>
      </c>
      <c r="J961" s="443" t="s">
        <v>45</v>
      </c>
      <c r="K961" s="126">
        <v>353.83</v>
      </c>
      <c r="L961" s="126" t="s">
        <v>61</v>
      </c>
      <c r="M961" s="104" t="s">
        <v>61</v>
      </c>
      <c r="N961" s="265">
        <v>43203</v>
      </c>
      <c r="O961" s="260">
        <v>43206</v>
      </c>
      <c r="P961" s="106" t="s">
        <v>409</v>
      </c>
      <c r="Q961" s="107" t="s">
        <v>1056</v>
      </c>
      <c r="R961" s="266" t="s">
        <v>60</v>
      </c>
      <c r="S961" s="37">
        <f>20-1.51-1.21</f>
        <v>17.279999999999998</v>
      </c>
      <c r="T961" s="36">
        <f t="shared" ca="1" si="80"/>
        <v>168</v>
      </c>
      <c r="U961" s="37" t="s">
        <v>3102</v>
      </c>
      <c r="V961" s="37" t="s">
        <v>3103</v>
      </c>
      <c r="W961" s="38"/>
      <c r="X961" s="39"/>
      <c r="Y961" s="150"/>
      <c r="Z961" s="40"/>
      <c r="AA961" s="136" t="str">
        <f t="shared" ca="1" si="81"/>
        <v/>
      </c>
      <c r="AB961" s="40"/>
      <c r="AC961" s="116"/>
      <c r="AD961" s="116"/>
      <c r="AE961" s="40"/>
      <c r="AF961" s="136" t="str">
        <f t="shared" ca="1" si="82"/>
        <v/>
      </c>
      <c r="AG961" s="127"/>
      <c r="AH961" s="127"/>
      <c r="AI961" s="127"/>
      <c r="AJ961" s="128"/>
      <c r="AK961" s="128"/>
      <c r="AL961" s="129"/>
    </row>
    <row r="962" spans="1:38" ht="30" x14ac:dyDescent="0.25">
      <c r="A962" s="489" t="str">
        <f t="shared" si="79"/>
        <v>18SAM099</v>
      </c>
      <c r="B962" s="490">
        <v>99</v>
      </c>
      <c r="C962" s="489" t="s">
        <v>57</v>
      </c>
      <c r="D962" s="491" t="s">
        <v>170</v>
      </c>
      <c r="E962" s="124" t="s">
        <v>1701</v>
      </c>
      <c r="F962" s="124" t="s">
        <v>3116</v>
      </c>
      <c r="G962" s="251"/>
      <c r="H962" s="443" t="s">
        <v>60</v>
      </c>
      <c r="I962" s="126" t="s">
        <v>3120</v>
      </c>
      <c r="J962" s="47" t="s">
        <v>45</v>
      </c>
      <c r="K962" s="126">
        <v>430.59</v>
      </c>
      <c r="L962" s="126"/>
      <c r="M962" s="104"/>
      <c r="N962" s="265">
        <v>43209</v>
      </c>
      <c r="O962" s="260">
        <v>43220</v>
      </c>
      <c r="P962" s="106" t="s">
        <v>3121</v>
      </c>
      <c r="Q962" s="107" t="s">
        <v>3170</v>
      </c>
      <c r="R962" s="266" t="s">
        <v>60</v>
      </c>
      <c r="S962" s="37">
        <v>0</v>
      </c>
      <c r="T962" s="36" t="str">
        <f t="shared" ca="1" si="80"/>
        <v>Empty</v>
      </c>
      <c r="U962" s="37" t="s">
        <v>3111</v>
      </c>
      <c r="V962" s="37" t="s">
        <v>3103</v>
      </c>
      <c r="W962" s="38"/>
      <c r="X962" s="39"/>
      <c r="Y962" s="150"/>
      <c r="Z962" s="40"/>
      <c r="AA962" s="136" t="str">
        <f t="shared" ca="1" si="81"/>
        <v/>
      </c>
      <c r="AB962" s="40"/>
      <c r="AC962" s="116"/>
      <c r="AD962" s="116"/>
      <c r="AE962" s="40"/>
      <c r="AF962" s="136" t="str">
        <f t="shared" ca="1" si="82"/>
        <v/>
      </c>
      <c r="AG962" s="127"/>
      <c r="AH962" s="127"/>
      <c r="AI962" s="127"/>
      <c r="AJ962" s="128"/>
      <c r="AK962" s="128"/>
      <c r="AL962" s="129"/>
    </row>
    <row r="963" spans="1:38" ht="30" x14ac:dyDescent="0.25">
      <c r="A963" s="489" t="str">
        <f>IF(C963="","",CONCATENATE(18,MID(C963,1,3),IF(B963&lt;10,"00",),B963))</f>
        <v>18SAM100</v>
      </c>
      <c r="B963" s="490">
        <v>100</v>
      </c>
      <c r="C963" s="489" t="s">
        <v>57</v>
      </c>
      <c r="D963" s="491" t="s">
        <v>170</v>
      </c>
      <c r="E963" s="124" t="s">
        <v>1701</v>
      </c>
      <c r="F963" s="124" t="s">
        <v>3117</v>
      </c>
      <c r="G963" s="251" t="s">
        <v>3118</v>
      </c>
      <c r="H963" s="443" t="s">
        <v>60</v>
      </c>
      <c r="I963" s="126" t="s">
        <v>3119</v>
      </c>
      <c r="J963" s="47" t="s">
        <v>45</v>
      </c>
      <c r="K963" s="126">
        <v>418.7</v>
      </c>
      <c r="L963" s="126"/>
      <c r="M963" s="104"/>
      <c r="N963" s="265">
        <v>43209</v>
      </c>
      <c r="O963" s="260">
        <v>43214</v>
      </c>
      <c r="P963" s="106" t="s">
        <v>86</v>
      </c>
      <c r="Q963" s="528" t="s">
        <v>3169</v>
      </c>
      <c r="R963" s="266" t="s">
        <v>60</v>
      </c>
      <c r="S963" s="37">
        <f>10-2.51-4.15</f>
        <v>3.34</v>
      </c>
      <c r="T963" s="36">
        <f t="shared" ca="1" si="80"/>
        <v>160</v>
      </c>
      <c r="U963" s="37" t="s">
        <v>3111</v>
      </c>
      <c r="V963" s="37" t="s">
        <v>3103</v>
      </c>
      <c r="W963" s="38"/>
      <c r="X963" s="39"/>
      <c r="Y963" s="150"/>
      <c r="Z963" s="40"/>
      <c r="AA963" s="136" t="str">
        <f t="shared" ca="1" si="81"/>
        <v/>
      </c>
      <c r="AB963" s="40"/>
      <c r="AC963" s="116"/>
      <c r="AD963" s="116"/>
      <c r="AE963" s="40"/>
      <c r="AF963" s="136" t="str">
        <f t="shared" ca="1" si="82"/>
        <v/>
      </c>
      <c r="AG963" s="127"/>
      <c r="AH963" s="127"/>
      <c r="AI963" s="127"/>
      <c r="AJ963" s="128"/>
      <c r="AK963" s="128"/>
      <c r="AL963" s="129"/>
    </row>
    <row r="964" spans="1:38" ht="23.25" x14ac:dyDescent="0.25">
      <c r="A964" s="486" t="str">
        <f t="shared" ref="A964:A1027" si="83">IF(C964="","",CONCATENATE(18,MID(C964,1,3),IF(B964&lt;10,"00",),B964))</f>
        <v>18REF101</v>
      </c>
      <c r="B964" s="487">
        <v>101</v>
      </c>
      <c r="C964" s="486" t="s">
        <v>39</v>
      </c>
      <c r="D964" s="488" t="s">
        <v>744</v>
      </c>
      <c r="E964" s="124" t="s">
        <v>701</v>
      </c>
      <c r="F964" s="124" t="s">
        <v>2596</v>
      </c>
      <c r="G964" s="251" t="s">
        <v>2599</v>
      </c>
      <c r="H964" s="443" t="s">
        <v>330</v>
      </c>
      <c r="I964" s="126" t="s">
        <v>2597</v>
      </c>
      <c r="J964" s="443" t="s">
        <v>180</v>
      </c>
      <c r="K964" s="126">
        <v>386.88</v>
      </c>
      <c r="L964" s="126" t="s">
        <v>2598</v>
      </c>
      <c r="M964" s="104" t="s">
        <v>2634</v>
      </c>
      <c r="N964" s="265">
        <v>43209</v>
      </c>
      <c r="O964" s="260">
        <v>43216</v>
      </c>
      <c r="P964" s="106" t="s">
        <v>183</v>
      </c>
      <c r="Q964" s="107" t="s">
        <v>498</v>
      </c>
      <c r="R964" s="266">
        <v>1</v>
      </c>
      <c r="S964" s="37">
        <v>0</v>
      </c>
      <c r="T964" s="36" t="str">
        <f t="shared" ca="1" si="80"/>
        <v>Empty</v>
      </c>
      <c r="U964" s="37" t="s">
        <v>2974</v>
      </c>
      <c r="V964" s="37"/>
      <c r="W964" s="38"/>
      <c r="X964" s="39"/>
      <c r="Y964" s="150"/>
      <c r="Z964" s="40"/>
      <c r="AA964" s="136" t="str">
        <f t="shared" ca="1" si="81"/>
        <v/>
      </c>
      <c r="AB964" s="40"/>
      <c r="AC964" s="116"/>
      <c r="AD964" s="116"/>
      <c r="AE964" s="40"/>
      <c r="AF964" s="136" t="str">
        <f t="shared" ca="1" si="82"/>
        <v/>
      </c>
      <c r="AG964" s="127"/>
      <c r="AH964" s="127"/>
      <c r="AI964" s="127"/>
      <c r="AJ964" s="128"/>
      <c r="AK964" s="128"/>
      <c r="AL964" s="129"/>
    </row>
    <row r="965" spans="1:38" ht="23.25" x14ac:dyDescent="0.25">
      <c r="A965" s="486" t="str">
        <f t="shared" si="83"/>
        <v>18REF102</v>
      </c>
      <c r="B965" s="487">
        <v>102</v>
      </c>
      <c r="C965" s="486" t="s">
        <v>39</v>
      </c>
      <c r="D965" s="488" t="s">
        <v>744</v>
      </c>
      <c r="E965" s="124" t="s">
        <v>701</v>
      </c>
      <c r="F965" s="124" t="s">
        <v>2596</v>
      </c>
      <c r="G965" s="251" t="s">
        <v>2599</v>
      </c>
      <c r="H965" s="443" t="s">
        <v>330</v>
      </c>
      <c r="I965" s="126" t="s">
        <v>2597</v>
      </c>
      <c r="J965" s="443" t="s">
        <v>180</v>
      </c>
      <c r="K965" s="126">
        <v>386.88</v>
      </c>
      <c r="L965" s="126" t="s">
        <v>2598</v>
      </c>
      <c r="M965" s="104" t="s">
        <v>2634</v>
      </c>
      <c r="N965" s="265">
        <v>43209</v>
      </c>
      <c r="O965" s="260">
        <v>43269</v>
      </c>
      <c r="P965" s="106" t="s">
        <v>183</v>
      </c>
      <c r="Q965" s="107" t="s">
        <v>498</v>
      </c>
      <c r="R965" s="266">
        <v>1</v>
      </c>
      <c r="S965" s="37">
        <f>50-11-4.57-4.75-2.92-19.94</f>
        <v>6.8199999999999967</v>
      </c>
      <c r="T965" s="36">
        <f t="shared" ca="1" si="80"/>
        <v>106</v>
      </c>
      <c r="U965" s="37" t="s">
        <v>2974</v>
      </c>
      <c r="V965" s="37"/>
      <c r="W965" s="38"/>
      <c r="X965" s="39"/>
      <c r="Y965" s="150"/>
      <c r="Z965" s="40"/>
      <c r="AA965" s="136" t="str">
        <f t="shared" ca="1" si="81"/>
        <v/>
      </c>
      <c r="AB965" s="40"/>
      <c r="AC965" s="116"/>
      <c r="AD965" s="116"/>
      <c r="AE965" s="40"/>
      <c r="AF965" s="136" t="str">
        <f t="shared" ca="1" si="82"/>
        <v/>
      </c>
      <c r="AG965" s="127"/>
      <c r="AH965" s="127"/>
      <c r="AI965" s="127"/>
      <c r="AJ965" s="128"/>
      <c r="AK965" s="128"/>
      <c r="AL965" s="129"/>
    </row>
    <row r="966" spans="1:38" ht="23.25" x14ac:dyDescent="0.25">
      <c r="A966" s="489" t="str">
        <f t="shared" si="83"/>
        <v>18SAM103</v>
      </c>
      <c r="B966" s="490">
        <v>103</v>
      </c>
      <c r="C966" s="489" t="s">
        <v>57</v>
      </c>
      <c r="D966" s="491" t="s">
        <v>824</v>
      </c>
      <c r="E966" s="124" t="s">
        <v>2960</v>
      </c>
      <c r="F966" s="124" t="s">
        <v>2964</v>
      </c>
      <c r="G966" s="251" t="s">
        <v>2968</v>
      </c>
      <c r="H966" s="443" t="s">
        <v>60</v>
      </c>
      <c r="I966" s="126" t="s">
        <v>61</v>
      </c>
      <c r="J966" s="47" t="s">
        <v>180</v>
      </c>
      <c r="K966" s="126">
        <v>236.27</v>
      </c>
      <c r="L966" s="126" t="s">
        <v>61</v>
      </c>
      <c r="M966" s="104" t="s">
        <v>61</v>
      </c>
      <c r="N966" s="265">
        <v>43220</v>
      </c>
      <c r="O966" s="260">
        <v>43224</v>
      </c>
      <c r="P966" s="106" t="s">
        <v>3134</v>
      </c>
      <c r="Q966" s="107"/>
      <c r="R966" s="244" t="s">
        <v>60</v>
      </c>
      <c r="S966" s="37">
        <v>0</v>
      </c>
      <c r="T966" s="36" t="str">
        <f t="shared" ca="1" si="80"/>
        <v>Empty</v>
      </c>
      <c r="U966" s="37" t="s">
        <v>2933</v>
      </c>
      <c r="V966" s="37"/>
      <c r="W966" s="38"/>
      <c r="X966" s="39"/>
      <c r="Y966" s="150"/>
      <c r="Z966" s="40"/>
      <c r="AA966" s="136" t="str">
        <f t="shared" ca="1" si="81"/>
        <v/>
      </c>
      <c r="AB966" s="40"/>
      <c r="AC966" s="116"/>
      <c r="AD966" s="116"/>
      <c r="AE966" s="40"/>
      <c r="AF966" s="136" t="str">
        <f t="shared" ca="1" si="82"/>
        <v/>
      </c>
      <c r="AG966" s="127"/>
      <c r="AH966" s="127"/>
      <c r="AI966" s="127"/>
      <c r="AJ966" s="128"/>
      <c r="AK966" s="128"/>
      <c r="AL966" s="129"/>
    </row>
    <row r="967" spans="1:38" ht="23.25" x14ac:dyDescent="0.25">
      <c r="A967" s="489" t="str">
        <f t="shared" si="83"/>
        <v>18SAM104</v>
      </c>
      <c r="B967" s="490">
        <v>104</v>
      </c>
      <c r="C967" s="489" t="s">
        <v>57</v>
      </c>
      <c r="D967" s="491" t="s">
        <v>824</v>
      </c>
      <c r="E967" s="124" t="s">
        <v>2960</v>
      </c>
      <c r="F967" s="124" t="s">
        <v>2963</v>
      </c>
      <c r="G967" s="251" t="s">
        <v>2967</v>
      </c>
      <c r="H967" s="443" t="s">
        <v>60</v>
      </c>
      <c r="I967" s="126" t="s">
        <v>61</v>
      </c>
      <c r="J967" s="47" t="s">
        <v>180</v>
      </c>
      <c r="K967" s="126">
        <v>350.82</v>
      </c>
      <c r="L967" s="126" t="s">
        <v>61</v>
      </c>
      <c r="M967" s="104" t="s">
        <v>61</v>
      </c>
      <c r="N967" s="265">
        <v>43220</v>
      </c>
      <c r="O967" s="260">
        <v>43249</v>
      </c>
      <c r="P967" s="106" t="s">
        <v>3135</v>
      </c>
      <c r="Q967" s="107"/>
      <c r="R967" s="244" t="s">
        <v>60</v>
      </c>
      <c r="S967" s="37">
        <f>21.74-8.91</f>
        <v>12.829999999999998</v>
      </c>
      <c r="T967" s="36">
        <f t="shared" ca="1" si="80"/>
        <v>125</v>
      </c>
      <c r="U967" s="37" t="s">
        <v>2933</v>
      </c>
      <c r="V967" s="37"/>
      <c r="W967" s="38"/>
      <c r="X967" s="39"/>
      <c r="Y967" s="150"/>
      <c r="Z967" s="40"/>
      <c r="AA967" s="136" t="str">
        <f t="shared" ca="1" si="81"/>
        <v/>
      </c>
      <c r="AB967" s="40"/>
      <c r="AC967" s="116"/>
      <c r="AD967" s="116"/>
      <c r="AE967" s="40"/>
      <c r="AF967" s="136" t="str">
        <f t="shared" ca="1" si="82"/>
        <v/>
      </c>
      <c r="AG967" s="127"/>
      <c r="AH967" s="127"/>
      <c r="AI967" s="127"/>
      <c r="AJ967" s="128"/>
      <c r="AK967" s="128"/>
      <c r="AL967" s="129"/>
    </row>
    <row r="968" spans="1:38" ht="23.25" x14ac:dyDescent="0.25">
      <c r="A968" s="489" t="str">
        <f t="shared" si="83"/>
        <v>18SAM105</v>
      </c>
      <c r="B968" s="490">
        <v>105</v>
      </c>
      <c r="C968" s="489" t="s">
        <v>57</v>
      </c>
      <c r="D968" s="491" t="s">
        <v>824</v>
      </c>
      <c r="E968" s="124" t="s">
        <v>2960</v>
      </c>
      <c r="F968" s="124" t="s">
        <v>2962</v>
      </c>
      <c r="G968" s="251" t="s">
        <v>2966</v>
      </c>
      <c r="H968" s="443" t="s">
        <v>60</v>
      </c>
      <c r="I968" s="126" t="s">
        <v>61</v>
      </c>
      <c r="J968" s="47" t="s">
        <v>180</v>
      </c>
      <c r="K968" s="126">
        <v>488.48</v>
      </c>
      <c r="L968" s="126" t="s">
        <v>61</v>
      </c>
      <c r="M968" s="104" t="s">
        <v>61</v>
      </c>
      <c r="N968" s="265">
        <v>43220</v>
      </c>
      <c r="O968" s="260">
        <v>43249</v>
      </c>
      <c r="P968" s="106" t="s">
        <v>3136</v>
      </c>
      <c r="Q968" s="107"/>
      <c r="R968" s="244" t="s">
        <v>60</v>
      </c>
      <c r="S968" s="37">
        <f>21.36-12.55</f>
        <v>8.8099999999999987</v>
      </c>
      <c r="T968" s="36">
        <f t="shared" ca="1" si="80"/>
        <v>125</v>
      </c>
      <c r="U968" s="37" t="s">
        <v>2933</v>
      </c>
      <c r="V968" s="37"/>
      <c r="W968" s="38"/>
      <c r="X968" s="39"/>
      <c r="Y968" s="150"/>
      <c r="Z968" s="40"/>
      <c r="AA968" s="136" t="str">
        <f t="shared" ca="1" si="81"/>
        <v/>
      </c>
      <c r="AB968" s="40"/>
      <c r="AC968" s="116"/>
      <c r="AD968" s="116"/>
      <c r="AE968" s="40"/>
      <c r="AF968" s="136" t="str">
        <f t="shared" ca="1" si="82"/>
        <v/>
      </c>
      <c r="AG968" s="127"/>
      <c r="AH968" s="127"/>
      <c r="AI968" s="127"/>
      <c r="AJ968" s="128"/>
      <c r="AK968" s="128"/>
      <c r="AL968" s="129"/>
    </row>
    <row r="969" spans="1:38" ht="23.25" x14ac:dyDescent="0.25">
      <c r="A969" s="489" t="str">
        <f t="shared" si="83"/>
        <v>18SAM106</v>
      </c>
      <c r="B969" s="490">
        <v>106</v>
      </c>
      <c r="C969" s="489" t="s">
        <v>57</v>
      </c>
      <c r="D969" s="491" t="s">
        <v>40</v>
      </c>
      <c r="E969" s="124" t="s">
        <v>3141</v>
      </c>
      <c r="F969" s="124" t="s">
        <v>2279</v>
      </c>
      <c r="G969" s="251"/>
      <c r="H969" s="443" t="s">
        <v>60</v>
      </c>
      <c r="I969" s="126" t="s">
        <v>3142</v>
      </c>
      <c r="J969" s="47" t="s">
        <v>105</v>
      </c>
      <c r="K969" s="126">
        <v>491.68299999999999</v>
      </c>
      <c r="L969" s="126" t="s">
        <v>61</v>
      </c>
      <c r="M969" s="104" t="s">
        <v>61</v>
      </c>
      <c r="N969" s="265">
        <v>43223</v>
      </c>
      <c r="O969" s="260">
        <v>43251</v>
      </c>
      <c r="P969" s="106" t="s">
        <v>3242</v>
      </c>
      <c r="Q969" s="107"/>
      <c r="R969" s="244" t="s">
        <v>60</v>
      </c>
      <c r="S969" s="37">
        <f>150-60-17.58</f>
        <v>72.42</v>
      </c>
      <c r="T969" s="36">
        <f t="shared" ca="1" si="80"/>
        <v>124</v>
      </c>
      <c r="U969" s="37" t="s">
        <v>3143</v>
      </c>
      <c r="V969" s="37"/>
      <c r="W969" s="38"/>
      <c r="X969" s="39"/>
      <c r="Y969" s="150"/>
      <c r="Z969" s="40"/>
      <c r="AA969" s="136" t="str">
        <f t="shared" ca="1" si="81"/>
        <v/>
      </c>
      <c r="AB969" s="40"/>
      <c r="AC969" s="116"/>
      <c r="AD969" s="116"/>
      <c r="AE969" s="40"/>
      <c r="AF969" s="136" t="str">
        <f t="shared" ca="1" si="82"/>
        <v/>
      </c>
      <c r="AG969" s="127"/>
      <c r="AH969" s="127"/>
      <c r="AI969" s="127"/>
      <c r="AJ969" s="128"/>
      <c r="AK969" s="128"/>
      <c r="AL969" s="129"/>
    </row>
    <row r="970" spans="1:38" ht="23.25" x14ac:dyDescent="0.25">
      <c r="A970" s="489" t="str">
        <f t="shared" si="83"/>
        <v>18SAM107</v>
      </c>
      <c r="B970" s="490">
        <v>107</v>
      </c>
      <c r="C970" s="489" t="s">
        <v>57</v>
      </c>
      <c r="D970" s="491" t="s">
        <v>40</v>
      </c>
      <c r="E970" s="124" t="s">
        <v>3037</v>
      </c>
      <c r="F970" s="124" t="s">
        <v>3038</v>
      </c>
      <c r="G970" s="251" t="s">
        <v>3041</v>
      </c>
      <c r="H970" s="443" t="s">
        <v>112</v>
      </c>
      <c r="I970" s="126" t="s">
        <v>2298</v>
      </c>
      <c r="J970" s="47" t="s">
        <v>105</v>
      </c>
      <c r="K970" s="126">
        <v>3561.12</v>
      </c>
      <c r="L970" s="126">
        <v>1455</v>
      </c>
      <c r="M970" s="104" t="s">
        <v>3039</v>
      </c>
      <c r="N970" s="265">
        <v>43234</v>
      </c>
      <c r="O970" s="260">
        <v>43235</v>
      </c>
      <c r="P970" s="106" t="s">
        <v>3040</v>
      </c>
      <c r="Q970" s="107" t="s">
        <v>877</v>
      </c>
      <c r="R970" s="267">
        <v>0.96499999999999997</v>
      </c>
      <c r="S970" s="37">
        <v>0</v>
      </c>
      <c r="T970" s="36" t="str">
        <f t="shared" ca="1" si="80"/>
        <v>Empty</v>
      </c>
      <c r="U970" s="37" t="s">
        <v>3054</v>
      </c>
      <c r="V970" s="392" t="s">
        <v>3044</v>
      </c>
      <c r="W970" s="38"/>
      <c r="X970" s="39"/>
      <c r="Y970" s="150"/>
      <c r="Z970" s="40"/>
      <c r="AA970" s="136" t="str">
        <f t="shared" ca="1" si="81"/>
        <v/>
      </c>
      <c r="AB970" s="40"/>
      <c r="AC970" s="116"/>
      <c r="AD970" s="116"/>
      <c r="AE970" s="40"/>
      <c r="AF970" s="136" t="str">
        <f t="shared" ca="1" si="82"/>
        <v/>
      </c>
      <c r="AG970" s="127"/>
      <c r="AH970" s="127"/>
      <c r="AI970" s="127"/>
      <c r="AJ970" s="128"/>
      <c r="AK970" s="128"/>
      <c r="AL970" s="129"/>
    </row>
    <row r="971" spans="1:38" ht="23.25" x14ac:dyDescent="0.25">
      <c r="A971" s="489" t="str">
        <f t="shared" si="83"/>
        <v>18SAM108</v>
      </c>
      <c r="B971" s="490">
        <v>108</v>
      </c>
      <c r="C971" s="489" t="s">
        <v>57</v>
      </c>
      <c r="D971" s="491" t="s">
        <v>40</v>
      </c>
      <c r="E971" s="124" t="s">
        <v>3037</v>
      </c>
      <c r="F971" s="124" t="s">
        <v>3038</v>
      </c>
      <c r="G971" s="251" t="s">
        <v>3041</v>
      </c>
      <c r="H971" s="443" t="s">
        <v>112</v>
      </c>
      <c r="I971" s="126" t="s">
        <v>2298</v>
      </c>
      <c r="J971" s="47" t="s">
        <v>105</v>
      </c>
      <c r="K971" s="126">
        <v>3561.12</v>
      </c>
      <c r="L971" s="126">
        <v>1455</v>
      </c>
      <c r="M971" s="104" t="s">
        <v>3039</v>
      </c>
      <c r="N971" s="265">
        <v>43234</v>
      </c>
      <c r="O971" s="260">
        <v>43235</v>
      </c>
      <c r="P971" s="106" t="s">
        <v>3040</v>
      </c>
      <c r="Q971" s="107" t="s">
        <v>877</v>
      </c>
      <c r="R971" s="267">
        <v>0.96499999999999997</v>
      </c>
      <c r="S971" s="37">
        <v>0</v>
      </c>
      <c r="T971" s="36" t="str">
        <f t="shared" ca="1" si="80"/>
        <v>Empty</v>
      </c>
      <c r="U971" s="37" t="s">
        <v>3054</v>
      </c>
      <c r="V971" s="392" t="s">
        <v>3044</v>
      </c>
      <c r="W971" s="38"/>
      <c r="X971" s="39"/>
      <c r="Y971" s="150"/>
      <c r="Z971" s="40"/>
      <c r="AA971" s="136" t="str">
        <f t="shared" ca="1" si="81"/>
        <v/>
      </c>
      <c r="AB971" s="40"/>
      <c r="AC971" s="116"/>
      <c r="AD971" s="116"/>
      <c r="AE971" s="40"/>
      <c r="AF971" s="136" t="str">
        <f t="shared" ca="1" si="82"/>
        <v/>
      </c>
      <c r="AG971" s="127"/>
      <c r="AH971" s="127"/>
      <c r="AI971" s="127"/>
      <c r="AJ971" s="128"/>
      <c r="AK971" s="128"/>
      <c r="AL971" s="129"/>
    </row>
    <row r="972" spans="1:38" ht="23.25" x14ac:dyDescent="0.25">
      <c r="A972" s="489" t="str">
        <f t="shared" si="83"/>
        <v>18SAM109</v>
      </c>
      <c r="B972" s="490">
        <v>109</v>
      </c>
      <c r="C972" s="489" t="s">
        <v>57</v>
      </c>
      <c r="D972" s="491" t="s">
        <v>40</v>
      </c>
      <c r="E972" s="124" t="s">
        <v>3037</v>
      </c>
      <c r="F972" s="124" t="s">
        <v>3038</v>
      </c>
      <c r="G972" s="251" t="s">
        <v>3041</v>
      </c>
      <c r="H972" s="443" t="s">
        <v>112</v>
      </c>
      <c r="I972" s="126" t="s">
        <v>2298</v>
      </c>
      <c r="J972" s="47" t="s">
        <v>105</v>
      </c>
      <c r="K972" s="126">
        <v>3561.12</v>
      </c>
      <c r="L972" s="126">
        <v>1455</v>
      </c>
      <c r="M972" s="104" t="s">
        <v>3039</v>
      </c>
      <c r="N972" s="265">
        <v>43234</v>
      </c>
      <c r="O972" s="260">
        <v>43235</v>
      </c>
      <c r="P972" s="106" t="s">
        <v>3040</v>
      </c>
      <c r="Q972" s="107" t="s">
        <v>877</v>
      </c>
      <c r="R972" s="267">
        <v>0.96499999999999997</v>
      </c>
      <c r="S972" s="37">
        <v>0</v>
      </c>
      <c r="T972" s="36" t="str">
        <f t="shared" ca="1" si="80"/>
        <v>Empty</v>
      </c>
      <c r="U972" s="37" t="s">
        <v>3054</v>
      </c>
      <c r="V972" s="392" t="s">
        <v>3044</v>
      </c>
      <c r="W972" s="38"/>
      <c r="X972" s="39"/>
      <c r="Y972" s="150"/>
      <c r="Z972" s="40"/>
      <c r="AA972" s="136" t="str">
        <f t="shared" ca="1" si="81"/>
        <v/>
      </c>
      <c r="AB972" s="40"/>
      <c r="AC972" s="116"/>
      <c r="AD972" s="116"/>
      <c r="AE972" s="40"/>
      <c r="AF972" s="136" t="str">
        <f t="shared" ca="1" si="82"/>
        <v/>
      </c>
      <c r="AG972" s="127"/>
      <c r="AH972" s="127"/>
      <c r="AI972" s="127"/>
      <c r="AJ972" s="128"/>
      <c r="AK972" s="128"/>
      <c r="AL972" s="129"/>
    </row>
    <row r="973" spans="1:38" ht="23.25" x14ac:dyDescent="0.25">
      <c r="A973" s="489" t="str">
        <f t="shared" si="83"/>
        <v>18SAM110</v>
      </c>
      <c r="B973" s="490">
        <v>110</v>
      </c>
      <c r="C973" s="489" t="s">
        <v>57</v>
      </c>
      <c r="D973" s="491" t="s">
        <v>40</v>
      </c>
      <c r="E973" s="124" t="s">
        <v>3037</v>
      </c>
      <c r="F973" s="124" t="s">
        <v>3038</v>
      </c>
      <c r="G973" s="251" t="s">
        <v>3041</v>
      </c>
      <c r="H973" s="443" t="s">
        <v>112</v>
      </c>
      <c r="I973" s="126" t="s">
        <v>2298</v>
      </c>
      <c r="J973" s="47" t="s">
        <v>105</v>
      </c>
      <c r="K973" s="126">
        <v>3561.12</v>
      </c>
      <c r="L973" s="126">
        <v>1455</v>
      </c>
      <c r="M973" s="104" t="s">
        <v>3039</v>
      </c>
      <c r="N973" s="265">
        <v>43234</v>
      </c>
      <c r="O973" s="260">
        <v>43236</v>
      </c>
      <c r="P973" s="106" t="s">
        <v>3040</v>
      </c>
      <c r="Q973" s="107" t="s">
        <v>877</v>
      </c>
      <c r="R973" s="267">
        <v>0.96499999999999997</v>
      </c>
      <c r="S973" s="37">
        <v>0</v>
      </c>
      <c r="T973" s="36" t="str">
        <f t="shared" ca="1" si="80"/>
        <v>Empty</v>
      </c>
      <c r="U973" s="37" t="s">
        <v>3054</v>
      </c>
      <c r="V973" s="392" t="s">
        <v>3044</v>
      </c>
      <c r="W973" s="38"/>
      <c r="X973" s="39"/>
      <c r="Y973" s="150"/>
      <c r="Z973" s="40"/>
      <c r="AA973" s="136" t="str">
        <f t="shared" ca="1" si="81"/>
        <v/>
      </c>
      <c r="AB973" s="40"/>
      <c r="AC973" s="116"/>
      <c r="AD973" s="116"/>
      <c r="AE973" s="40"/>
      <c r="AF973" s="136" t="str">
        <f t="shared" ca="1" si="82"/>
        <v/>
      </c>
      <c r="AG973" s="127"/>
      <c r="AH973" s="127"/>
      <c r="AI973" s="127"/>
      <c r="AJ973" s="128"/>
      <c r="AK973" s="128"/>
      <c r="AL973" s="129"/>
    </row>
    <row r="974" spans="1:38" ht="23.25" x14ac:dyDescent="0.25">
      <c r="A974" s="489" t="str">
        <f t="shared" si="83"/>
        <v>18SAM111</v>
      </c>
      <c r="B974" s="490">
        <v>111</v>
      </c>
      <c r="C974" s="489" t="s">
        <v>57</v>
      </c>
      <c r="D974" s="491" t="s">
        <v>40</v>
      </c>
      <c r="E974" s="124" t="s">
        <v>3037</v>
      </c>
      <c r="F974" s="124" t="s">
        <v>3038</v>
      </c>
      <c r="G974" s="251" t="s">
        <v>3041</v>
      </c>
      <c r="H974" s="443" t="s">
        <v>112</v>
      </c>
      <c r="I974" s="126" t="s">
        <v>2298</v>
      </c>
      <c r="J974" s="47" t="s">
        <v>105</v>
      </c>
      <c r="K974" s="126">
        <v>3561.12</v>
      </c>
      <c r="L974" s="126">
        <v>1455</v>
      </c>
      <c r="M974" s="104" t="s">
        <v>3039</v>
      </c>
      <c r="N974" s="265">
        <v>43234</v>
      </c>
      <c r="O974" s="260">
        <v>43238</v>
      </c>
      <c r="P974" s="106" t="s">
        <v>3040</v>
      </c>
      <c r="Q974" s="107" t="s">
        <v>877</v>
      </c>
      <c r="R974" s="267">
        <v>0.96499999999999997</v>
      </c>
      <c r="S974" s="37">
        <v>0</v>
      </c>
      <c r="T974" s="36" t="str">
        <f t="shared" ca="1" si="80"/>
        <v>Empty</v>
      </c>
      <c r="U974" s="37" t="s">
        <v>3054</v>
      </c>
      <c r="V974" s="392" t="s">
        <v>3044</v>
      </c>
      <c r="W974" s="38"/>
      <c r="X974" s="39"/>
      <c r="Y974" s="150"/>
      <c r="Z974" s="40"/>
      <c r="AA974" s="136" t="str">
        <f t="shared" ca="1" si="81"/>
        <v/>
      </c>
      <c r="AB974" s="40"/>
      <c r="AC974" s="116"/>
      <c r="AD974" s="116"/>
      <c r="AE974" s="40"/>
      <c r="AF974" s="136" t="str">
        <f t="shared" ca="1" si="82"/>
        <v/>
      </c>
      <c r="AG974" s="127"/>
      <c r="AH974" s="127"/>
      <c r="AI974" s="127"/>
      <c r="AJ974" s="128"/>
      <c r="AK974" s="128"/>
      <c r="AL974" s="129"/>
    </row>
    <row r="975" spans="1:38" ht="23.25" x14ac:dyDescent="0.25">
      <c r="A975" s="489" t="str">
        <f t="shared" si="83"/>
        <v>18SAM112</v>
      </c>
      <c r="B975" s="490">
        <v>112</v>
      </c>
      <c r="C975" s="489" t="s">
        <v>57</v>
      </c>
      <c r="D975" s="491" t="s">
        <v>40</v>
      </c>
      <c r="E975" s="124" t="s">
        <v>3037</v>
      </c>
      <c r="F975" s="124" t="s">
        <v>3038</v>
      </c>
      <c r="G975" s="251" t="s">
        <v>3041</v>
      </c>
      <c r="H975" s="443" t="s">
        <v>112</v>
      </c>
      <c r="I975" s="126" t="s">
        <v>2298</v>
      </c>
      <c r="J975" s="47" t="s">
        <v>105</v>
      </c>
      <c r="K975" s="126">
        <v>3561.12</v>
      </c>
      <c r="L975" s="126">
        <v>1455</v>
      </c>
      <c r="M975" s="104" t="s">
        <v>3039</v>
      </c>
      <c r="N975" s="265">
        <v>43234</v>
      </c>
      <c r="O975" s="260">
        <v>43238</v>
      </c>
      <c r="P975" s="106" t="s">
        <v>3040</v>
      </c>
      <c r="Q975" s="107" t="s">
        <v>877</v>
      </c>
      <c r="R975" s="267">
        <v>0.96499999999999997</v>
      </c>
      <c r="S975" s="37">
        <v>0</v>
      </c>
      <c r="T975" s="36" t="str">
        <f t="shared" ca="1" si="80"/>
        <v>Empty</v>
      </c>
      <c r="U975" s="37" t="s">
        <v>3054</v>
      </c>
      <c r="V975" s="392" t="s">
        <v>3044</v>
      </c>
      <c r="W975" s="38"/>
      <c r="X975" s="39"/>
      <c r="Y975" s="150"/>
      <c r="Z975" s="40"/>
      <c r="AA975" s="136" t="str">
        <f t="shared" ca="1" si="81"/>
        <v/>
      </c>
      <c r="AB975" s="40"/>
      <c r="AC975" s="116"/>
      <c r="AD975" s="116"/>
      <c r="AE975" s="40"/>
      <c r="AF975" s="136" t="str">
        <f t="shared" ca="1" si="82"/>
        <v/>
      </c>
      <c r="AG975" s="127"/>
      <c r="AH975" s="127"/>
      <c r="AI975" s="127"/>
      <c r="AJ975" s="128"/>
      <c r="AK975" s="128"/>
      <c r="AL975" s="129"/>
    </row>
    <row r="976" spans="1:38" ht="23.25" x14ac:dyDescent="0.25">
      <c r="A976" s="489" t="str">
        <f t="shared" si="83"/>
        <v>18SAM113</v>
      </c>
      <c r="B976" s="490">
        <v>113</v>
      </c>
      <c r="C976" s="489" t="s">
        <v>57</v>
      </c>
      <c r="D976" s="491" t="s">
        <v>40</v>
      </c>
      <c r="E976" s="124" t="s">
        <v>3037</v>
      </c>
      <c r="F976" s="124" t="s">
        <v>3038</v>
      </c>
      <c r="G976" s="251" t="s">
        <v>3041</v>
      </c>
      <c r="H976" s="443" t="s">
        <v>112</v>
      </c>
      <c r="I976" s="126" t="s">
        <v>2298</v>
      </c>
      <c r="J976" s="47" t="s">
        <v>105</v>
      </c>
      <c r="K976" s="126">
        <v>3561.12</v>
      </c>
      <c r="L976" s="126">
        <v>1455</v>
      </c>
      <c r="M976" s="104" t="s">
        <v>3039</v>
      </c>
      <c r="N976" s="265">
        <v>43234</v>
      </c>
      <c r="O976" s="260">
        <v>43238</v>
      </c>
      <c r="P976" s="106" t="s">
        <v>3040</v>
      </c>
      <c r="Q976" s="107" t="s">
        <v>877</v>
      </c>
      <c r="R976" s="267">
        <v>0.96499999999999997</v>
      </c>
      <c r="S976" s="37">
        <v>0</v>
      </c>
      <c r="T976" s="36" t="str">
        <f t="shared" ref="T976:T1039" ca="1" si="84">IF(S976="","",IF(S976=0,"Empty",IF(O976="","",IF(O976,DAYS360(O976,TODAY())))))</f>
        <v>Empty</v>
      </c>
      <c r="U976" s="37" t="s">
        <v>3054</v>
      </c>
      <c r="V976" s="392" t="s">
        <v>3044</v>
      </c>
      <c r="W976" s="38"/>
      <c r="X976" s="39"/>
      <c r="Y976" s="150"/>
      <c r="Z976" s="40"/>
      <c r="AA976" s="136" t="str">
        <f t="shared" ref="AA976:AA1039" ca="1" si="85">IF(W976="","",IF(W976,DAYS360(W976,TODAY())))</f>
        <v/>
      </c>
      <c r="AB976" s="40"/>
      <c r="AC976" s="116"/>
      <c r="AD976" s="116"/>
      <c r="AE976" s="40"/>
      <c r="AF976" s="136" t="str">
        <f t="shared" ref="AF976:AF1039" ca="1" si="86">IF(AB976="","",IF(AB976,DAYS360(AB976,TODAY())))</f>
        <v/>
      </c>
      <c r="AG976" s="127"/>
      <c r="AH976" s="127"/>
      <c r="AI976" s="127"/>
      <c r="AJ976" s="128"/>
      <c r="AK976" s="128"/>
      <c r="AL976" s="129"/>
    </row>
    <row r="977" spans="1:38" ht="23.25" x14ac:dyDescent="0.25">
      <c r="A977" s="489" t="str">
        <f t="shared" si="83"/>
        <v>18SAM114</v>
      </c>
      <c r="B977" s="490">
        <v>114</v>
      </c>
      <c r="C977" s="489" t="s">
        <v>57</v>
      </c>
      <c r="D977" s="491" t="s">
        <v>40</v>
      </c>
      <c r="E977" s="124" t="s">
        <v>3037</v>
      </c>
      <c r="F977" s="124" t="s">
        <v>3038</v>
      </c>
      <c r="G977" s="251" t="s">
        <v>3041</v>
      </c>
      <c r="H977" s="443" t="s">
        <v>112</v>
      </c>
      <c r="I977" s="126" t="s">
        <v>2298</v>
      </c>
      <c r="J977" s="47" t="s">
        <v>105</v>
      </c>
      <c r="K977" s="126">
        <v>3561.12</v>
      </c>
      <c r="L977" s="126">
        <v>1455</v>
      </c>
      <c r="M977" s="104" t="s">
        <v>3039</v>
      </c>
      <c r="N977" s="265">
        <v>43236</v>
      </c>
      <c r="O977" s="260">
        <v>43238</v>
      </c>
      <c r="P977" s="106" t="s">
        <v>3040</v>
      </c>
      <c r="Q977" s="107" t="s">
        <v>877</v>
      </c>
      <c r="R977" s="267">
        <v>0.96499999999999997</v>
      </c>
      <c r="S977" s="37">
        <v>0</v>
      </c>
      <c r="T977" s="36" t="str">
        <f t="shared" ca="1" si="84"/>
        <v>Empty</v>
      </c>
      <c r="U977" s="37" t="s">
        <v>3054</v>
      </c>
      <c r="V977" s="392" t="s">
        <v>3044</v>
      </c>
      <c r="W977" s="38"/>
      <c r="X977" s="39"/>
      <c r="Y977" s="150"/>
      <c r="Z977" s="40"/>
      <c r="AA977" s="136" t="str">
        <f t="shared" ca="1" si="85"/>
        <v/>
      </c>
      <c r="AB977" s="40"/>
      <c r="AC977" s="116"/>
      <c r="AD977" s="116"/>
      <c r="AE977" s="40"/>
      <c r="AF977" s="136" t="str">
        <f t="shared" ca="1" si="86"/>
        <v/>
      </c>
      <c r="AG977" s="127"/>
      <c r="AH977" s="127"/>
      <c r="AI977" s="127"/>
      <c r="AJ977" s="128"/>
      <c r="AK977" s="128"/>
      <c r="AL977" s="129"/>
    </row>
    <row r="978" spans="1:38" ht="23.25" x14ac:dyDescent="0.25">
      <c r="A978" s="489" t="str">
        <f t="shared" si="83"/>
        <v>18SAM115</v>
      </c>
      <c r="B978" s="490">
        <v>115</v>
      </c>
      <c r="C978" s="489" t="s">
        <v>57</v>
      </c>
      <c r="D978" s="491" t="s">
        <v>40</v>
      </c>
      <c r="E978" s="124" t="s">
        <v>3037</v>
      </c>
      <c r="F978" s="124" t="s">
        <v>3038</v>
      </c>
      <c r="G978" s="251" t="s">
        <v>3041</v>
      </c>
      <c r="H978" s="443" t="s">
        <v>112</v>
      </c>
      <c r="I978" s="126" t="s">
        <v>2298</v>
      </c>
      <c r="J978" s="47" t="s">
        <v>105</v>
      </c>
      <c r="K978" s="126">
        <v>3561.12</v>
      </c>
      <c r="L978" s="126">
        <v>1455</v>
      </c>
      <c r="M978" s="104" t="s">
        <v>3039</v>
      </c>
      <c r="N978" s="265">
        <v>43236</v>
      </c>
      <c r="O978" s="260">
        <v>43238</v>
      </c>
      <c r="P978" s="106" t="s">
        <v>3040</v>
      </c>
      <c r="Q978" s="107" t="s">
        <v>877</v>
      </c>
      <c r="R978" s="267">
        <v>0.96499999999999997</v>
      </c>
      <c r="S978" s="37">
        <v>0</v>
      </c>
      <c r="T978" s="36" t="str">
        <f t="shared" ca="1" si="84"/>
        <v>Empty</v>
      </c>
      <c r="U978" s="37" t="s">
        <v>3054</v>
      </c>
      <c r="V978" s="392" t="s">
        <v>3044</v>
      </c>
      <c r="W978" s="38"/>
      <c r="X978" s="39"/>
      <c r="Y978" s="150"/>
      <c r="Z978" s="40"/>
      <c r="AA978" s="136" t="str">
        <f t="shared" ca="1" si="85"/>
        <v/>
      </c>
      <c r="AB978" s="40"/>
      <c r="AC978" s="116"/>
      <c r="AD978" s="116"/>
      <c r="AE978" s="40"/>
      <c r="AF978" s="136" t="str">
        <f t="shared" ca="1" si="86"/>
        <v/>
      </c>
      <c r="AG978" s="127"/>
      <c r="AH978" s="127"/>
      <c r="AI978" s="127"/>
      <c r="AJ978" s="128"/>
      <c r="AK978" s="128"/>
      <c r="AL978" s="129"/>
    </row>
    <row r="979" spans="1:38" ht="23.25" x14ac:dyDescent="0.25">
      <c r="A979" s="489" t="str">
        <f t="shared" si="83"/>
        <v>18SAM116</v>
      </c>
      <c r="B979" s="490">
        <v>116</v>
      </c>
      <c r="C979" s="489" t="s">
        <v>57</v>
      </c>
      <c r="D979" s="491" t="s">
        <v>40</v>
      </c>
      <c r="E979" s="124" t="s">
        <v>3037</v>
      </c>
      <c r="F979" s="124" t="s">
        <v>3038</v>
      </c>
      <c r="G979" s="251" t="s">
        <v>3041</v>
      </c>
      <c r="H979" s="443" t="s">
        <v>112</v>
      </c>
      <c r="I979" s="126" t="s">
        <v>2298</v>
      </c>
      <c r="J979" s="47" t="s">
        <v>105</v>
      </c>
      <c r="K979" s="126">
        <v>3561.12</v>
      </c>
      <c r="L979" s="126">
        <v>1455</v>
      </c>
      <c r="M979" s="104" t="s">
        <v>3039</v>
      </c>
      <c r="N979" s="265">
        <v>43236</v>
      </c>
      <c r="O979" s="260">
        <v>43269</v>
      </c>
      <c r="P979" s="106" t="s">
        <v>3040</v>
      </c>
      <c r="Q979" s="107" t="s">
        <v>877</v>
      </c>
      <c r="R979" s="267">
        <v>0.96499999999999997</v>
      </c>
      <c r="S979" s="37">
        <v>0</v>
      </c>
      <c r="T979" s="36" t="str">
        <f t="shared" ca="1" si="84"/>
        <v>Empty</v>
      </c>
      <c r="U979" s="37" t="s">
        <v>3054</v>
      </c>
      <c r="V979" s="392" t="s">
        <v>3044</v>
      </c>
      <c r="W979" s="38"/>
      <c r="X979" s="39"/>
      <c r="Y979" s="150"/>
      <c r="Z979" s="40"/>
      <c r="AA979" s="136" t="str">
        <f t="shared" ca="1" si="85"/>
        <v/>
      </c>
      <c r="AB979" s="40"/>
      <c r="AC979" s="116"/>
      <c r="AD979" s="116"/>
      <c r="AE979" s="40"/>
      <c r="AF979" s="136" t="str">
        <f t="shared" ca="1" si="86"/>
        <v/>
      </c>
      <c r="AG979" s="127"/>
      <c r="AH979" s="127"/>
      <c r="AI979" s="127"/>
      <c r="AJ979" s="128"/>
      <c r="AK979" s="128"/>
      <c r="AL979" s="129"/>
    </row>
    <row r="980" spans="1:38" ht="23.25" x14ac:dyDescent="0.25">
      <c r="A980" s="489" t="str">
        <f t="shared" si="83"/>
        <v>18SAM117</v>
      </c>
      <c r="B980" s="490">
        <v>117</v>
      </c>
      <c r="C980" s="489" t="s">
        <v>57</v>
      </c>
      <c r="D980" s="491" t="s">
        <v>170</v>
      </c>
      <c r="E980" s="124" t="s">
        <v>289</v>
      </c>
      <c r="F980" s="124" t="s">
        <v>3162</v>
      </c>
      <c r="G980" s="251" t="s">
        <v>3164</v>
      </c>
      <c r="H980" s="443" t="s">
        <v>60</v>
      </c>
      <c r="I980" s="251" t="s">
        <v>3163</v>
      </c>
      <c r="J980" s="443" t="s">
        <v>45</v>
      </c>
      <c r="K980" s="126">
        <v>407.529</v>
      </c>
      <c r="L980" s="126" t="s">
        <v>61</v>
      </c>
      <c r="M980" s="104" t="s">
        <v>61</v>
      </c>
      <c r="N980" s="265">
        <v>43235</v>
      </c>
      <c r="O980" s="260"/>
      <c r="P980" s="106" t="s">
        <v>3165</v>
      </c>
      <c r="Q980" s="107"/>
      <c r="R980" s="244" t="s">
        <v>60</v>
      </c>
      <c r="S980" s="37"/>
      <c r="T980" s="36" t="str">
        <f t="shared" ca="1" si="84"/>
        <v/>
      </c>
      <c r="U980" s="37" t="s">
        <v>3030</v>
      </c>
      <c r="V980" s="37"/>
      <c r="W980" s="38"/>
      <c r="X980" s="39"/>
      <c r="Y980" s="150"/>
      <c r="Z980" s="40"/>
      <c r="AA980" s="136" t="str">
        <f t="shared" ca="1" si="85"/>
        <v/>
      </c>
      <c r="AB980" s="40"/>
      <c r="AC980" s="116"/>
      <c r="AD980" s="116"/>
      <c r="AE980" s="40"/>
      <c r="AF980" s="136" t="str">
        <f t="shared" ca="1" si="86"/>
        <v/>
      </c>
      <c r="AG980" s="127"/>
      <c r="AH980" s="127"/>
      <c r="AI980" s="127"/>
      <c r="AJ980" s="128"/>
      <c r="AK980" s="128"/>
      <c r="AL980" s="129"/>
    </row>
    <row r="981" spans="1:38" ht="23.25" x14ac:dyDescent="0.25">
      <c r="A981" s="489" t="str">
        <f t="shared" si="83"/>
        <v>18SAM118</v>
      </c>
      <c r="B981" s="490">
        <v>118</v>
      </c>
      <c r="C981" s="489" t="s">
        <v>57</v>
      </c>
      <c r="D981" s="491" t="s">
        <v>170</v>
      </c>
      <c r="E981" s="124" t="s">
        <v>289</v>
      </c>
      <c r="F981" s="124" t="s">
        <v>3183</v>
      </c>
      <c r="G981" s="251"/>
      <c r="H981" s="443" t="s">
        <v>60</v>
      </c>
      <c r="I981" s="126"/>
      <c r="J981" s="443" t="s">
        <v>45</v>
      </c>
      <c r="K981" s="126">
        <v>406.786</v>
      </c>
      <c r="L981" s="126"/>
      <c r="M981" s="104"/>
      <c r="N981" s="265">
        <v>43235</v>
      </c>
      <c r="O981" s="260">
        <v>43243</v>
      </c>
      <c r="P981" s="106" t="s">
        <v>3166</v>
      </c>
      <c r="Q981" s="107"/>
      <c r="R981" s="244" t="s">
        <v>60</v>
      </c>
      <c r="S981" s="37">
        <f>9.7-2.05</f>
        <v>7.6499999999999995</v>
      </c>
      <c r="T981" s="36">
        <f t="shared" ca="1" si="84"/>
        <v>131</v>
      </c>
      <c r="U981" s="37" t="s">
        <v>3030</v>
      </c>
      <c r="V981" s="37"/>
      <c r="W981" s="38"/>
      <c r="X981" s="39"/>
      <c r="Y981" s="150"/>
      <c r="Z981" s="40"/>
      <c r="AA981" s="136" t="str">
        <f t="shared" ca="1" si="85"/>
        <v/>
      </c>
      <c r="AB981" s="40"/>
      <c r="AC981" s="116"/>
      <c r="AD981" s="116"/>
      <c r="AE981" s="40"/>
      <c r="AF981" s="136" t="str">
        <f t="shared" ca="1" si="86"/>
        <v/>
      </c>
      <c r="AG981" s="127"/>
      <c r="AH981" s="127"/>
      <c r="AI981" s="127"/>
      <c r="AJ981" s="128"/>
      <c r="AK981" s="128"/>
      <c r="AL981" s="129"/>
    </row>
    <row r="982" spans="1:38" ht="23.25" x14ac:dyDescent="0.25">
      <c r="A982" s="486" t="str">
        <f t="shared" si="83"/>
        <v>18REF119</v>
      </c>
      <c r="B982" s="487">
        <v>119</v>
      </c>
      <c r="C982" s="486" t="s">
        <v>39</v>
      </c>
      <c r="D982" s="488" t="s">
        <v>744</v>
      </c>
      <c r="E982" s="124" t="s">
        <v>701</v>
      </c>
      <c r="F982" s="124" t="s">
        <v>243</v>
      </c>
      <c r="G982" s="251" t="s">
        <v>244</v>
      </c>
      <c r="H982" s="443" t="s">
        <v>625</v>
      </c>
      <c r="I982" s="126" t="s">
        <v>3184</v>
      </c>
      <c r="J982" s="47" t="s">
        <v>45</v>
      </c>
      <c r="K982" s="126">
        <v>213.23</v>
      </c>
      <c r="L982" s="126" t="s">
        <v>3185</v>
      </c>
      <c r="M982" s="104" t="s">
        <v>627</v>
      </c>
      <c r="N982" s="265">
        <v>43242</v>
      </c>
      <c r="O982" s="260">
        <v>43242</v>
      </c>
      <c r="P982" s="106" t="s">
        <v>86</v>
      </c>
      <c r="Q982" s="107" t="s">
        <v>3260</v>
      </c>
      <c r="R982" s="266">
        <v>1</v>
      </c>
      <c r="S982" s="37">
        <v>0</v>
      </c>
      <c r="T982" s="36" t="str">
        <f t="shared" ca="1" si="84"/>
        <v>Empty</v>
      </c>
      <c r="U982" s="37" t="s">
        <v>3131</v>
      </c>
      <c r="V982" s="37"/>
      <c r="W982" s="38"/>
      <c r="X982" s="39"/>
      <c r="Y982" s="150"/>
      <c r="Z982" s="40"/>
      <c r="AA982" s="136" t="str">
        <f t="shared" ca="1" si="85"/>
        <v/>
      </c>
      <c r="AB982" s="40"/>
      <c r="AC982" s="116"/>
      <c r="AD982" s="116"/>
      <c r="AE982" s="40"/>
      <c r="AF982" s="136" t="str">
        <f t="shared" ca="1" si="86"/>
        <v/>
      </c>
      <c r="AG982" s="127"/>
      <c r="AH982" s="127"/>
      <c r="AI982" s="127"/>
      <c r="AJ982" s="128"/>
      <c r="AK982" s="128"/>
      <c r="AL982" s="129"/>
    </row>
    <row r="983" spans="1:38" ht="23.25" x14ac:dyDescent="0.25">
      <c r="A983" s="486" t="str">
        <f t="shared" si="83"/>
        <v>18REF120</v>
      </c>
      <c r="B983" s="487">
        <v>120</v>
      </c>
      <c r="C983" s="486" t="s">
        <v>39</v>
      </c>
      <c r="D983" s="488" t="s">
        <v>744</v>
      </c>
      <c r="E983" s="124" t="s">
        <v>701</v>
      </c>
      <c r="F983" s="124" t="s">
        <v>3188</v>
      </c>
      <c r="G983" s="251" t="s">
        <v>2201</v>
      </c>
      <c r="H983" s="443" t="s">
        <v>625</v>
      </c>
      <c r="I983" s="126" t="s">
        <v>3189</v>
      </c>
      <c r="J983" s="47" t="s">
        <v>45</v>
      </c>
      <c r="K983" s="126">
        <v>509.3</v>
      </c>
      <c r="L983" s="126" t="s">
        <v>3190</v>
      </c>
      <c r="M983" s="104" t="s">
        <v>1273</v>
      </c>
      <c r="N983" s="265">
        <v>43242</v>
      </c>
      <c r="O983" s="260">
        <v>43276</v>
      </c>
      <c r="P983" s="106" t="s">
        <v>183</v>
      </c>
      <c r="Q983" s="107" t="s">
        <v>3191</v>
      </c>
      <c r="R983" s="267">
        <v>0.99199999999999999</v>
      </c>
      <c r="S983" s="37">
        <v>0</v>
      </c>
      <c r="T983" s="36" t="str">
        <f t="shared" ca="1" si="84"/>
        <v>Empty</v>
      </c>
      <c r="U983" s="37"/>
      <c r="V983" s="37"/>
      <c r="W983" s="38"/>
      <c r="X983" s="39"/>
      <c r="Y983" s="150"/>
      <c r="Z983" s="40"/>
      <c r="AA983" s="136" t="str">
        <f t="shared" ca="1" si="85"/>
        <v/>
      </c>
      <c r="AB983" s="40"/>
      <c r="AC983" s="116"/>
      <c r="AD983" s="116"/>
      <c r="AE983" s="40"/>
      <c r="AF983" s="136" t="str">
        <f t="shared" ca="1" si="86"/>
        <v/>
      </c>
      <c r="AG983" s="127"/>
      <c r="AH983" s="127"/>
      <c r="AI983" s="127"/>
      <c r="AJ983" s="128"/>
      <c r="AK983" s="128"/>
      <c r="AL983" s="129"/>
    </row>
    <row r="984" spans="1:38" ht="23.25" x14ac:dyDescent="0.25">
      <c r="A984" s="486" t="str">
        <f t="shared" si="83"/>
        <v>18REF121</v>
      </c>
      <c r="B984" s="487">
        <v>121</v>
      </c>
      <c r="C984" s="486" t="s">
        <v>39</v>
      </c>
      <c r="D984" s="488" t="s">
        <v>744</v>
      </c>
      <c r="E984" s="124" t="s">
        <v>701</v>
      </c>
      <c r="F984" s="124" t="s">
        <v>3188</v>
      </c>
      <c r="G984" s="251" t="s">
        <v>2201</v>
      </c>
      <c r="H984" s="443" t="s">
        <v>625</v>
      </c>
      <c r="I984" s="126" t="s">
        <v>3189</v>
      </c>
      <c r="J984" s="47" t="s">
        <v>45</v>
      </c>
      <c r="K984" s="126">
        <v>509.3</v>
      </c>
      <c r="L984" s="126" t="s">
        <v>3190</v>
      </c>
      <c r="M984" s="104" t="s">
        <v>1273</v>
      </c>
      <c r="N984" s="265">
        <v>43242</v>
      </c>
      <c r="O984" s="260">
        <v>43280</v>
      </c>
      <c r="P984" s="106" t="s">
        <v>183</v>
      </c>
      <c r="Q984" s="107" t="s">
        <v>3191</v>
      </c>
      <c r="R984" s="267">
        <v>0.99199999999999999</v>
      </c>
      <c r="S984" s="37">
        <v>0</v>
      </c>
      <c r="T984" s="36" t="str">
        <f t="shared" ca="1" si="84"/>
        <v>Empty</v>
      </c>
      <c r="U984" s="37"/>
      <c r="V984" s="37"/>
      <c r="W984" s="38"/>
      <c r="X984" s="39"/>
      <c r="Y984" s="150"/>
      <c r="Z984" s="40"/>
      <c r="AA984" s="136" t="str">
        <f t="shared" ca="1" si="85"/>
        <v/>
      </c>
      <c r="AB984" s="40"/>
      <c r="AC984" s="116"/>
      <c r="AD984" s="116"/>
      <c r="AE984" s="40"/>
      <c r="AF984" s="136" t="str">
        <f t="shared" ca="1" si="86"/>
        <v/>
      </c>
      <c r="AG984" s="127"/>
      <c r="AH984" s="127"/>
      <c r="AI984" s="127"/>
      <c r="AJ984" s="128"/>
      <c r="AK984" s="128"/>
      <c r="AL984" s="129"/>
    </row>
    <row r="985" spans="1:38" ht="23.25" x14ac:dyDescent="0.25">
      <c r="A985" s="486" t="str">
        <f t="shared" si="83"/>
        <v>18REF122</v>
      </c>
      <c r="B985" s="487">
        <v>122</v>
      </c>
      <c r="C985" s="486" t="s">
        <v>39</v>
      </c>
      <c r="D985" s="488" t="s">
        <v>744</v>
      </c>
      <c r="E985" s="124" t="s">
        <v>701</v>
      </c>
      <c r="F985" s="124" t="s">
        <v>860</v>
      </c>
      <c r="G985" s="251" t="s">
        <v>802</v>
      </c>
      <c r="H985" s="443" t="s">
        <v>625</v>
      </c>
      <c r="I985" s="126" t="s">
        <v>2918</v>
      </c>
      <c r="J985" s="47" t="s">
        <v>45</v>
      </c>
      <c r="K985" s="126">
        <v>336.28</v>
      </c>
      <c r="L985" s="126" t="s">
        <v>2919</v>
      </c>
      <c r="M985" s="104" t="s">
        <v>863</v>
      </c>
      <c r="N985" s="265">
        <v>43242</v>
      </c>
      <c r="O985" s="260">
        <v>43293</v>
      </c>
      <c r="P985" s="106" t="s">
        <v>183</v>
      </c>
      <c r="Q985" s="107" t="s">
        <v>2920</v>
      </c>
      <c r="R985" s="266">
        <v>0.99</v>
      </c>
      <c r="S985" s="37">
        <v>0</v>
      </c>
      <c r="T985" s="36" t="str">
        <f t="shared" ca="1" si="84"/>
        <v>Empty</v>
      </c>
      <c r="U985" s="37"/>
      <c r="V985" s="37"/>
      <c r="W985" s="38"/>
      <c r="X985" s="39"/>
      <c r="Y985" s="150"/>
      <c r="Z985" s="40"/>
      <c r="AA985" s="136" t="str">
        <f t="shared" ca="1" si="85"/>
        <v/>
      </c>
      <c r="AB985" s="40"/>
      <c r="AC985" s="116"/>
      <c r="AD985" s="116"/>
      <c r="AE985" s="40"/>
      <c r="AF985" s="136" t="str">
        <f t="shared" ca="1" si="86"/>
        <v/>
      </c>
      <c r="AG985" s="127"/>
      <c r="AH985" s="127"/>
      <c r="AI985" s="127"/>
      <c r="AJ985" s="128"/>
      <c r="AK985" s="128"/>
      <c r="AL985" s="129"/>
    </row>
    <row r="986" spans="1:38" ht="23.25" x14ac:dyDescent="0.25">
      <c r="A986" s="486" t="str">
        <f t="shared" si="83"/>
        <v>18REF123</v>
      </c>
      <c r="B986" s="487">
        <v>123</v>
      </c>
      <c r="C986" s="486" t="s">
        <v>39</v>
      </c>
      <c r="D986" s="488" t="s">
        <v>744</v>
      </c>
      <c r="E986" s="124" t="s">
        <v>701</v>
      </c>
      <c r="F986" s="124" t="s">
        <v>860</v>
      </c>
      <c r="G986" s="251" t="s">
        <v>802</v>
      </c>
      <c r="H986" s="443" t="s">
        <v>625</v>
      </c>
      <c r="I986" s="126" t="s">
        <v>2918</v>
      </c>
      <c r="J986" s="47" t="s">
        <v>45</v>
      </c>
      <c r="K986" s="126">
        <v>336.28</v>
      </c>
      <c r="L986" s="126" t="s">
        <v>2919</v>
      </c>
      <c r="M986" s="104" t="s">
        <v>863</v>
      </c>
      <c r="N986" s="265">
        <v>43242</v>
      </c>
      <c r="O986" s="260">
        <v>43280</v>
      </c>
      <c r="P986" s="106" t="s">
        <v>183</v>
      </c>
      <c r="Q986" s="107" t="s">
        <v>2920</v>
      </c>
      <c r="R986" s="266">
        <v>0.99</v>
      </c>
      <c r="S986" s="37">
        <v>0</v>
      </c>
      <c r="T986" s="36" t="str">
        <f t="shared" ca="1" si="84"/>
        <v>Empty</v>
      </c>
      <c r="U986" s="37"/>
      <c r="V986" s="37"/>
      <c r="W986" s="38"/>
      <c r="X986" s="39"/>
      <c r="Y986" s="150"/>
      <c r="Z986" s="40"/>
      <c r="AA986" s="136" t="str">
        <f t="shared" ca="1" si="85"/>
        <v/>
      </c>
      <c r="AB986" s="40"/>
      <c r="AC986" s="116"/>
      <c r="AD986" s="116"/>
      <c r="AE986" s="40"/>
      <c r="AF986" s="136" t="str">
        <f t="shared" ca="1" si="86"/>
        <v/>
      </c>
      <c r="AG986" s="127"/>
      <c r="AH986" s="127"/>
      <c r="AI986" s="127"/>
      <c r="AJ986" s="128"/>
      <c r="AK986" s="128"/>
      <c r="AL986" s="129"/>
    </row>
    <row r="987" spans="1:38" ht="23.25" x14ac:dyDescent="0.25">
      <c r="A987" s="489" t="str">
        <f t="shared" si="83"/>
        <v>18SAM124</v>
      </c>
      <c r="B987" s="490">
        <v>124</v>
      </c>
      <c r="C987" s="489" t="s">
        <v>57</v>
      </c>
      <c r="D987" s="491" t="s">
        <v>40</v>
      </c>
      <c r="E987" s="124" t="s">
        <v>3037</v>
      </c>
      <c r="F987" s="124" t="s">
        <v>3195</v>
      </c>
      <c r="G987" s="251"/>
      <c r="H987" s="443" t="s">
        <v>60</v>
      </c>
      <c r="I987" s="126" t="s">
        <v>3196</v>
      </c>
      <c r="J987" s="443" t="s">
        <v>45</v>
      </c>
      <c r="K987" s="126">
        <v>450.92</v>
      </c>
      <c r="L987" s="126" t="s">
        <v>61</v>
      </c>
      <c r="M987" s="104" t="s">
        <v>61</v>
      </c>
      <c r="N987" s="265">
        <v>43242</v>
      </c>
      <c r="O987" s="260">
        <v>43243</v>
      </c>
      <c r="P987" s="106" t="s">
        <v>3197</v>
      </c>
      <c r="Q987" s="107" t="s">
        <v>212</v>
      </c>
      <c r="R987" s="266" t="s">
        <v>60</v>
      </c>
      <c r="S987" s="37">
        <v>0</v>
      </c>
      <c r="T987" s="36" t="str">
        <f t="shared" ca="1" si="84"/>
        <v>Empty</v>
      </c>
      <c r="U987" s="37" t="s">
        <v>3054</v>
      </c>
      <c r="V987" s="37"/>
      <c r="W987" s="38"/>
      <c r="X987" s="39"/>
      <c r="Y987" s="150"/>
      <c r="Z987" s="40"/>
      <c r="AA987" s="136" t="str">
        <f t="shared" ca="1" si="85"/>
        <v/>
      </c>
      <c r="AB987" s="40"/>
      <c r="AC987" s="116"/>
      <c r="AD987" s="116"/>
      <c r="AE987" s="40"/>
      <c r="AF987" s="136" t="str">
        <f t="shared" ca="1" si="86"/>
        <v/>
      </c>
      <c r="AG987" s="127"/>
      <c r="AH987" s="127"/>
      <c r="AI987" s="127"/>
      <c r="AJ987" s="128"/>
      <c r="AK987" s="128"/>
      <c r="AL987" s="129"/>
    </row>
    <row r="988" spans="1:38" ht="23.25" x14ac:dyDescent="0.25">
      <c r="A988" s="489" t="str">
        <f t="shared" si="83"/>
        <v>18SAM125</v>
      </c>
      <c r="B988" s="490">
        <v>125</v>
      </c>
      <c r="C988" s="489" t="s">
        <v>57</v>
      </c>
      <c r="D988" s="491" t="s">
        <v>40</v>
      </c>
      <c r="E988" s="124" t="s">
        <v>3037</v>
      </c>
      <c r="F988" s="124" t="s">
        <v>3198</v>
      </c>
      <c r="G988" s="251"/>
      <c r="H988" s="443" t="s">
        <v>60</v>
      </c>
      <c r="I988" s="126" t="s">
        <v>3199</v>
      </c>
      <c r="J988" s="443" t="s">
        <v>45</v>
      </c>
      <c r="K988" s="126">
        <v>424</v>
      </c>
      <c r="L988" s="126" t="s">
        <v>61</v>
      </c>
      <c r="M988" s="104" t="s">
        <v>61</v>
      </c>
      <c r="N988" s="265">
        <v>43242</v>
      </c>
      <c r="O988" s="260">
        <v>43242</v>
      </c>
      <c r="P988" s="106" t="s">
        <v>3200</v>
      </c>
      <c r="Q988" s="107" t="s">
        <v>212</v>
      </c>
      <c r="R988" s="244" t="s">
        <v>60</v>
      </c>
      <c r="S988" s="37">
        <v>0</v>
      </c>
      <c r="T988" s="36" t="str">
        <f t="shared" ca="1" si="84"/>
        <v>Empty</v>
      </c>
      <c r="U988" s="37" t="s">
        <v>3054</v>
      </c>
      <c r="V988" s="37"/>
      <c r="W988" s="38"/>
      <c r="X988" s="39"/>
      <c r="Y988" s="150"/>
      <c r="Z988" s="40"/>
      <c r="AA988" s="136" t="str">
        <f t="shared" ca="1" si="85"/>
        <v/>
      </c>
      <c r="AB988" s="40"/>
      <c r="AC988" s="116"/>
      <c r="AD988" s="116"/>
      <c r="AE988" s="40"/>
      <c r="AF988" s="136" t="str">
        <f t="shared" ca="1" si="86"/>
        <v/>
      </c>
      <c r="AG988" s="127"/>
      <c r="AH988" s="127"/>
      <c r="AI988" s="127"/>
      <c r="AJ988" s="128"/>
      <c r="AK988" s="128"/>
      <c r="AL988" s="129"/>
    </row>
    <row r="989" spans="1:38" ht="23.25" x14ac:dyDescent="0.25">
      <c r="A989" s="489" t="str">
        <f t="shared" si="83"/>
        <v>18SAM126</v>
      </c>
      <c r="B989" s="490">
        <v>126</v>
      </c>
      <c r="C989" s="489" t="s">
        <v>57</v>
      </c>
      <c r="D989" s="491" t="s">
        <v>170</v>
      </c>
      <c r="E989" s="124" t="s">
        <v>1701</v>
      </c>
      <c r="F989" s="124" t="s">
        <v>2603</v>
      </c>
      <c r="G989" s="251" t="s">
        <v>3201</v>
      </c>
      <c r="H989" s="443" t="s">
        <v>60</v>
      </c>
      <c r="I989" s="126" t="s">
        <v>3095</v>
      </c>
      <c r="J989" s="443" t="s">
        <v>45</v>
      </c>
      <c r="K989" s="126">
        <v>385.54</v>
      </c>
      <c r="L989" s="126" t="s">
        <v>61</v>
      </c>
      <c r="M989" s="104" t="s">
        <v>61</v>
      </c>
      <c r="N989" s="265">
        <v>43242</v>
      </c>
      <c r="O989" s="260"/>
      <c r="P989" s="106" t="s">
        <v>139</v>
      </c>
      <c r="Q989" s="107" t="s">
        <v>212</v>
      </c>
      <c r="R989" s="244" t="s">
        <v>60</v>
      </c>
      <c r="S989" s="37"/>
      <c r="T989" s="36" t="str">
        <f t="shared" ca="1" si="84"/>
        <v/>
      </c>
      <c r="U989" s="37" t="s">
        <v>3202</v>
      </c>
      <c r="V989" s="37" t="s">
        <v>3203</v>
      </c>
      <c r="W989" s="38"/>
      <c r="X989" s="39"/>
      <c r="Y989" s="150"/>
      <c r="Z989" s="40"/>
      <c r="AA989" s="136" t="str">
        <f t="shared" ca="1" si="85"/>
        <v/>
      </c>
      <c r="AB989" s="40"/>
      <c r="AC989" s="116"/>
      <c r="AD989" s="116"/>
      <c r="AE989" s="40"/>
      <c r="AF989" s="136" t="str">
        <f t="shared" ca="1" si="86"/>
        <v/>
      </c>
      <c r="AG989" s="127"/>
      <c r="AH989" s="127"/>
      <c r="AI989" s="127"/>
      <c r="AJ989" s="128"/>
      <c r="AK989" s="128"/>
      <c r="AL989" s="129"/>
    </row>
    <row r="990" spans="1:38" ht="23.25" x14ac:dyDescent="0.25">
      <c r="A990" s="486" t="str">
        <f t="shared" si="83"/>
        <v>18REF127</v>
      </c>
      <c r="B990" s="490">
        <v>127</v>
      </c>
      <c r="C990" s="486" t="s">
        <v>39</v>
      </c>
      <c r="D990" s="488" t="s">
        <v>744</v>
      </c>
      <c r="E990" s="124" t="s">
        <v>701</v>
      </c>
      <c r="F990" s="124" t="s">
        <v>2741</v>
      </c>
      <c r="G990" s="251"/>
      <c r="H990" s="443" t="s">
        <v>43</v>
      </c>
      <c r="I990" s="531" t="s">
        <v>3208</v>
      </c>
      <c r="J990" s="47" t="s">
        <v>45</v>
      </c>
      <c r="K990" s="126">
        <v>195.21</v>
      </c>
      <c r="L990" s="126" t="s">
        <v>2329</v>
      </c>
      <c r="M990" s="104" t="s">
        <v>2330</v>
      </c>
      <c r="N990" s="265">
        <v>43242</v>
      </c>
      <c r="O990" s="260">
        <v>43252</v>
      </c>
      <c r="P990" s="106" t="s">
        <v>271</v>
      </c>
      <c r="Q990" s="107"/>
      <c r="R990" s="267">
        <v>0.99299999999999999</v>
      </c>
      <c r="S990" s="37"/>
      <c r="T990" s="36" t="str">
        <f t="shared" ca="1" si="84"/>
        <v/>
      </c>
      <c r="U990" s="37"/>
      <c r="V990" s="37"/>
      <c r="W990" s="38"/>
      <c r="X990" s="39"/>
      <c r="Y990" s="150"/>
      <c r="Z990" s="40"/>
      <c r="AA990" s="136" t="str">
        <f t="shared" ca="1" si="85"/>
        <v/>
      </c>
      <c r="AB990" s="40"/>
      <c r="AC990" s="116"/>
      <c r="AD990" s="116"/>
      <c r="AE990" s="40"/>
      <c r="AF990" s="136" t="str">
        <f t="shared" ca="1" si="86"/>
        <v/>
      </c>
      <c r="AG990" s="127"/>
      <c r="AH990" s="127"/>
      <c r="AI990" s="127"/>
      <c r="AJ990" s="128"/>
      <c r="AK990" s="128"/>
      <c r="AL990" s="129"/>
    </row>
    <row r="991" spans="1:38" ht="23.25" x14ac:dyDescent="0.25">
      <c r="A991" s="486" t="str">
        <f t="shared" si="83"/>
        <v>18REF128</v>
      </c>
      <c r="B991" s="490">
        <v>128</v>
      </c>
      <c r="C991" s="486" t="s">
        <v>39</v>
      </c>
      <c r="D991" s="488" t="s">
        <v>744</v>
      </c>
      <c r="E991" s="124" t="s">
        <v>701</v>
      </c>
      <c r="F991" s="124" t="s">
        <v>2741</v>
      </c>
      <c r="G991" s="251"/>
      <c r="H991" s="443" t="s">
        <v>43</v>
      </c>
      <c r="I991" s="531" t="s">
        <v>3208</v>
      </c>
      <c r="J991" s="47" t="s">
        <v>45</v>
      </c>
      <c r="K991" s="126">
        <v>195.21</v>
      </c>
      <c r="L991" s="126" t="s">
        <v>2329</v>
      </c>
      <c r="M991" s="104" t="s">
        <v>2330</v>
      </c>
      <c r="N991" s="265">
        <v>43242</v>
      </c>
      <c r="O991" s="260"/>
      <c r="P991" s="106" t="s">
        <v>271</v>
      </c>
      <c r="Q991" s="107"/>
      <c r="R991" s="267">
        <v>0.99299999999999999</v>
      </c>
      <c r="S991" s="37"/>
      <c r="T991" s="36" t="str">
        <f t="shared" ca="1" si="84"/>
        <v/>
      </c>
      <c r="U991" s="37"/>
      <c r="V991" s="37"/>
      <c r="W991" s="38"/>
      <c r="X991" s="39"/>
      <c r="Y991" s="150"/>
      <c r="Z991" s="40"/>
      <c r="AA991" s="136" t="str">
        <f t="shared" ca="1" si="85"/>
        <v/>
      </c>
      <c r="AB991" s="40"/>
      <c r="AC991" s="116"/>
      <c r="AD991" s="116"/>
      <c r="AE991" s="40"/>
      <c r="AF991" s="136" t="str">
        <f t="shared" ca="1" si="86"/>
        <v/>
      </c>
      <c r="AG991" s="127"/>
      <c r="AH991" s="127"/>
      <c r="AI991" s="127"/>
      <c r="AJ991" s="128"/>
      <c r="AK991" s="128"/>
      <c r="AL991" s="129"/>
    </row>
    <row r="992" spans="1:38" ht="23.25" x14ac:dyDescent="0.25">
      <c r="A992" s="486" t="str">
        <f t="shared" si="83"/>
        <v>18REF129</v>
      </c>
      <c r="B992" s="490">
        <v>129</v>
      </c>
      <c r="C992" s="486" t="s">
        <v>39</v>
      </c>
      <c r="D992" s="488" t="s">
        <v>744</v>
      </c>
      <c r="E992" s="124" t="s">
        <v>701</v>
      </c>
      <c r="F992" s="124" t="s">
        <v>1840</v>
      </c>
      <c r="G992" s="251"/>
      <c r="H992" s="443" t="s">
        <v>43</v>
      </c>
      <c r="I992" s="531" t="s">
        <v>3209</v>
      </c>
      <c r="J992" s="47" t="s">
        <v>45</v>
      </c>
      <c r="K992" s="126">
        <v>238.3</v>
      </c>
      <c r="L992" s="126" t="s">
        <v>1842</v>
      </c>
      <c r="M992" s="104" t="s">
        <v>2198</v>
      </c>
      <c r="N992" s="265">
        <v>43242</v>
      </c>
      <c r="O992" s="260"/>
      <c r="P992" s="106" t="s">
        <v>1875</v>
      </c>
      <c r="Q992" s="107" t="s">
        <v>2991</v>
      </c>
      <c r="R992" s="266">
        <v>1</v>
      </c>
      <c r="S992" s="37"/>
      <c r="T992" s="36" t="str">
        <f t="shared" ca="1" si="84"/>
        <v/>
      </c>
      <c r="U992" s="37"/>
      <c r="V992" s="37"/>
      <c r="W992" s="38"/>
      <c r="X992" s="39"/>
      <c r="Y992" s="150"/>
      <c r="Z992" s="40"/>
      <c r="AA992" s="136" t="str">
        <f t="shared" ca="1" si="85"/>
        <v/>
      </c>
      <c r="AB992" s="40"/>
      <c r="AC992" s="116"/>
      <c r="AD992" s="116"/>
      <c r="AE992" s="40"/>
      <c r="AF992" s="136" t="str">
        <f t="shared" ca="1" si="86"/>
        <v/>
      </c>
      <c r="AG992" s="127"/>
      <c r="AH992" s="127"/>
      <c r="AI992" s="127"/>
      <c r="AJ992" s="128"/>
      <c r="AK992" s="128"/>
      <c r="AL992" s="129"/>
    </row>
    <row r="993" spans="1:38" ht="23.25" x14ac:dyDescent="0.25">
      <c r="A993" s="486" t="str">
        <f t="shared" si="83"/>
        <v>18REF130</v>
      </c>
      <c r="B993" s="490">
        <v>130</v>
      </c>
      <c r="C993" s="486" t="s">
        <v>39</v>
      </c>
      <c r="D993" s="488" t="s">
        <v>744</v>
      </c>
      <c r="E993" s="124" t="s">
        <v>701</v>
      </c>
      <c r="F993" s="124" t="s">
        <v>1840</v>
      </c>
      <c r="G993" s="251"/>
      <c r="H993" s="443" t="s">
        <v>43</v>
      </c>
      <c r="I993" s="531" t="s">
        <v>3209</v>
      </c>
      <c r="J993" s="47" t="s">
        <v>45</v>
      </c>
      <c r="K993" s="126">
        <v>238.3</v>
      </c>
      <c r="L993" s="126" t="s">
        <v>1842</v>
      </c>
      <c r="M993" s="104" t="s">
        <v>2198</v>
      </c>
      <c r="N993" s="265">
        <v>43242</v>
      </c>
      <c r="O993" s="260"/>
      <c r="P993" s="106" t="s">
        <v>1875</v>
      </c>
      <c r="Q993" s="107" t="s">
        <v>2991</v>
      </c>
      <c r="R993" s="266">
        <v>1</v>
      </c>
      <c r="S993" s="37"/>
      <c r="T993" s="36" t="str">
        <f t="shared" ca="1" si="84"/>
        <v/>
      </c>
      <c r="U993" s="37"/>
      <c r="V993" s="37"/>
      <c r="W993" s="38"/>
      <c r="X993" s="39"/>
      <c r="Y993" s="150"/>
      <c r="Z993" s="40"/>
      <c r="AA993" s="136" t="str">
        <f t="shared" ca="1" si="85"/>
        <v/>
      </c>
      <c r="AB993" s="40"/>
      <c r="AC993" s="116"/>
      <c r="AD993" s="116"/>
      <c r="AE993" s="40"/>
      <c r="AF993" s="136" t="str">
        <f t="shared" ca="1" si="86"/>
        <v/>
      </c>
      <c r="AG993" s="127"/>
      <c r="AH993" s="127"/>
      <c r="AI993" s="127"/>
      <c r="AJ993" s="128"/>
      <c r="AK993" s="128"/>
      <c r="AL993" s="129"/>
    </row>
    <row r="994" spans="1:38" ht="23.25" x14ac:dyDescent="0.25">
      <c r="A994" s="486" t="str">
        <f t="shared" si="83"/>
        <v>18REF131</v>
      </c>
      <c r="B994" s="490">
        <v>131</v>
      </c>
      <c r="C994" s="486" t="s">
        <v>39</v>
      </c>
      <c r="D994" s="488" t="s">
        <v>744</v>
      </c>
      <c r="E994" s="124" t="s">
        <v>701</v>
      </c>
      <c r="F994" s="124" t="s">
        <v>1840</v>
      </c>
      <c r="G994" s="251"/>
      <c r="H994" s="443" t="s">
        <v>43</v>
      </c>
      <c r="I994" s="531" t="s">
        <v>3209</v>
      </c>
      <c r="J994" s="47" t="s">
        <v>45</v>
      </c>
      <c r="K994" s="126">
        <v>238.3</v>
      </c>
      <c r="L994" s="126" t="s">
        <v>1842</v>
      </c>
      <c r="M994" s="104" t="s">
        <v>2198</v>
      </c>
      <c r="N994" s="265">
        <v>43242</v>
      </c>
      <c r="O994" s="260"/>
      <c r="P994" s="106" t="s">
        <v>1875</v>
      </c>
      <c r="Q994" s="107" t="s">
        <v>2991</v>
      </c>
      <c r="R994" s="266">
        <v>1</v>
      </c>
      <c r="S994" s="37"/>
      <c r="T994" s="36" t="str">
        <f t="shared" ca="1" si="84"/>
        <v/>
      </c>
      <c r="U994" s="37"/>
      <c r="V994" s="37"/>
      <c r="W994" s="38"/>
      <c r="X994" s="39"/>
      <c r="Y994" s="150"/>
      <c r="Z994" s="40"/>
      <c r="AA994" s="136" t="str">
        <f t="shared" ca="1" si="85"/>
        <v/>
      </c>
      <c r="AB994" s="40"/>
      <c r="AC994" s="116"/>
      <c r="AD994" s="116"/>
      <c r="AE994" s="40"/>
      <c r="AF994" s="136" t="str">
        <f t="shared" ca="1" si="86"/>
        <v/>
      </c>
      <c r="AG994" s="127"/>
      <c r="AH994" s="127"/>
      <c r="AI994" s="127"/>
      <c r="AJ994" s="128"/>
      <c r="AK994" s="128"/>
      <c r="AL994" s="129"/>
    </row>
    <row r="995" spans="1:38" ht="23.25" x14ac:dyDescent="0.25">
      <c r="A995" s="486" t="str">
        <f t="shared" si="83"/>
        <v>18REF132</v>
      </c>
      <c r="B995" s="490">
        <v>132</v>
      </c>
      <c r="C995" s="486" t="s">
        <v>39</v>
      </c>
      <c r="D995" s="488" t="s">
        <v>744</v>
      </c>
      <c r="E995" s="124" t="s">
        <v>701</v>
      </c>
      <c r="F995" s="124" t="s">
        <v>2366</v>
      </c>
      <c r="G995" s="248" t="s">
        <v>324</v>
      </c>
      <c r="H995" s="443" t="s">
        <v>43</v>
      </c>
      <c r="I995" s="531" t="s">
        <v>2447</v>
      </c>
      <c r="J995" s="47" t="s">
        <v>45</v>
      </c>
      <c r="K995" s="126">
        <v>198.11</v>
      </c>
      <c r="L995" s="126" t="s">
        <v>2448</v>
      </c>
      <c r="M995" s="104" t="s">
        <v>326</v>
      </c>
      <c r="N995" s="265">
        <v>43242</v>
      </c>
      <c r="O995" s="260">
        <v>43297</v>
      </c>
      <c r="P995" s="106" t="s">
        <v>1295</v>
      </c>
      <c r="Q995" s="107"/>
      <c r="R995" s="266">
        <v>1</v>
      </c>
      <c r="S995" s="37"/>
      <c r="T995" s="36" t="str">
        <f t="shared" ca="1" si="84"/>
        <v/>
      </c>
      <c r="U995" s="37"/>
      <c r="V995" s="37"/>
      <c r="W995" s="38"/>
      <c r="X995" s="39"/>
      <c r="Y995" s="150"/>
      <c r="Z995" s="40"/>
      <c r="AA995" s="136" t="str">
        <f t="shared" ca="1" si="85"/>
        <v/>
      </c>
      <c r="AB995" s="40"/>
      <c r="AC995" s="116"/>
      <c r="AD995" s="116"/>
      <c r="AE995" s="40"/>
      <c r="AF995" s="136" t="str">
        <f t="shared" ca="1" si="86"/>
        <v/>
      </c>
      <c r="AG995" s="127"/>
      <c r="AH995" s="127"/>
      <c r="AI995" s="127"/>
      <c r="AJ995" s="128"/>
      <c r="AK995" s="128"/>
      <c r="AL995" s="129"/>
    </row>
    <row r="996" spans="1:38" ht="23.25" x14ac:dyDescent="0.25">
      <c r="A996" s="486" t="str">
        <f t="shared" si="83"/>
        <v>18REF133</v>
      </c>
      <c r="B996" s="490">
        <v>133</v>
      </c>
      <c r="C996" s="486" t="s">
        <v>39</v>
      </c>
      <c r="D996" s="488" t="s">
        <v>744</v>
      </c>
      <c r="E996" s="124" t="s">
        <v>701</v>
      </c>
      <c r="F996" s="124" t="s">
        <v>2558</v>
      </c>
      <c r="G996" s="251"/>
      <c r="H996" s="443" t="s">
        <v>43</v>
      </c>
      <c r="I996" s="531" t="s">
        <v>2559</v>
      </c>
      <c r="J996" s="47" t="s">
        <v>45</v>
      </c>
      <c r="K996" s="126">
        <v>89.09</v>
      </c>
      <c r="L996" s="126" t="s">
        <v>2560</v>
      </c>
      <c r="M996" s="104" t="s">
        <v>2561</v>
      </c>
      <c r="N996" s="265">
        <v>43242</v>
      </c>
      <c r="O996" s="260">
        <v>43350</v>
      </c>
      <c r="P996" s="106" t="s">
        <v>1295</v>
      </c>
      <c r="Q996" s="107" t="s">
        <v>49</v>
      </c>
      <c r="R996" s="266">
        <v>0.99</v>
      </c>
      <c r="S996" s="37">
        <f>100000-15000</f>
        <v>85000</v>
      </c>
      <c r="T996" s="36">
        <f t="shared" ca="1" si="84"/>
        <v>27</v>
      </c>
      <c r="U996" s="37"/>
      <c r="V996" s="37"/>
      <c r="W996" s="38"/>
      <c r="X996" s="39"/>
      <c r="Y996" s="150"/>
      <c r="Z996" s="40"/>
      <c r="AA996" s="136" t="str">
        <f t="shared" ca="1" si="85"/>
        <v/>
      </c>
      <c r="AB996" s="40"/>
      <c r="AC996" s="116"/>
      <c r="AD996" s="116"/>
      <c r="AE996" s="40"/>
      <c r="AF996" s="136" t="str">
        <f t="shared" ca="1" si="86"/>
        <v/>
      </c>
      <c r="AG996" s="127"/>
      <c r="AH996" s="127"/>
      <c r="AI996" s="127"/>
      <c r="AJ996" s="128"/>
      <c r="AK996" s="128"/>
      <c r="AL996" s="129"/>
    </row>
    <row r="997" spans="1:38" ht="23.25" x14ac:dyDescent="0.25">
      <c r="A997" s="486" t="str">
        <f t="shared" si="83"/>
        <v>18REF134</v>
      </c>
      <c r="B997" s="487">
        <v>134</v>
      </c>
      <c r="C997" s="486" t="s">
        <v>39</v>
      </c>
      <c r="D997" s="488" t="s">
        <v>744</v>
      </c>
      <c r="E997" s="124" t="s">
        <v>701</v>
      </c>
      <c r="F997" s="124" t="s">
        <v>3210</v>
      </c>
      <c r="G997" s="251"/>
      <c r="H997" s="443" t="s">
        <v>43</v>
      </c>
      <c r="I997" s="531" t="s">
        <v>3211</v>
      </c>
      <c r="J997" s="47" t="s">
        <v>45</v>
      </c>
      <c r="K997" s="126">
        <v>180.16</v>
      </c>
      <c r="L997" s="126" t="s">
        <v>3213</v>
      </c>
      <c r="M997" s="104" t="s">
        <v>3214</v>
      </c>
      <c r="N997" s="265">
        <v>43243</v>
      </c>
      <c r="O997" s="260"/>
      <c r="P997" s="106" t="s">
        <v>86</v>
      </c>
      <c r="Q997" s="107"/>
      <c r="R997" s="266">
        <v>1</v>
      </c>
      <c r="S997" s="37"/>
      <c r="T997" s="36" t="str">
        <f t="shared" ca="1" si="84"/>
        <v/>
      </c>
      <c r="U997" s="37"/>
      <c r="V997" s="37"/>
      <c r="W997" s="38"/>
      <c r="X997" s="39"/>
      <c r="Y997" s="150"/>
      <c r="Z997" s="40"/>
      <c r="AA997" s="136" t="str">
        <f t="shared" ca="1" si="85"/>
        <v/>
      </c>
      <c r="AB997" s="40"/>
      <c r="AC997" s="116"/>
      <c r="AD997" s="116"/>
      <c r="AE997" s="40"/>
      <c r="AF997" s="136" t="str">
        <f t="shared" ca="1" si="86"/>
        <v/>
      </c>
      <c r="AG997" s="127"/>
      <c r="AH997" s="127"/>
      <c r="AI997" s="127"/>
      <c r="AJ997" s="128"/>
      <c r="AK997" s="128"/>
      <c r="AL997" s="129"/>
    </row>
    <row r="998" spans="1:38" ht="23.25" x14ac:dyDescent="0.25">
      <c r="A998" s="486" t="str">
        <f t="shared" si="83"/>
        <v>18REF135</v>
      </c>
      <c r="B998" s="487">
        <v>135</v>
      </c>
      <c r="C998" s="486" t="s">
        <v>39</v>
      </c>
      <c r="D998" s="488" t="s">
        <v>744</v>
      </c>
      <c r="E998" s="124" t="s">
        <v>701</v>
      </c>
      <c r="F998" s="124" t="s">
        <v>3210</v>
      </c>
      <c r="G998" s="251"/>
      <c r="H998" s="443" t="s">
        <v>43</v>
      </c>
      <c r="I998" s="531" t="s">
        <v>3211</v>
      </c>
      <c r="J998" s="47" t="s">
        <v>45</v>
      </c>
      <c r="K998" s="126">
        <v>180.16</v>
      </c>
      <c r="L998" s="126" t="s">
        <v>3213</v>
      </c>
      <c r="M998" s="104" t="s">
        <v>3214</v>
      </c>
      <c r="N998" s="265">
        <v>43243</v>
      </c>
      <c r="O998" s="260"/>
      <c r="P998" s="106" t="s">
        <v>86</v>
      </c>
      <c r="Q998" s="107"/>
      <c r="R998" s="266">
        <v>1</v>
      </c>
      <c r="S998" s="37"/>
      <c r="T998" s="36" t="str">
        <f t="shared" ca="1" si="84"/>
        <v/>
      </c>
      <c r="U998" s="37"/>
      <c r="V998" s="37"/>
      <c r="W998" s="38"/>
      <c r="X998" s="39"/>
      <c r="Y998" s="150"/>
      <c r="Z998" s="40"/>
      <c r="AA998" s="136" t="str">
        <f t="shared" ca="1" si="85"/>
        <v/>
      </c>
      <c r="AB998" s="40"/>
      <c r="AC998" s="116"/>
      <c r="AD998" s="116"/>
      <c r="AE998" s="40"/>
      <c r="AF998" s="136" t="str">
        <f t="shared" ca="1" si="86"/>
        <v/>
      </c>
      <c r="AG998" s="127"/>
      <c r="AH998" s="127"/>
      <c r="AI998" s="127"/>
      <c r="AJ998" s="128"/>
      <c r="AK998" s="128"/>
      <c r="AL998" s="129"/>
    </row>
    <row r="999" spans="1:38" ht="23.25" x14ac:dyDescent="0.25">
      <c r="A999" s="486" t="str">
        <f t="shared" si="83"/>
        <v>18REF136</v>
      </c>
      <c r="B999" s="490">
        <v>136</v>
      </c>
      <c r="C999" s="486" t="s">
        <v>39</v>
      </c>
      <c r="D999" s="488" t="s">
        <v>744</v>
      </c>
      <c r="E999" s="124" t="s">
        <v>701</v>
      </c>
      <c r="F999" s="124" t="s">
        <v>2072</v>
      </c>
      <c r="G999" s="251"/>
      <c r="H999" s="443" t="s">
        <v>43</v>
      </c>
      <c r="I999" s="531" t="s">
        <v>2635</v>
      </c>
      <c r="J999" s="47" t="s">
        <v>180</v>
      </c>
      <c r="K999" s="126">
        <v>110.04</v>
      </c>
      <c r="L999" s="126" t="s">
        <v>658</v>
      </c>
      <c r="M999" s="104" t="s">
        <v>659</v>
      </c>
      <c r="N999" s="265">
        <v>43242</v>
      </c>
      <c r="O999" s="260"/>
      <c r="P999" s="106" t="s">
        <v>48</v>
      </c>
      <c r="Q999" s="107"/>
      <c r="R999" s="266">
        <v>1</v>
      </c>
      <c r="S999" s="37"/>
      <c r="T999" s="36" t="str">
        <f t="shared" ca="1" si="84"/>
        <v/>
      </c>
      <c r="U999" s="37"/>
      <c r="V999" s="37"/>
      <c r="W999" s="38"/>
      <c r="X999" s="39"/>
      <c r="Y999" s="150"/>
      <c r="Z999" s="40"/>
      <c r="AA999" s="136" t="str">
        <f t="shared" ca="1" si="85"/>
        <v/>
      </c>
      <c r="AB999" s="40"/>
      <c r="AC999" s="116"/>
      <c r="AD999" s="116"/>
      <c r="AE999" s="40"/>
      <c r="AF999" s="136" t="str">
        <f t="shared" ca="1" si="86"/>
        <v/>
      </c>
      <c r="AG999" s="127"/>
      <c r="AH999" s="127"/>
      <c r="AI999" s="127"/>
      <c r="AJ999" s="128"/>
      <c r="AK999" s="128"/>
      <c r="AL999" s="129"/>
    </row>
    <row r="1000" spans="1:38" ht="23.25" x14ac:dyDescent="0.25">
      <c r="A1000" s="486" t="str">
        <f t="shared" si="83"/>
        <v>18REF137</v>
      </c>
      <c r="B1000" s="490">
        <v>137</v>
      </c>
      <c r="C1000" s="486" t="s">
        <v>39</v>
      </c>
      <c r="D1000" s="488" t="s">
        <v>744</v>
      </c>
      <c r="E1000" s="124" t="s">
        <v>701</v>
      </c>
      <c r="F1000" s="124" t="s">
        <v>2780</v>
      </c>
      <c r="G1000" s="251"/>
      <c r="H1000" s="443" t="s">
        <v>43</v>
      </c>
      <c r="I1000" s="531" t="s">
        <v>2781</v>
      </c>
      <c r="J1000" s="47" t="s">
        <v>180</v>
      </c>
      <c r="K1000" s="126">
        <v>116.12</v>
      </c>
      <c r="L1000" s="126" t="s">
        <v>2782</v>
      </c>
      <c r="M1000" s="104" t="s">
        <v>2783</v>
      </c>
      <c r="N1000" s="265">
        <v>43243</v>
      </c>
      <c r="O1000" s="260">
        <v>43249</v>
      </c>
      <c r="P1000" s="106" t="s">
        <v>1295</v>
      </c>
      <c r="Q1000" s="107"/>
      <c r="R1000" s="267">
        <v>0.99299999999999999</v>
      </c>
      <c r="S1000" s="37">
        <v>0</v>
      </c>
      <c r="T1000" s="36" t="str">
        <f t="shared" ca="1" si="84"/>
        <v>Empty</v>
      </c>
      <c r="U1000" s="37"/>
      <c r="V1000" s="37"/>
      <c r="W1000" s="38"/>
      <c r="X1000" s="39"/>
      <c r="Y1000" s="150"/>
      <c r="Z1000" s="40"/>
      <c r="AA1000" s="136" t="str">
        <f t="shared" ca="1" si="85"/>
        <v/>
      </c>
      <c r="AB1000" s="40"/>
      <c r="AC1000" s="116"/>
      <c r="AD1000" s="116"/>
      <c r="AE1000" s="40"/>
      <c r="AF1000" s="136" t="str">
        <f t="shared" ca="1" si="86"/>
        <v/>
      </c>
      <c r="AG1000" s="127"/>
      <c r="AH1000" s="127"/>
      <c r="AI1000" s="127"/>
      <c r="AJ1000" s="128"/>
      <c r="AK1000" s="128"/>
      <c r="AL1000" s="129"/>
    </row>
    <row r="1001" spans="1:38" ht="23.25" x14ac:dyDescent="0.25">
      <c r="A1001" s="486" t="str">
        <f t="shared" si="83"/>
        <v>18REF138</v>
      </c>
      <c r="B1001" s="490">
        <v>138</v>
      </c>
      <c r="C1001" s="486" t="s">
        <v>39</v>
      </c>
      <c r="D1001" s="488" t="s">
        <v>744</v>
      </c>
      <c r="E1001" s="124" t="s">
        <v>701</v>
      </c>
      <c r="F1001" s="124" t="s">
        <v>2776</v>
      </c>
      <c r="G1001" s="251"/>
      <c r="H1001" s="443" t="s">
        <v>43</v>
      </c>
      <c r="I1001" s="531" t="s">
        <v>3215</v>
      </c>
      <c r="J1001" s="47" t="s">
        <v>180</v>
      </c>
      <c r="K1001" s="126">
        <v>165.19</v>
      </c>
      <c r="L1001" s="126" t="s">
        <v>2777</v>
      </c>
      <c r="M1001" s="104" t="s">
        <v>2778</v>
      </c>
      <c r="N1001" s="265">
        <v>43243</v>
      </c>
      <c r="O1001" s="260">
        <v>43272</v>
      </c>
      <c r="P1001" s="106" t="s">
        <v>2779</v>
      </c>
      <c r="Q1001" s="107"/>
      <c r="R1001" s="266" t="s">
        <v>1418</v>
      </c>
      <c r="S1001" s="37"/>
      <c r="T1001" s="36" t="str">
        <f t="shared" ca="1" si="84"/>
        <v/>
      </c>
      <c r="U1001" s="37"/>
      <c r="V1001" s="37"/>
      <c r="W1001" s="38"/>
      <c r="X1001" s="39"/>
      <c r="Y1001" s="150"/>
      <c r="Z1001" s="40"/>
      <c r="AA1001" s="136" t="str">
        <f t="shared" ca="1" si="85"/>
        <v/>
      </c>
      <c r="AB1001" s="40"/>
      <c r="AC1001" s="116"/>
      <c r="AD1001" s="116"/>
      <c r="AE1001" s="40"/>
      <c r="AF1001" s="136" t="str">
        <f t="shared" ca="1" si="86"/>
        <v/>
      </c>
      <c r="AG1001" s="127"/>
      <c r="AH1001" s="127"/>
      <c r="AI1001" s="127"/>
      <c r="AJ1001" s="128"/>
      <c r="AK1001" s="128"/>
      <c r="AL1001" s="129"/>
    </row>
    <row r="1002" spans="1:38" ht="23.25" x14ac:dyDescent="0.25">
      <c r="A1002" s="489" t="str">
        <f t="shared" si="83"/>
        <v>18SAM139</v>
      </c>
      <c r="B1002" s="490">
        <v>139</v>
      </c>
      <c r="C1002" s="489" t="s">
        <v>57</v>
      </c>
      <c r="D1002" s="491" t="s">
        <v>744</v>
      </c>
      <c r="E1002" s="124" t="s">
        <v>2633</v>
      </c>
      <c r="F1002" s="124" t="s">
        <v>2265</v>
      </c>
      <c r="G1002" s="251" t="s">
        <v>644</v>
      </c>
      <c r="H1002" s="443" t="s">
        <v>330</v>
      </c>
      <c r="I1002" s="531" t="s">
        <v>1186</v>
      </c>
      <c r="J1002" s="47" t="s">
        <v>180</v>
      </c>
      <c r="K1002" s="126">
        <v>368.23</v>
      </c>
      <c r="L1002" s="126" t="s">
        <v>1187</v>
      </c>
      <c r="M1002" s="104" t="s">
        <v>339</v>
      </c>
      <c r="N1002" s="265">
        <v>43250</v>
      </c>
      <c r="O1002" s="260"/>
      <c r="P1002" s="106" t="s">
        <v>183</v>
      </c>
      <c r="Q1002" s="107" t="s">
        <v>628</v>
      </c>
      <c r="R1002" s="266">
        <v>0.99</v>
      </c>
      <c r="S1002" s="37"/>
      <c r="T1002" s="36" t="str">
        <f t="shared" ca="1" si="84"/>
        <v/>
      </c>
      <c r="U1002" s="37"/>
      <c r="V1002" s="37"/>
      <c r="W1002" s="38"/>
      <c r="X1002" s="39"/>
      <c r="Y1002" s="150"/>
      <c r="Z1002" s="40"/>
      <c r="AA1002" s="136" t="str">
        <f t="shared" ca="1" si="85"/>
        <v/>
      </c>
      <c r="AB1002" s="40"/>
      <c r="AC1002" s="116"/>
      <c r="AD1002" s="116"/>
      <c r="AE1002" s="40"/>
      <c r="AF1002" s="136" t="str">
        <f t="shared" ca="1" si="86"/>
        <v/>
      </c>
      <c r="AG1002" s="127"/>
      <c r="AH1002" s="127"/>
      <c r="AI1002" s="127"/>
      <c r="AJ1002" s="128"/>
      <c r="AK1002" s="128"/>
      <c r="AL1002" s="129"/>
    </row>
    <row r="1003" spans="1:38" ht="23.25" x14ac:dyDescent="0.25">
      <c r="A1003" s="489" t="str">
        <f t="shared" si="83"/>
        <v>18SAM140</v>
      </c>
      <c r="B1003" s="490">
        <v>140</v>
      </c>
      <c r="C1003" s="489" t="s">
        <v>57</v>
      </c>
      <c r="D1003" s="491" t="s">
        <v>744</v>
      </c>
      <c r="E1003" s="124" t="s">
        <v>2633</v>
      </c>
      <c r="F1003" s="124" t="s">
        <v>2265</v>
      </c>
      <c r="G1003" s="251" t="s">
        <v>644</v>
      </c>
      <c r="H1003" s="443" t="s">
        <v>330</v>
      </c>
      <c r="I1003" s="531" t="s">
        <v>1186</v>
      </c>
      <c r="J1003" s="47" t="s">
        <v>180</v>
      </c>
      <c r="K1003" s="126">
        <v>368.23</v>
      </c>
      <c r="L1003" s="126" t="s">
        <v>1187</v>
      </c>
      <c r="M1003" s="104" t="s">
        <v>339</v>
      </c>
      <c r="N1003" s="265">
        <v>43250</v>
      </c>
      <c r="O1003" s="260"/>
      <c r="P1003" s="106" t="s">
        <v>183</v>
      </c>
      <c r="Q1003" s="107" t="s">
        <v>628</v>
      </c>
      <c r="R1003" s="266">
        <v>0.99</v>
      </c>
      <c r="S1003" s="37"/>
      <c r="T1003" s="36" t="str">
        <f t="shared" ca="1" si="84"/>
        <v/>
      </c>
      <c r="U1003" s="37"/>
      <c r="V1003" s="37"/>
      <c r="W1003" s="38"/>
      <c r="X1003" s="39"/>
      <c r="Y1003" s="150"/>
      <c r="Z1003" s="40"/>
      <c r="AA1003" s="136" t="str">
        <f t="shared" ca="1" si="85"/>
        <v/>
      </c>
      <c r="AB1003" s="40"/>
      <c r="AC1003" s="116"/>
      <c r="AD1003" s="116"/>
      <c r="AE1003" s="40"/>
      <c r="AF1003" s="136" t="str">
        <f t="shared" ca="1" si="86"/>
        <v/>
      </c>
      <c r="AG1003" s="127"/>
      <c r="AH1003" s="127"/>
      <c r="AI1003" s="127"/>
      <c r="AJ1003" s="128"/>
      <c r="AK1003" s="128"/>
      <c r="AL1003" s="129"/>
    </row>
    <row r="1004" spans="1:38" ht="30" x14ac:dyDescent="0.25">
      <c r="A1004" s="486" t="str">
        <f t="shared" si="83"/>
        <v>18REF141</v>
      </c>
      <c r="B1004" s="487">
        <v>141</v>
      </c>
      <c r="C1004" s="486" t="s">
        <v>39</v>
      </c>
      <c r="D1004" s="488" t="s">
        <v>744</v>
      </c>
      <c r="E1004" s="124" t="s">
        <v>701</v>
      </c>
      <c r="F1004" s="124" t="s">
        <v>878</v>
      </c>
      <c r="G1004" s="251" t="s">
        <v>3225</v>
      </c>
      <c r="H1004" s="443" t="s">
        <v>43</v>
      </c>
      <c r="I1004" s="531" t="s">
        <v>3224</v>
      </c>
      <c r="J1004" s="47" t="s">
        <v>45</v>
      </c>
      <c r="K1004" s="126">
        <v>189.17</v>
      </c>
      <c r="L1004" s="126" t="s">
        <v>880</v>
      </c>
      <c r="M1004" s="104" t="s">
        <v>881</v>
      </c>
      <c r="N1004" s="265">
        <v>43250</v>
      </c>
      <c r="O1004" s="260">
        <v>43251</v>
      </c>
      <c r="P1004" s="106" t="s">
        <v>56</v>
      </c>
      <c r="Q1004" s="107" t="s">
        <v>1527</v>
      </c>
      <c r="R1004" s="266">
        <v>1</v>
      </c>
      <c r="S1004" s="37"/>
      <c r="T1004" s="36" t="str">
        <f t="shared" ca="1" si="84"/>
        <v/>
      </c>
      <c r="U1004" s="37"/>
      <c r="V1004" s="37"/>
      <c r="W1004" s="38"/>
      <c r="X1004" s="39"/>
      <c r="Y1004" s="150"/>
      <c r="Z1004" s="40"/>
      <c r="AA1004" s="136" t="str">
        <f t="shared" ca="1" si="85"/>
        <v/>
      </c>
      <c r="AB1004" s="40"/>
      <c r="AC1004" s="116"/>
      <c r="AD1004" s="116"/>
      <c r="AE1004" s="40"/>
      <c r="AF1004" s="136" t="str">
        <f t="shared" ca="1" si="86"/>
        <v/>
      </c>
      <c r="AG1004" s="127"/>
      <c r="AH1004" s="127"/>
      <c r="AI1004" s="127"/>
      <c r="AJ1004" s="128"/>
      <c r="AK1004" s="128"/>
      <c r="AL1004" s="129"/>
    </row>
    <row r="1005" spans="1:38" ht="30" x14ac:dyDescent="0.25">
      <c r="A1005" s="486" t="str">
        <f t="shared" si="83"/>
        <v>18REF142</v>
      </c>
      <c r="B1005" s="487">
        <v>142</v>
      </c>
      <c r="C1005" s="486" t="s">
        <v>39</v>
      </c>
      <c r="D1005" s="488" t="s">
        <v>744</v>
      </c>
      <c r="E1005" s="124" t="s">
        <v>701</v>
      </c>
      <c r="F1005" s="124" t="s">
        <v>878</v>
      </c>
      <c r="G1005" s="251" t="s">
        <v>3225</v>
      </c>
      <c r="H1005" s="443" t="s">
        <v>43</v>
      </c>
      <c r="I1005" s="531" t="s">
        <v>3224</v>
      </c>
      <c r="J1005" s="47" t="s">
        <v>45</v>
      </c>
      <c r="K1005" s="126">
        <v>189.17</v>
      </c>
      <c r="L1005" s="126" t="s">
        <v>880</v>
      </c>
      <c r="M1005" s="104" t="s">
        <v>881</v>
      </c>
      <c r="N1005" s="265">
        <v>43250</v>
      </c>
      <c r="O1005" s="260">
        <v>43273</v>
      </c>
      <c r="P1005" s="106" t="s">
        <v>56</v>
      </c>
      <c r="Q1005" s="107" t="s">
        <v>1527</v>
      </c>
      <c r="R1005" s="266">
        <v>1</v>
      </c>
      <c r="S1005" s="37">
        <v>0</v>
      </c>
      <c r="T1005" s="36" t="str">
        <f t="shared" ca="1" si="84"/>
        <v>Empty</v>
      </c>
      <c r="U1005" s="37"/>
      <c r="V1005" s="37"/>
      <c r="W1005" s="38"/>
      <c r="X1005" s="39"/>
      <c r="Y1005" s="150"/>
      <c r="Z1005" s="40"/>
      <c r="AA1005" s="136" t="str">
        <f t="shared" ca="1" si="85"/>
        <v/>
      </c>
      <c r="AB1005" s="40"/>
      <c r="AC1005" s="116"/>
      <c r="AD1005" s="116"/>
      <c r="AE1005" s="40"/>
      <c r="AF1005" s="136" t="str">
        <f t="shared" ca="1" si="86"/>
        <v/>
      </c>
      <c r="AG1005" s="127"/>
      <c r="AH1005" s="127"/>
      <c r="AI1005" s="127"/>
      <c r="AJ1005" s="128"/>
      <c r="AK1005" s="128"/>
      <c r="AL1005" s="129"/>
    </row>
    <row r="1006" spans="1:38" ht="30" x14ac:dyDescent="0.25">
      <c r="A1006" s="486" t="str">
        <f t="shared" si="83"/>
        <v>18REF143</v>
      </c>
      <c r="B1006" s="487">
        <v>143</v>
      </c>
      <c r="C1006" s="486" t="s">
        <v>39</v>
      </c>
      <c r="D1006" s="488" t="s">
        <v>744</v>
      </c>
      <c r="E1006" s="124" t="s">
        <v>701</v>
      </c>
      <c r="F1006" s="124" t="s">
        <v>878</v>
      </c>
      <c r="G1006" s="251" t="s">
        <v>3225</v>
      </c>
      <c r="H1006" s="443" t="s">
        <v>43</v>
      </c>
      <c r="I1006" s="531" t="s">
        <v>3224</v>
      </c>
      <c r="J1006" s="47" t="s">
        <v>45</v>
      </c>
      <c r="K1006" s="126">
        <v>189.17</v>
      </c>
      <c r="L1006" s="126" t="s">
        <v>880</v>
      </c>
      <c r="M1006" s="104" t="s">
        <v>881</v>
      </c>
      <c r="N1006" s="265">
        <v>43250</v>
      </c>
      <c r="O1006" s="260">
        <v>43287</v>
      </c>
      <c r="P1006" s="106" t="s">
        <v>56</v>
      </c>
      <c r="Q1006" s="107" t="s">
        <v>1527</v>
      </c>
      <c r="R1006" s="266">
        <v>1</v>
      </c>
      <c r="S1006" s="37"/>
      <c r="T1006" s="36" t="str">
        <f t="shared" ca="1" si="84"/>
        <v/>
      </c>
      <c r="U1006" s="37"/>
      <c r="V1006" s="37"/>
      <c r="W1006" s="38"/>
      <c r="X1006" s="39"/>
      <c r="Y1006" s="150"/>
      <c r="Z1006" s="40"/>
      <c r="AA1006" s="136" t="str">
        <f t="shared" ca="1" si="85"/>
        <v/>
      </c>
      <c r="AB1006" s="40"/>
      <c r="AC1006" s="116"/>
      <c r="AD1006" s="116"/>
      <c r="AE1006" s="40"/>
      <c r="AF1006" s="136" t="str">
        <f t="shared" ca="1" si="86"/>
        <v/>
      </c>
      <c r="AG1006" s="127"/>
      <c r="AH1006" s="127"/>
      <c r="AI1006" s="127"/>
      <c r="AJ1006" s="128"/>
      <c r="AK1006" s="128"/>
      <c r="AL1006" s="129"/>
    </row>
    <row r="1007" spans="1:38" ht="23.25" x14ac:dyDescent="0.25">
      <c r="A1007" s="486" t="str">
        <f t="shared" si="83"/>
        <v>18REF144</v>
      </c>
      <c r="B1007" s="487">
        <v>144</v>
      </c>
      <c r="C1007" s="486" t="s">
        <v>39</v>
      </c>
      <c r="D1007" s="488" t="s">
        <v>744</v>
      </c>
      <c r="E1007" s="124" t="s">
        <v>701</v>
      </c>
      <c r="F1007" s="124" t="s">
        <v>3210</v>
      </c>
      <c r="G1007" s="251"/>
      <c r="H1007" s="443" t="s">
        <v>43</v>
      </c>
      <c r="I1007" s="531" t="s">
        <v>3233</v>
      </c>
      <c r="J1007" s="443" t="s">
        <v>45</v>
      </c>
      <c r="K1007" s="126">
        <v>180.16</v>
      </c>
      <c r="L1007" s="126" t="s">
        <v>3213</v>
      </c>
      <c r="M1007" s="104" t="s">
        <v>3214</v>
      </c>
      <c r="N1007" s="265">
        <v>43252</v>
      </c>
      <c r="O1007" s="260">
        <v>43255</v>
      </c>
      <c r="P1007" s="106" t="s">
        <v>271</v>
      </c>
      <c r="Q1007" s="107" t="s">
        <v>1527</v>
      </c>
      <c r="R1007" s="266">
        <v>1</v>
      </c>
      <c r="S1007" s="37"/>
      <c r="T1007" s="36" t="str">
        <f t="shared" ca="1" si="84"/>
        <v/>
      </c>
      <c r="U1007" s="37"/>
      <c r="V1007" s="37"/>
      <c r="W1007" s="38"/>
      <c r="X1007" s="39"/>
      <c r="Y1007" s="150"/>
      <c r="Z1007" s="40"/>
      <c r="AA1007" s="136" t="str">
        <f t="shared" ca="1" si="85"/>
        <v/>
      </c>
      <c r="AB1007" s="40"/>
      <c r="AC1007" s="116"/>
      <c r="AD1007" s="116"/>
      <c r="AE1007" s="40"/>
      <c r="AF1007" s="136" t="str">
        <f t="shared" ca="1" si="86"/>
        <v/>
      </c>
      <c r="AG1007" s="127"/>
      <c r="AH1007" s="127"/>
      <c r="AI1007" s="127"/>
      <c r="AJ1007" s="128"/>
      <c r="AK1007" s="128"/>
      <c r="AL1007" s="129"/>
    </row>
    <row r="1008" spans="1:38" ht="23.25" x14ac:dyDescent="0.25">
      <c r="A1008" s="486" t="str">
        <f t="shared" si="83"/>
        <v>18REF145</v>
      </c>
      <c r="B1008" s="487">
        <v>145</v>
      </c>
      <c r="C1008" s="486" t="s">
        <v>39</v>
      </c>
      <c r="D1008" s="488" t="s">
        <v>170</v>
      </c>
      <c r="E1008" s="124" t="s">
        <v>701</v>
      </c>
      <c r="F1008" s="124" t="s">
        <v>1541</v>
      </c>
      <c r="G1008" s="251" t="s">
        <v>802</v>
      </c>
      <c r="H1008" s="443" t="s">
        <v>625</v>
      </c>
      <c r="I1008" s="126" t="s">
        <v>2902</v>
      </c>
      <c r="J1008" s="443" t="s">
        <v>45</v>
      </c>
      <c r="K1008" s="126">
        <v>276.12</v>
      </c>
      <c r="L1008" s="126" t="s">
        <v>2903</v>
      </c>
      <c r="M1008" s="190" t="s">
        <v>805</v>
      </c>
      <c r="N1008" s="265">
        <v>43252</v>
      </c>
      <c r="O1008" s="260">
        <v>43255</v>
      </c>
      <c r="P1008" s="106" t="s">
        <v>183</v>
      </c>
      <c r="Q1008" s="107" t="s">
        <v>3234</v>
      </c>
      <c r="R1008" s="266">
        <v>1</v>
      </c>
      <c r="S1008" s="37">
        <v>0</v>
      </c>
      <c r="T1008" s="36" t="str">
        <f t="shared" ca="1" si="84"/>
        <v>Empty</v>
      </c>
      <c r="U1008" s="37"/>
      <c r="V1008" s="37"/>
      <c r="W1008" s="38"/>
      <c r="X1008" s="39"/>
      <c r="Y1008" s="150"/>
      <c r="Z1008" s="40"/>
      <c r="AA1008" s="136" t="str">
        <f t="shared" ca="1" si="85"/>
        <v/>
      </c>
      <c r="AB1008" s="40"/>
      <c r="AC1008" s="116"/>
      <c r="AD1008" s="116"/>
      <c r="AE1008" s="40"/>
      <c r="AF1008" s="136" t="str">
        <f t="shared" ca="1" si="86"/>
        <v/>
      </c>
      <c r="AG1008" s="127"/>
      <c r="AH1008" s="127"/>
      <c r="AI1008" s="127"/>
      <c r="AJ1008" s="128"/>
      <c r="AK1008" s="128"/>
      <c r="AL1008" s="129"/>
    </row>
    <row r="1009" spans="1:38" ht="23.25" x14ac:dyDescent="0.25">
      <c r="A1009" s="486" t="str">
        <f t="shared" si="83"/>
        <v>18REF146</v>
      </c>
      <c r="B1009" s="487">
        <v>146</v>
      </c>
      <c r="C1009" s="486" t="s">
        <v>39</v>
      </c>
      <c r="D1009" s="488" t="s">
        <v>170</v>
      </c>
      <c r="E1009" s="124" t="s">
        <v>701</v>
      </c>
      <c r="F1009" s="124" t="s">
        <v>1541</v>
      </c>
      <c r="G1009" s="251" t="s">
        <v>802</v>
      </c>
      <c r="H1009" s="443" t="s">
        <v>625</v>
      </c>
      <c r="I1009" s="126" t="s">
        <v>2902</v>
      </c>
      <c r="J1009" s="443" t="s">
        <v>45</v>
      </c>
      <c r="K1009" s="126">
        <v>276.12</v>
      </c>
      <c r="L1009" s="126" t="s">
        <v>2903</v>
      </c>
      <c r="M1009" s="190" t="s">
        <v>805</v>
      </c>
      <c r="N1009" s="265">
        <v>43252</v>
      </c>
      <c r="O1009" s="260">
        <v>43272</v>
      </c>
      <c r="P1009" s="106" t="s">
        <v>183</v>
      </c>
      <c r="Q1009" s="107" t="s">
        <v>3234</v>
      </c>
      <c r="R1009" s="266">
        <v>1</v>
      </c>
      <c r="S1009" s="37">
        <v>0</v>
      </c>
      <c r="T1009" s="36" t="str">
        <f t="shared" ca="1" si="84"/>
        <v>Empty</v>
      </c>
      <c r="U1009" s="37"/>
      <c r="V1009" s="37"/>
      <c r="W1009" s="38"/>
      <c r="X1009" s="39"/>
      <c r="Y1009" s="150"/>
      <c r="Z1009" s="40"/>
      <c r="AA1009" s="136" t="str">
        <f t="shared" ca="1" si="85"/>
        <v/>
      </c>
      <c r="AB1009" s="40"/>
      <c r="AC1009" s="116"/>
      <c r="AD1009" s="116"/>
      <c r="AE1009" s="40"/>
      <c r="AF1009" s="136" t="str">
        <f t="shared" ca="1" si="86"/>
        <v/>
      </c>
      <c r="AG1009" s="127"/>
      <c r="AH1009" s="127"/>
      <c r="AI1009" s="127"/>
      <c r="AJ1009" s="128"/>
      <c r="AK1009" s="128"/>
      <c r="AL1009" s="129"/>
    </row>
    <row r="1010" spans="1:38" ht="23.25" x14ac:dyDescent="0.25">
      <c r="A1010" s="486" t="str">
        <f t="shared" si="83"/>
        <v>18REF147</v>
      </c>
      <c r="B1010" s="487">
        <v>147</v>
      </c>
      <c r="C1010" s="486" t="s">
        <v>39</v>
      </c>
      <c r="D1010" s="488" t="s">
        <v>170</v>
      </c>
      <c r="E1010" s="124" t="s">
        <v>701</v>
      </c>
      <c r="F1010" s="124" t="s">
        <v>1541</v>
      </c>
      <c r="G1010" s="251" t="s">
        <v>802</v>
      </c>
      <c r="H1010" s="443" t="s">
        <v>625</v>
      </c>
      <c r="I1010" s="126" t="s">
        <v>2902</v>
      </c>
      <c r="J1010" s="443" t="s">
        <v>45</v>
      </c>
      <c r="K1010" s="126">
        <v>276.12</v>
      </c>
      <c r="L1010" s="126" t="s">
        <v>2903</v>
      </c>
      <c r="M1010" s="190" t="s">
        <v>805</v>
      </c>
      <c r="N1010" s="265">
        <v>43252</v>
      </c>
      <c r="O1010" s="260"/>
      <c r="P1010" s="106" t="s">
        <v>183</v>
      </c>
      <c r="Q1010" s="107" t="s">
        <v>3234</v>
      </c>
      <c r="R1010" s="266">
        <v>1</v>
      </c>
      <c r="S1010" s="37"/>
      <c r="T1010" s="36" t="str">
        <f t="shared" ca="1" si="84"/>
        <v/>
      </c>
      <c r="U1010" s="37"/>
      <c r="V1010" s="37"/>
      <c r="W1010" s="38"/>
      <c r="X1010" s="39"/>
      <c r="Y1010" s="150"/>
      <c r="Z1010" s="40"/>
      <c r="AA1010" s="136" t="str">
        <f t="shared" ca="1" si="85"/>
        <v/>
      </c>
      <c r="AB1010" s="40"/>
      <c r="AC1010" s="116"/>
      <c r="AD1010" s="116"/>
      <c r="AE1010" s="40"/>
      <c r="AF1010" s="136" t="str">
        <f t="shared" ca="1" si="86"/>
        <v/>
      </c>
      <c r="AG1010" s="127"/>
      <c r="AH1010" s="127"/>
      <c r="AI1010" s="127"/>
      <c r="AJ1010" s="128"/>
      <c r="AK1010" s="128"/>
      <c r="AL1010" s="129"/>
    </row>
    <row r="1011" spans="1:38" ht="23.25" x14ac:dyDescent="0.25">
      <c r="A1011" s="486" t="str">
        <f t="shared" si="83"/>
        <v>18REF148</v>
      </c>
      <c r="B1011" s="487">
        <v>148</v>
      </c>
      <c r="C1011" s="486" t="s">
        <v>39</v>
      </c>
      <c r="D1011" s="488" t="s">
        <v>744</v>
      </c>
      <c r="E1011" s="124" t="s">
        <v>701</v>
      </c>
      <c r="F1011" s="124" t="s">
        <v>3188</v>
      </c>
      <c r="G1011" s="251" t="s">
        <v>2201</v>
      </c>
      <c r="H1011" s="443" t="s">
        <v>625</v>
      </c>
      <c r="I1011" s="126" t="s">
        <v>3189</v>
      </c>
      <c r="J1011" s="443" t="s">
        <v>45</v>
      </c>
      <c r="K1011" s="126">
        <v>509.3</v>
      </c>
      <c r="L1011" s="126" t="s">
        <v>3190</v>
      </c>
      <c r="M1011" s="104" t="s">
        <v>1273</v>
      </c>
      <c r="N1011" s="265">
        <v>43252</v>
      </c>
      <c r="O1011" s="260">
        <v>43300</v>
      </c>
      <c r="P1011" s="106" t="s">
        <v>183</v>
      </c>
      <c r="Q1011" s="107" t="s">
        <v>3191</v>
      </c>
      <c r="R1011" s="267">
        <v>0.99199999999999999</v>
      </c>
      <c r="S1011" s="37">
        <v>0</v>
      </c>
      <c r="T1011" s="36" t="str">
        <f t="shared" ca="1" si="84"/>
        <v>Empty</v>
      </c>
      <c r="U1011" s="37"/>
      <c r="V1011" s="37"/>
      <c r="W1011" s="38"/>
      <c r="X1011" s="39"/>
      <c r="Y1011" s="150"/>
      <c r="Z1011" s="40"/>
      <c r="AA1011" s="136" t="str">
        <f t="shared" ca="1" si="85"/>
        <v/>
      </c>
      <c r="AB1011" s="40"/>
      <c r="AC1011" s="116"/>
      <c r="AD1011" s="116"/>
      <c r="AE1011" s="40"/>
      <c r="AF1011" s="136" t="str">
        <f t="shared" ca="1" si="86"/>
        <v/>
      </c>
      <c r="AG1011" s="127"/>
      <c r="AH1011" s="127"/>
      <c r="AI1011" s="127"/>
      <c r="AJ1011" s="128"/>
      <c r="AK1011" s="128"/>
      <c r="AL1011" s="129"/>
    </row>
    <row r="1012" spans="1:38" ht="23.25" x14ac:dyDescent="0.25">
      <c r="A1012" s="489" t="str">
        <f t="shared" si="83"/>
        <v>18SAM149</v>
      </c>
      <c r="B1012" s="490">
        <v>149</v>
      </c>
      <c r="C1012" s="489" t="s">
        <v>57</v>
      </c>
      <c r="D1012" s="491" t="s">
        <v>170</v>
      </c>
      <c r="E1012" s="124" t="s">
        <v>2935</v>
      </c>
      <c r="F1012" s="124" t="s">
        <v>3249</v>
      </c>
      <c r="G1012" s="251"/>
      <c r="H1012" s="443" t="s">
        <v>60</v>
      </c>
      <c r="I1012" s="126" t="s">
        <v>3250</v>
      </c>
      <c r="J1012" s="47" t="s">
        <v>45</v>
      </c>
      <c r="K1012" s="126">
        <v>387.56799999999998</v>
      </c>
      <c r="L1012" s="126" t="s">
        <v>61</v>
      </c>
      <c r="M1012" s="104" t="s">
        <v>61</v>
      </c>
      <c r="N1012" s="265">
        <v>43259</v>
      </c>
      <c r="O1012" s="260">
        <v>43271</v>
      </c>
      <c r="P1012" s="106" t="s">
        <v>3251</v>
      </c>
      <c r="Q1012" s="107" t="s">
        <v>1512</v>
      </c>
      <c r="R1012" s="244" t="s">
        <v>60</v>
      </c>
      <c r="S1012" s="37">
        <v>0</v>
      </c>
      <c r="T1012" s="36" t="str">
        <f t="shared" ca="1" si="84"/>
        <v>Empty</v>
      </c>
      <c r="U1012" s="37" t="s">
        <v>3264</v>
      </c>
      <c r="V1012" s="37" t="s">
        <v>3585</v>
      </c>
      <c r="W1012" s="38"/>
      <c r="X1012" s="39"/>
      <c r="Y1012" s="150"/>
      <c r="Z1012" s="40"/>
      <c r="AA1012" s="136" t="str">
        <f t="shared" ca="1" si="85"/>
        <v/>
      </c>
      <c r="AB1012" s="40"/>
      <c r="AC1012" s="116"/>
      <c r="AD1012" s="116"/>
      <c r="AE1012" s="40"/>
      <c r="AF1012" s="136" t="str">
        <f t="shared" ca="1" si="86"/>
        <v/>
      </c>
      <c r="AG1012" s="127"/>
      <c r="AH1012" s="127"/>
      <c r="AI1012" s="127"/>
      <c r="AJ1012" s="128"/>
      <c r="AK1012" s="128"/>
      <c r="AL1012" s="129"/>
    </row>
    <row r="1013" spans="1:38" ht="23.25" x14ac:dyDescent="0.25">
      <c r="A1013" s="486" t="str">
        <f t="shared" si="83"/>
        <v>18REF150</v>
      </c>
      <c r="B1013" s="487">
        <v>150</v>
      </c>
      <c r="C1013" s="486" t="s">
        <v>39</v>
      </c>
      <c r="D1013" s="488" t="s">
        <v>170</v>
      </c>
      <c r="E1013" s="124" t="s">
        <v>701</v>
      </c>
      <c r="F1013" s="124" t="s">
        <v>3011</v>
      </c>
      <c r="G1013" s="251" t="s">
        <v>3012</v>
      </c>
      <c r="H1013" s="443" t="s">
        <v>43</v>
      </c>
      <c r="I1013" s="126" t="s">
        <v>2571</v>
      </c>
      <c r="J1013" s="443" t="s">
        <v>45</v>
      </c>
      <c r="K1013" s="126">
        <v>165.7</v>
      </c>
      <c r="L1013" s="126" t="s">
        <v>2572</v>
      </c>
      <c r="M1013" s="104" t="s">
        <v>2575</v>
      </c>
      <c r="N1013" s="265">
        <v>43259</v>
      </c>
      <c r="O1013" s="260">
        <v>43265</v>
      </c>
      <c r="P1013" s="106" t="s">
        <v>1295</v>
      </c>
      <c r="Q1013" s="107" t="s">
        <v>1527</v>
      </c>
      <c r="R1013" s="267">
        <v>0.99199999999999999</v>
      </c>
      <c r="S1013" s="37">
        <f>100000-166</f>
        <v>99834</v>
      </c>
      <c r="T1013" s="36">
        <f t="shared" ca="1" si="84"/>
        <v>110</v>
      </c>
      <c r="U1013" s="37"/>
      <c r="V1013" s="37"/>
      <c r="W1013" s="38"/>
      <c r="X1013" s="39"/>
      <c r="Y1013" s="150"/>
      <c r="Z1013" s="40"/>
      <c r="AA1013" s="136" t="str">
        <f t="shared" ca="1" si="85"/>
        <v/>
      </c>
      <c r="AB1013" s="40"/>
      <c r="AC1013" s="116"/>
      <c r="AD1013" s="116"/>
      <c r="AE1013" s="40"/>
      <c r="AF1013" s="136" t="str">
        <f t="shared" ca="1" si="86"/>
        <v/>
      </c>
      <c r="AG1013" s="127"/>
      <c r="AH1013" s="127"/>
      <c r="AI1013" s="127"/>
      <c r="AJ1013" s="128"/>
      <c r="AK1013" s="128"/>
      <c r="AL1013" s="129"/>
    </row>
    <row r="1014" spans="1:38" ht="23.25" x14ac:dyDescent="0.25">
      <c r="A1014" s="486" t="str">
        <f t="shared" si="83"/>
        <v>18REF151</v>
      </c>
      <c r="B1014" s="487">
        <v>151</v>
      </c>
      <c r="C1014" s="486" t="s">
        <v>39</v>
      </c>
      <c r="D1014" s="488" t="s">
        <v>170</v>
      </c>
      <c r="E1014" s="124" t="s">
        <v>701</v>
      </c>
      <c r="F1014" s="124" t="s">
        <v>3011</v>
      </c>
      <c r="G1014" s="251" t="s">
        <v>3012</v>
      </c>
      <c r="H1014" s="443" t="s">
        <v>43</v>
      </c>
      <c r="I1014" s="126" t="s">
        <v>2571</v>
      </c>
      <c r="J1014" s="443" t="s">
        <v>45</v>
      </c>
      <c r="K1014" s="126">
        <v>165.7</v>
      </c>
      <c r="L1014" s="126" t="s">
        <v>2572</v>
      </c>
      <c r="M1014" s="104" t="s">
        <v>2575</v>
      </c>
      <c r="N1014" s="265">
        <v>43259</v>
      </c>
      <c r="O1014" s="260"/>
      <c r="P1014" s="106" t="s">
        <v>1295</v>
      </c>
      <c r="Q1014" s="107" t="s">
        <v>1527</v>
      </c>
      <c r="R1014" s="267">
        <v>0.99199999999999999</v>
      </c>
      <c r="S1014" s="37"/>
      <c r="T1014" s="36" t="str">
        <f t="shared" ca="1" si="84"/>
        <v/>
      </c>
      <c r="U1014" s="37"/>
      <c r="V1014" s="37"/>
      <c r="W1014" s="38"/>
      <c r="X1014" s="39"/>
      <c r="Y1014" s="150"/>
      <c r="Z1014" s="40"/>
      <c r="AA1014" s="136" t="str">
        <f t="shared" ca="1" si="85"/>
        <v/>
      </c>
      <c r="AB1014" s="40"/>
      <c r="AC1014" s="116"/>
      <c r="AD1014" s="116"/>
      <c r="AE1014" s="40"/>
      <c r="AF1014" s="136" t="str">
        <f t="shared" ca="1" si="86"/>
        <v/>
      </c>
      <c r="AG1014" s="127"/>
      <c r="AH1014" s="127"/>
      <c r="AI1014" s="127"/>
      <c r="AJ1014" s="128"/>
      <c r="AK1014" s="128"/>
      <c r="AL1014" s="129"/>
    </row>
    <row r="1015" spans="1:38" ht="23.25" x14ac:dyDescent="0.25">
      <c r="A1015" s="486" t="str">
        <f t="shared" si="83"/>
        <v>18REF152</v>
      </c>
      <c r="B1015" s="487">
        <v>152</v>
      </c>
      <c r="C1015" s="486" t="s">
        <v>39</v>
      </c>
      <c r="D1015" s="488" t="s">
        <v>170</v>
      </c>
      <c r="E1015" s="124" t="s">
        <v>701</v>
      </c>
      <c r="F1015" s="124" t="s">
        <v>3011</v>
      </c>
      <c r="G1015" s="251" t="s">
        <v>3012</v>
      </c>
      <c r="H1015" s="443" t="s">
        <v>43</v>
      </c>
      <c r="I1015" s="126" t="s">
        <v>2571</v>
      </c>
      <c r="J1015" s="443" t="s">
        <v>45</v>
      </c>
      <c r="K1015" s="126">
        <v>165.7</v>
      </c>
      <c r="L1015" s="126" t="s">
        <v>2572</v>
      </c>
      <c r="M1015" s="104" t="s">
        <v>2575</v>
      </c>
      <c r="N1015" s="265">
        <v>43259</v>
      </c>
      <c r="O1015" s="260"/>
      <c r="P1015" s="106" t="s">
        <v>1295</v>
      </c>
      <c r="Q1015" s="107" t="s">
        <v>1527</v>
      </c>
      <c r="R1015" s="267">
        <v>0.99199999999999999</v>
      </c>
      <c r="S1015" s="37"/>
      <c r="T1015" s="36" t="str">
        <f t="shared" ca="1" si="84"/>
        <v/>
      </c>
      <c r="U1015" s="37"/>
      <c r="V1015" s="37"/>
      <c r="W1015" s="38"/>
      <c r="X1015" s="39"/>
      <c r="Y1015" s="150"/>
      <c r="Z1015" s="40"/>
      <c r="AA1015" s="136" t="str">
        <f t="shared" ca="1" si="85"/>
        <v/>
      </c>
      <c r="AB1015" s="40"/>
      <c r="AC1015" s="116"/>
      <c r="AD1015" s="116"/>
      <c r="AE1015" s="40"/>
      <c r="AF1015" s="136" t="str">
        <f t="shared" ca="1" si="86"/>
        <v/>
      </c>
      <c r="AG1015" s="127"/>
      <c r="AH1015" s="127"/>
      <c r="AI1015" s="127"/>
      <c r="AJ1015" s="128"/>
      <c r="AK1015" s="128"/>
      <c r="AL1015" s="129"/>
    </row>
    <row r="1016" spans="1:38" ht="23.25" x14ac:dyDescent="0.25">
      <c r="A1016" s="486" t="str">
        <f t="shared" si="83"/>
        <v>18REF153</v>
      </c>
      <c r="B1016" s="487">
        <v>153</v>
      </c>
      <c r="C1016" s="486" t="s">
        <v>39</v>
      </c>
      <c r="D1016" s="488" t="s">
        <v>170</v>
      </c>
      <c r="E1016" s="124" t="s">
        <v>701</v>
      </c>
      <c r="F1016" s="124" t="s">
        <v>3011</v>
      </c>
      <c r="G1016" s="251" t="s">
        <v>3012</v>
      </c>
      <c r="H1016" s="443" t="s">
        <v>43</v>
      </c>
      <c r="I1016" s="126" t="s">
        <v>2571</v>
      </c>
      <c r="J1016" s="443" t="s">
        <v>45</v>
      </c>
      <c r="K1016" s="126">
        <v>165.7</v>
      </c>
      <c r="L1016" s="126" t="s">
        <v>2572</v>
      </c>
      <c r="M1016" s="104" t="s">
        <v>2575</v>
      </c>
      <c r="N1016" s="265">
        <v>43259</v>
      </c>
      <c r="O1016" s="260"/>
      <c r="P1016" s="106" t="s">
        <v>1295</v>
      </c>
      <c r="Q1016" s="107" t="s">
        <v>1527</v>
      </c>
      <c r="R1016" s="267">
        <v>0.99199999999999999</v>
      </c>
      <c r="S1016" s="37"/>
      <c r="T1016" s="36" t="str">
        <f t="shared" ca="1" si="84"/>
        <v/>
      </c>
      <c r="U1016" s="37"/>
      <c r="V1016" s="37"/>
      <c r="W1016" s="38"/>
      <c r="X1016" s="39"/>
      <c r="Y1016" s="150"/>
      <c r="Z1016" s="40"/>
      <c r="AA1016" s="136" t="str">
        <f t="shared" ca="1" si="85"/>
        <v/>
      </c>
      <c r="AB1016" s="40"/>
      <c r="AC1016" s="116"/>
      <c r="AD1016" s="116"/>
      <c r="AE1016" s="40"/>
      <c r="AF1016" s="136" t="str">
        <f t="shared" ca="1" si="86"/>
        <v/>
      </c>
      <c r="AG1016" s="127"/>
      <c r="AH1016" s="127"/>
      <c r="AI1016" s="127"/>
      <c r="AJ1016" s="128"/>
      <c r="AK1016" s="128"/>
      <c r="AL1016" s="129"/>
    </row>
    <row r="1017" spans="1:38" ht="23.25" x14ac:dyDescent="0.25">
      <c r="A1017" s="486" t="str">
        <f t="shared" si="83"/>
        <v>18REF154</v>
      </c>
      <c r="B1017" s="490">
        <v>154</v>
      </c>
      <c r="C1017" s="486" t="s">
        <v>39</v>
      </c>
      <c r="D1017" s="488" t="s">
        <v>744</v>
      </c>
      <c r="E1017" s="124" t="s">
        <v>701</v>
      </c>
      <c r="F1017" s="124" t="s">
        <v>2780</v>
      </c>
      <c r="G1017" s="251"/>
      <c r="H1017" s="443" t="s">
        <v>43</v>
      </c>
      <c r="I1017" s="126" t="s">
        <v>2781</v>
      </c>
      <c r="J1017" s="443" t="s">
        <v>180</v>
      </c>
      <c r="K1017" s="126">
        <v>116.12</v>
      </c>
      <c r="L1017" s="126" t="s">
        <v>2782</v>
      </c>
      <c r="M1017" s="104" t="s">
        <v>2783</v>
      </c>
      <c r="N1017" s="593">
        <v>43259</v>
      </c>
      <c r="O1017" s="260">
        <v>43341</v>
      </c>
      <c r="P1017" s="106" t="s">
        <v>1295</v>
      </c>
      <c r="Q1017" s="107"/>
      <c r="R1017" s="267">
        <v>0.99299999999999999</v>
      </c>
      <c r="S1017" s="37"/>
      <c r="T1017" s="36" t="str">
        <f t="shared" ca="1" si="84"/>
        <v/>
      </c>
      <c r="U1017" s="37"/>
      <c r="V1017" s="37"/>
      <c r="W1017" s="38"/>
      <c r="X1017" s="39"/>
      <c r="Y1017" s="150"/>
      <c r="Z1017" s="40"/>
      <c r="AA1017" s="136" t="str">
        <f t="shared" ca="1" si="85"/>
        <v/>
      </c>
      <c r="AB1017" s="40"/>
      <c r="AC1017" s="116"/>
      <c r="AD1017" s="116"/>
      <c r="AE1017" s="40"/>
      <c r="AF1017" s="136" t="str">
        <f t="shared" ca="1" si="86"/>
        <v/>
      </c>
      <c r="AG1017" s="127"/>
      <c r="AH1017" s="127"/>
      <c r="AI1017" s="127"/>
      <c r="AJ1017" s="128"/>
      <c r="AK1017" s="128"/>
      <c r="AL1017" s="129"/>
    </row>
    <row r="1018" spans="1:38" ht="23.25" x14ac:dyDescent="0.25">
      <c r="A1018" s="486" t="str">
        <f t="shared" si="83"/>
        <v>18REF155</v>
      </c>
      <c r="B1018" s="487">
        <v>155</v>
      </c>
      <c r="C1018" s="486" t="s">
        <v>39</v>
      </c>
      <c r="D1018" s="488" t="s">
        <v>744</v>
      </c>
      <c r="E1018" s="124" t="s">
        <v>701</v>
      </c>
      <c r="F1018" s="124" t="s">
        <v>779</v>
      </c>
      <c r="G1018" s="251" t="s">
        <v>1126</v>
      </c>
      <c r="H1018" s="443" t="s">
        <v>625</v>
      </c>
      <c r="I1018" s="126" t="s">
        <v>3259</v>
      </c>
      <c r="J1018" s="443" t="s">
        <v>45</v>
      </c>
      <c r="K1018" s="126">
        <v>197.13</v>
      </c>
      <c r="L1018" s="126" t="s">
        <v>2922</v>
      </c>
      <c r="M1018" s="104" t="s">
        <v>782</v>
      </c>
      <c r="N1018" s="265">
        <v>43266</v>
      </c>
      <c r="O1018" s="260">
        <v>43357</v>
      </c>
      <c r="P1018" s="106" t="s">
        <v>183</v>
      </c>
      <c r="Q1018" s="107" t="s">
        <v>3009</v>
      </c>
      <c r="R1018" s="267">
        <v>0.99299999999999999</v>
      </c>
      <c r="S1018" s="37">
        <v>0</v>
      </c>
      <c r="T1018" s="36" t="str">
        <f t="shared" ca="1" si="84"/>
        <v>Empty</v>
      </c>
      <c r="U1018" s="37"/>
      <c r="V1018" s="37"/>
      <c r="W1018" s="38"/>
      <c r="X1018" s="39"/>
      <c r="Y1018" s="150"/>
      <c r="Z1018" s="40"/>
      <c r="AA1018" s="136" t="str">
        <f t="shared" ca="1" si="85"/>
        <v/>
      </c>
      <c r="AB1018" s="40"/>
      <c r="AC1018" s="116"/>
      <c r="AD1018" s="116"/>
      <c r="AE1018" s="40"/>
      <c r="AF1018" s="136" t="str">
        <f t="shared" ca="1" si="86"/>
        <v/>
      </c>
      <c r="AG1018" s="127"/>
      <c r="AH1018" s="127"/>
      <c r="AI1018" s="127"/>
      <c r="AJ1018" s="128"/>
      <c r="AK1018" s="128"/>
      <c r="AL1018" s="129"/>
    </row>
    <row r="1019" spans="1:38" ht="23.25" x14ac:dyDescent="0.25">
      <c r="A1019" s="486" t="str">
        <f t="shared" si="83"/>
        <v>18REF156</v>
      </c>
      <c r="B1019" s="487">
        <v>156</v>
      </c>
      <c r="C1019" s="486" t="s">
        <v>39</v>
      </c>
      <c r="D1019" s="488" t="s">
        <v>744</v>
      </c>
      <c r="E1019" s="124" t="s">
        <v>701</v>
      </c>
      <c r="F1019" s="124" t="s">
        <v>243</v>
      </c>
      <c r="G1019" s="251" t="s">
        <v>244</v>
      </c>
      <c r="H1019" s="443" t="s">
        <v>625</v>
      </c>
      <c r="I1019" s="126" t="s">
        <v>3184</v>
      </c>
      <c r="J1019" s="443" t="s">
        <v>45</v>
      </c>
      <c r="K1019" s="126">
        <v>213.23</v>
      </c>
      <c r="L1019" s="126" t="s">
        <v>3185</v>
      </c>
      <c r="M1019" s="104" t="s">
        <v>627</v>
      </c>
      <c r="N1019" s="265">
        <v>43266</v>
      </c>
      <c r="O1019" s="260">
        <v>43272</v>
      </c>
      <c r="P1019" s="106" t="s">
        <v>86</v>
      </c>
      <c r="Q1019" s="107" t="s">
        <v>3260</v>
      </c>
      <c r="R1019" s="266">
        <v>1</v>
      </c>
      <c r="S1019" s="37">
        <f>10-1.74</f>
        <v>8.26</v>
      </c>
      <c r="T1019" s="36">
        <f t="shared" ca="1" si="84"/>
        <v>103</v>
      </c>
      <c r="U1019" s="37"/>
      <c r="V1019" s="37"/>
      <c r="W1019" s="38"/>
      <c r="X1019" s="39"/>
      <c r="Y1019" s="150"/>
      <c r="Z1019" s="40"/>
      <c r="AA1019" s="136" t="str">
        <f t="shared" ca="1" si="85"/>
        <v/>
      </c>
      <c r="AB1019" s="40"/>
      <c r="AC1019" s="116"/>
      <c r="AD1019" s="116"/>
      <c r="AE1019" s="40"/>
      <c r="AF1019" s="136" t="str">
        <f t="shared" ca="1" si="86"/>
        <v/>
      </c>
      <c r="AG1019" s="127"/>
      <c r="AH1019" s="127"/>
      <c r="AI1019" s="127"/>
      <c r="AJ1019" s="128"/>
      <c r="AK1019" s="128"/>
      <c r="AL1019" s="129"/>
    </row>
    <row r="1020" spans="1:38" ht="23.25" x14ac:dyDescent="0.25">
      <c r="A1020" s="489" t="str">
        <f t="shared" si="83"/>
        <v>18SAM157</v>
      </c>
      <c r="B1020" s="490">
        <v>157</v>
      </c>
      <c r="C1020" s="489" t="s">
        <v>57</v>
      </c>
      <c r="D1020" s="491" t="s">
        <v>40</v>
      </c>
      <c r="E1020" s="124" t="s">
        <v>3037</v>
      </c>
      <c r="F1020" s="124" t="s">
        <v>3038</v>
      </c>
      <c r="G1020" s="251" t="s">
        <v>3041</v>
      </c>
      <c r="H1020" s="443" t="s">
        <v>112</v>
      </c>
      <c r="I1020" s="126" t="s">
        <v>2298</v>
      </c>
      <c r="J1020" s="47" t="s">
        <v>105</v>
      </c>
      <c r="K1020" s="126">
        <v>3561.12</v>
      </c>
      <c r="L1020" s="126">
        <v>1455</v>
      </c>
      <c r="M1020" s="104" t="s">
        <v>3039</v>
      </c>
      <c r="N1020" s="265">
        <v>43276</v>
      </c>
      <c r="O1020" s="260">
        <v>43277</v>
      </c>
      <c r="P1020" s="106" t="s">
        <v>3040</v>
      </c>
      <c r="Q1020" s="107" t="s">
        <v>877</v>
      </c>
      <c r="R1020" s="267">
        <v>0.96499999999999997</v>
      </c>
      <c r="S1020" s="37">
        <v>0</v>
      </c>
      <c r="T1020" s="36" t="str">
        <f t="shared" ca="1" si="84"/>
        <v>Empty</v>
      </c>
      <c r="U1020" s="37" t="s">
        <v>3054</v>
      </c>
      <c r="V1020" s="392" t="s">
        <v>3044</v>
      </c>
      <c r="W1020" s="38"/>
      <c r="X1020" s="39"/>
      <c r="Y1020" s="150"/>
      <c r="Z1020" s="40"/>
      <c r="AA1020" s="136" t="str">
        <f t="shared" ca="1" si="85"/>
        <v/>
      </c>
      <c r="AB1020" s="40"/>
      <c r="AC1020" s="116"/>
      <c r="AD1020" s="116"/>
      <c r="AE1020" s="40"/>
      <c r="AF1020" s="136" t="str">
        <f t="shared" ca="1" si="86"/>
        <v/>
      </c>
      <c r="AG1020" s="127"/>
      <c r="AH1020" s="127"/>
      <c r="AI1020" s="127"/>
      <c r="AJ1020" s="128"/>
      <c r="AK1020" s="128"/>
      <c r="AL1020" s="129"/>
    </row>
    <row r="1021" spans="1:38" ht="23.25" x14ac:dyDescent="0.25">
      <c r="A1021" s="489" t="str">
        <f t="shared" si="83"/>
        <v>18SAM158</v>
      </c>
      <c r="B1021" s="490">
        <v>158</v>
      </c>
      <c r="C1021" s="489" t="s">
        <v>57</v>
      </c>
      <c r="D1021" s="491" t="s">
        <v>40</v>
      </c>
      <c r="E1021" s="124" t="s">
        <v>3037</v>
      </c>
      <c r="F1021" s="124" t="s">
        <v>3038</v>
      </c>
      <c r="G1021" s="251" t="s">
        <v>3041</v>
      </c>
      <c r="H1021" s="443" t="s">
        <v>112</v>
      </c>
      <c r="I1021" s="126" t="s">
        <v>2298</v>
      </c>
      <c r="J1021" s="47" t="s">
        <v>105</v>
      </c>
      <c r="K1021" s="126">
        <v>3561.12</v>
      </c>
      <c r="L1021" s="126">
        <v>1455</v>
      </c>
      <c r="M1021" s="104" t="s">
        <v>3039</v>
      </c>
      <c r="N1021" s="265">
        <v>43276</v>
      </c>
      <c r="O1021" s="260">
        <v>43278</v>
      </c>
      <c r="P1021" s="106" t="s">
        <v>3040</v>
      </c>
      <c r="Q1021" s="107" t="s">
        <v>877</v>
      </c>
      <c r="R1021" s="267">
        <v>0.96499999999999997</v>
      </c>
      <c r="S1021" s="37">
        <v>0</v>
      </c>
      <c r="T1021" s="36" t="str">
        <f t="shared" ca="1" si="84"/>
        <v>Empty</v>
      </c>
      <c r="U1021" s="37" t="s">
        <v>3054</v>
      </c>
      <c r="V1021" s="392" t="s">
        <v>3044</v>
      </c>
      <c r="W1021" s="38"/>
      <c r="X1021" s="39"/>
      <c r="Y1021" s="150"/>
      <c r="Z1021" s="40"/>
      <c r="AA1021" s="136" t="str">
        <f t="shared" ca="1" si="85"/>
        <v/>
      </c>
      <c r="AB1021" s="40"/>
      <c r="AC1021" s="116"/>
      <c r="AD1021" s="116"/>
      <c r="AE1021" s="40"/>
      <c r="AF1021" s="136" t="str">
        <f t="shared" ca="1" si="86"/>
        <v/>
      </c>
      <c r="AG1021" s="127"/>
      <c r="AH1021" s="127"/>
      <c r="AI1021" s="127"/>
      <c r="AJ1021" s="128"/>
      <c r="AK1021" s="128"/>
      <c r="AL1021" s="129"/>
    </row>
    <row r="1022" spans="1:38" ht="23.25" x14ac:dyDescent="0.25">
      <c r="A1022" s="489" t="str">
        <f t="shared" si="83"/>
        <v>18SAM159</v>
      </c>
      <c r="B1022" s="490">
        <v>159</v>
      </c>
      <c r="C1022" s="489" t="s">
        <v>57</v>
      </c>
      <c r="D1022" s="491" t="s">
        <v>170</v>
      </c>
      <c r="E1022" s="124" t="s">
        <v>1701</v>
      </c>
      <c r="F1022" s="124" t="s">
        <v>3271</v>
      </c>
      <c r="G1022" s="251" t="s">
        <v>3272</v>
      </c>
      <c r="H1022" s="443" t="s">
        <v>60</v>
      </c>
      <c r="I1022" s="126" t="s">
        <v>3273</v>
      </c>
      <c r="J1022" s="443" t="s">
        <v>45</v>
      </c>
      <c r="K1022" s="126">
        <v>404.63</v>
      </c>
      <c r="L1022" s="126" t="s">
        <v>61</v>
      </c>
      <c r="M1022" s="104" t="s">
        <v>61</v>
      </c>
      <c r="N1022" s="265">
        <v>43276</v>
      </c>
      <c r="O1022" s="260"/>
      <c r="P1022" s="106" t="s">
        <v>891</v>
      </c>
      <c r="Q1022" s="107" t="s">
        <v>1056</v>
      </c>
      <c r="R1022" s="244" t="s">
        <v>60</v>
      </c>
      <c r="S1022" s="37"/>
      <c r="T1022" s="36" t="str">
        <f t="shared" ca="1" si="84"/>
        <v/>
      </c>
      <c r="U1022" s="37" t="s">
        <v>3274</v>
      </c>
      <c r="V1022" s="37" t="s">
        <v>3203</v>
      </c>
      <c r="W1022" s="38"/>
      <c r="X1022" s="39"/>
      <c r="Y1022" s="150"/>
      <c r="Z1022" s="40"/>
      <c r="AA1022" s="136" t="str">
        <f t="shared" ca="1" si="85"/>
        <v/>
      </c>
      <c r="AB1022" s="40"/>
      <c r="AC1022" s="116"/>
      <c r="AD1022" s="116"/>
      <c r="AE1022" s="40"/>
      <c r="AF1022" s="136" t="str">
        <f t="shared" ca="1" si="86"/>
        <v/>
      </c>
      <c r="AG1022" s="127"/>
      <c r="AH1022" s="127"/>
      <c r="AI1022" s="127"/>
      <c r="AJ1022" s="128"/>
      <c r="AK1022" s="128"/>
      <c r="AL1022" s="129"/>
    </row>
    <row r="1023" spans="1:38" ht="23.25" x14ac:dyDescent="0.25">
      <c r="A1023" s="489" t="str">
        <f t="shared" si="83"/>
        <v>18SAM160</v>
      </c>
      <c r="B1023" s="490">
        <v>160</v>
      </c>
      <c r="C1023" s="489" t="s">
        <v>57</v>
      </c>
      <c r="D1023" s="491" t="s">
        <v>170</v>
      </c>
      <c r="E1023" s="124" t="s">
        <v>1701</v>
      </c>
      <c r="F1023" s="124" t="s">
        <v>3275</v>
      </c>
      <c r="G1023" s="251" t="s">
        <v>3276</v>
      </c>
      <c r="H1023" s="443" t="s">
        <v>60</v>
      </c>
      <c r="I1023" s="126" t="s">
        <v>3277</v>
      </c>
      <c r="J1023" s="443" t="s">
        <v>45</v>
      </c>
      <c r="K1023" s="126">
        <v>444.57</v>
      </c>
      <c r="L1023" s="126" t="s">
        <v>61</v>
      </c>
      <c r="M1023" s="104" t="s">
        <v>61</v>
      </c>
      <c r="N1023" s="265">
        <v>43276</v>
      </c>
      <c r="O1023" s="260">
        <v>43328</v>
      </c>
      <c r="P1023" s="106" t="s">
        <v>891</v>
      </c>
      <c r="Q1023" s="107" t="s">
        <v>1056</v>
      </c>
      <c r="R1023" s="244" t="s">
        <v>60</v>
      </c>
      <c r="S1023" s="37">
        <f>15-1.65</f>
        <v>13.35</v>
      </c>
      <c r="T1023" s="36">
        <f t="shared" ca="1" si="84"/>
        <v>48</v>
      </c>
      <c r="U1023" s="37" t="s">
        <v>3274</v>
      </c>
      <c r="V1023" s="37" t="s">
        <v>3203</v>
      </c>
      <c r="W1023" s="38"/>
      <c r="X1023" s="39"/>
      <c r="Y1023" s="150"/>
      <c r="Z1023" s="40"/>
      <c r="AA1023" s="136" t="str">
        <f t="shared" ca="1" si="85"/>
        <v/>
      </c>
      <c r="AB1023" s="40"/>
      <c r="AC1023" s="116"/>
      <c r="AD1023" s="116"/>
      <c r="AE1023" s="40"/>
      <c r="AF1023" s="136" t="str">
        <f t="shared" ca="1" si="86"/>
        <v/>
      </c>
      <c r="AG1023" s="127"/>
      <c r="AH1023" s="127"/>
      <c r="AI1023" s="127"/>
      <c r="AJ1023" s="128"/>
      <c r="AK1023" s="128"/>
      <c r="AL1023" s="129"/>
    </row>
    <row r="1024" spans="1:38" ht="23.25" x14ac:dyDescent="0.25">
      <c r="A1024" s="489" t="str">
        <f t="shared" si="83"/>
        <v>18SAM161</v>
      </c>
      <c r="B1024" s="490">
        <v>161</v>
      </c>
      <c r="C1024" s="489" t="s">
        <v>57</v>
      </c>
      <c r="D1024" s="491" t="s">
        <v>170</v>
      </c>
      <c r="E1024" s="124" t="s">
        <v>1701</v>
      </c>
      <c r="F1024" s="124" t="s">
        <v>3278</v>
      </c>
      <c r="G1024" s="251" t="s">
        <v>3279</v>
      </c>
      <c r="H1024" s="443" t="s">
        <v>60</v>
      </c>
      <c r="I1024" s="126" t="s">
        <v>3280</v>
      </c>
      <c r="J1024" s="443" t="s">
        <v>45</v>
      </c>
      <c r="K1024" s="126">
        <v>430.59</v>
      </c>
      <c r="L1024" s="126" t="s">
        <v>61</v>
      </c>
      <c r="M1024" s="104" t="s">
        <v>61</v>
      </c>
      <c r="N1024" s="265">
        <v>43276</v>
      </c>
      <c r="O1024" s="260">
        <v>43291</v>
      </c>
      <c r="P1024" s="106" t="s">
        <v>891</v>
      </c>
      <c r="Q1024" s="107" t="s">
        <v>1056</v>
      </c>
      <c r="R1024" s="244" t="s">
        <v>60</v>
      </c>
      <c r="S1024" s="37">
        <f>15-2.45-2.24-2.02-2.08</f>
        <v>6.2100000000000009</v>
      </c>
      <c r="T1024" s="36">
        <f t="shared" ca="1" si="84"/>
        <v>84</v>
      </c>
      <c r="U1024" s="37" t="s">
        <v>3274</v>
      </c>
      <c r="V1024" s="37" t="s">
        <v>3203</v>
      </c>
      <c r="W1024" s="38"/>
      <c r="X1024" s="39"/>
      <c r="Y1024" s="150"/>
      <c r="Z1024" s="40"/>
      <c r="AA1024" s="136" t="str">
        <f t="shared" ca="1" si="85"/>
        <v/>
      </c>
      <c r="AB1024" s="40"/>
      <c r="AC1024" s="116"/>
      <c r="AD1024" s="116"/>
      <c r="AE1024" s="40"/>
      <c r="AF1024" s="136" t="str">
        <f t="shared" ca="1" si="86"/>
        <v/>
      </c>
      <c r="AG1024" s="127"/>
      <c r="AH1024" s="127"/>
      <c r="AI1024" s="127"/>
      <c r="AJ1024" s="128"/>
      <c r="AK1024" s="128"/>
      <c r="AL1024" s="129"/>
    </row>
    <row r="1025" spans="1:38" ht="23.25" x14ac:dyDescent="0.25">
      <c r="A1025" s="489" t="str">
        <f t="shared" si="83"/>
        <v>18SAM162</v>
      </c>
      <c r="B1025" s="490">
        <v>162</v>
      </c>
      <c r="C1025" s="489" t="s">
        <v>57</v>
      </c>
      <c r="D1025" s="491" t="s">
        <v>170</v>
      </c>
      <c r="E1025" s="124" t="s">
        <v>1701</v>
      </c>
      <c r="F1025" s="124" t="s">
        <v>3281</v>
      </c>
      <c r="G1025" s="251" t="s">
        <v>3282</v>
      </c>
      <c r="H1025" s="443" t="s">
        <v>60</v>
      </c>
      <c r="I1025" s="126" t="s">
        <v>3283</v>
      </c>
      <c r="J1025" s="443" t="s">
        <v>45</v>
      </c>
      <c r="K1025" s="126">
        <v>428.57</v>
      </c>
      <c r="L1025" s="126" t="s">
        <v>61</v>
      </c>
      <c r="M1025" s="104" t="s">
        <v>61</v>
      </c>
      <c r="N1025" s="265">
        <v>43276</v>
      </c>
      <c r="O1025" s="260">
        <v>43278</v>
      </c>
      <c r="P1025" s="106" t="s">
        <v>891</v>
      </c>
      <c r="Q1025" s="107" t="s">
        <v>1056</v>
      </c>
      <c r="R1025" s="244" t="s">
        <v>60</v>
      </c>
      <c r="S1025" s="37">
        <f>15-7.55-3.13</f>
        <v>4.32</v>
      </c>
      <c r="T1025" s="36">
        <f t="shared" ca="1" si="84"/>
        <v>97</v>
      </c>
      <c r="U1025" s="37" t="s">
        <v>3274</v>
      </c>
      <c r="V1025" s="37" t="s">
        <v>3203</v>
      </c>
      <c r="W1025" s="38"/>
      <c r="X1025" s="39"/>
      <c r="Y1025" s="150"/>
      <c r="Z1025" s="40"/>
      <c r="AA1025" s="136" t="str">
        <f t="shared" ca="1" si="85"/>
        <v/>
      </c>
      <c r="AB1025" s="40"/>
      <c r="AC1025" s="116"/>
      <c r="AD1025" s="116"/>
      <c r="AE1025" s="40"/>
      <c r="AF1025" s="136" t="str">
        <f t="shared" ca="1" si="86"/>
        <v/>
      </c>
      <c r="AG1025" s="127"/>
      <c r="AH1025" s="127"/>
      <c r="AI1025" s="127"/>
      <c r="AJ1025" s="128"/>
      <c r="AK1025" s="128"/>
      <c r="AL1025" s="129"/>
    </row>
    <row r="1026" spans="1:38" ht="23.25" x14ac:dyDescent="0.25">
      <c r="A1026" s="486" t="str">
        <f t="shared" si="83"/>
        <v>18REF163</v>
      </c>
      <c r="B1026" s="487">
        <v>163</v>
      </c>
      <c r="C1026" s="486" t="s">
        <v>39</v>
      </c>
      <c r="D1026" s="488" t="s">
        <v>40</v>
      </c>
      <c r="E1026" s="124" t="s">
        <v>701</v>
      </c>
      <c r="F1026" s="124" t="s">
        <v>638</v>
      </c>
      <c r="G1026" s="251" t="s">
        <v>639</v>
      </c>
      <c r="H1026" s="443" t="s">
        <v>43</v>
      </c>
      <c r="I1026" s="190" t="s">
        <v>3288</v>
      </c>
      <c r="J1026" s="47" t="s">
        <v>45</v>
      </c>
      <c r="K1026" s="126">
        <v>170.21</v>
      </c>
      <c r="L1026" s="126" t="s">
        <v>3289</v>
      </c>
      <c r="M1026" s="104" t="s">
        <v>642</v>
      </c>
      <c r="N1026" s="265">
        <v>43278</v>
      </c>
      <c r="O1026" s="260">
        <v>43280</v>
      </c>
      <c r="P1026" s="106" t="s">
        <v>124</v>
      </c>
      <c r="Q1026" s="107" t="s">
        <v>3302</v>
      </c>
      <c r="R1026" s="266">
        <v>1</v>
      </c>
      <c r="S1026" s="37">
        <f>100-7.23-36.07-17.2</f>
        <v>39.5</v>
      </c>
      <c r="T1026" s="36">
        <f t="shared" ca="1" si="84"/>
        <v>95</v>
      </c>
      <c r="U1026" s="37" t="s">
        <v>3290</v>
      </c>
      <c r="V1026" s="37"/>
      <c r="W1026" s="38"/>
      <c r="X1026" s="39"/>
      <c r="Y1026" s="150"/>
      <c r="Z1026" s="40"/>
      <c r="AA1026" s="136" t="str">
        <f t="shared" ca="1" si="85"/>
        <v/>
      </c>
      <c r="AB1026" s="40"/>
      <c r="AC1026" s="116"/>
      <c r="AD1026" s="116"/>
      <c r="AE1026" s="40"/>
      <c r="AF1026" s="136" t="str">
        <f t="shared" ca="1" si="86"/>
        <v/>
      </c>
      <c r="AG1026" s="127"/>
      <c r="AH1026" s="127"/>
      <c r="AI1026" s="127"/>
      <c r="AJ1026" s="128"/>
      <c r="AK1026" s="128"/>
      <c r="AL1026" s="129"/>
    </row>
    <row r="1027" spans="1:38" ht="30" x14ac:dyDescent="0.25">
      <c r="A1027" s="486" t="str">
        <f t="shared" si="83"/>
        <v>18REF164</v>
      </c>
      <c r="B1027" s="487">
        <v>164</v>
      </c>
      <c r="C1027" s="486" t="s">
        <v>39</v>
      </c>
      <c r="D1027" s="488" t="s">
        <v>40</v>
      </c>
      <c r="E1027" s="124" t="s">
        <v>701</v>
      </c>
      <c r="F1027" s="124" t="s">
        <v>3296</v>
      </c>
      <c r="G1027" s="251" t="s">
        <v>3297</v>
      </c>
      <c r="H1027" s="443" t="s">
        <v>43</v>
      </c>
      <c r="I1027" s="126" t="s">
        <v>3298</v>
      </c>
      <c r="J1027" s="443" t="s">
        <v>180</v>
      </c>
      <c r="K1027" s="126">
        <v>356.73</v>
      </c>
      <c r="L1027" s="126" t="s">
        <v>3299</v>
      </c>
      <c r="M1027" s="104" t="s">
        <v>3300</v>
      </c>
      <c r="N1027" s="265">
        <v>43279</v>
      </c>
      <c r="O1027" s="260"/>
      <c r="P1027" s="106" t="s">
        <v>497</v>
      </c>
      <c r="Q1027" s="107" t="s">
        <v>3301</v>
      </c>
      <c r="R1027" s="267">
        <v>0.998</v>
      </c>
      <c r="S1027" s="37"/>
      <c r="T1027" s="36" t="str">
        <f t="shared" ca="1" si="84"/>
        <v/>
      </c>
      <c r="U1027" s="37" t="s">
        <v>3290</v>
      </c>
      <c r="V1027" s="37"/>
      <c r="W1027" s="38"/>
      <c r="X1027" s="39"/>
      <c r="Y1027" s="150"/>
      <c r="Z1027" s="40"/>
      <c r="AA1027" s="136" t="str">
        <f t="shared" ca="1" si="85"/>
        <v/>
      </c>
      <c r="AB1027" s="40"/>
      <c r="AC1027" s="116"/>
      <c r="AD1027" s="116"/>
      <c r="AE1027" s="40"/>
      <c r="AF1027" s="136" t="str">
        <f t="shared" ca="1" si="86"/>
        <v/>
      </c>
      <c r="AG1027" s="127"/>
      <c r="AH1027" s="127"/>
      <c r="AI1027" s="127"/>
      <c r="AJ1027" s="128"/>
      <c r="AK1027" s="128"/>
      <c r="AL1027" s="129"/>
    </row>
    <row r="1028" spans="1:38" ht="23.25" x14ac:dyDescent="0.25">
      <c r="A1028" s="489" t="str">
        <f t="shared" ref="A1028:A1091" si="87">IF(C1028="","",CONCATENATE(18,MID(C1028,1,3),IF(B1028&lt;10,"00",),B1028))</f>
        <v>18SAM165</v>
      </c>
      <c r="B1028" s="490">
        <v>165</v>
      </c>
      <c r="C1028" s="489" t="s">
        <v>57</v>
      </c>
      <c r="D1028" s="491" t="s">
        <v>824</v>
      </c>
      <c r="E1028" s="124" t="s">
        <v>2935</v>
      </c>
      <c r="F1028" s="124" t="s">
        <v>3352</v>
      </c>
      <c r="G1028" s="251"/>
      <c r="H1028" s="443" t="s">
        <v>60</v>
      </c>
      <c r="I1028" s="126">
        <v>5141733</v>
      </c>
      <c r="J1028" s="443" t="s">
        <v>45</v>
      </c>
      <c r="K1028" s="126">
        <v>303.33100000000002</v>
      </c>
      <c r="L1028" s="126" t="s">
        <v>61</v>
      </c>
      <c r="M1028" s="104" t="s">
        <v>61</v>
      </c>
      <c r="N1028" s="265">
        <v>43291</v>
      </c>
      <c r="O1028" s="260">
        <v>43299</v>
      </c>
      <c r="P1028" s="106" t="s">
        <v>3356</v>
      </c>
      <c r="Q1028" s="107" t="s">
        <v>3360</v>
      </c>
      <c r="R1028" s="244" t="s">
        <v>60</v>
      </c>
      <c r="S1028" s="37">
        <f>20.39-10.4</f>
        <v>9.99</v>
      </c>
      <c r="T1028" s="36">
        <f t="shared" ca="1" si="84"/>
        <v>76</v>
      </c>
      <c r="U1028" s="37" t="s">
        <v>3362</v>
      </c>
      <c r="V1028" s="37"/>
      <c r="W1028" s="38"/>
      <c r="X1028" s="39"/>
      <c r="Y1028" s="150"/>
      <c r="Z1028" s="40"/>
      <c r="AA1028" s="136" t="str">
        <f t="shared" ca="1" si="85"/>
        <v/>
      </c>
      <c r="AB1028" s="40"/>
      <c r="AC1028" s="116"/>
      <c r="AD1028" s="116"/>
      <c r="AE1028" s="40"/>
      <c r="AF1028" s="136" t="str">
        <f t="shared" ca="1" si="86"/>
        <v/>
      </c>
      <c r="AG1028" s="127"/>
      <c r="AH1028" s="127"/>
      <c r="AI1028" s="127"/>
      <c r="AJ1028" s="128"/>
      <c r="AK1028" s="128"/>
      <c r="AL1028" s="129"/>
    </row>
    <row r="1029" spans="1:38" ht="23.25" x14ac:dyDescent="0.25">
      <c r="A1029" s="489" t="str">
        <f t="shared" si="87"/>
        <v>18SAM166</v>
      </c>
      <c r="B1029" s="490">
        <v>166</v>
      </c>
      <c r="C1029" s="489" t="s">
        <v>57</v>
      </c>
      <c r="D1029" s="491" t="s">
        <v>824</v>
      </c>
      <c r="E1029" s="124" t="s">
        <v>2935</v>
      </c>
      <c r="F1029" s="124" t="s">
        <v>3353</v>
      </c>
      <c r="G1029" s="251"/>
      <c r="H1029" s="443" t="s">
        <v>60</v>
      </c>
      <c r="I1029" s="126">
        <v>5141385</v>
      </c>
      <c r="J1029" s="443" t="s">
        <v>45</v>
      </c>
      <c r="K1029" s="126">
        <v>455.44299999999998</v>
      </c>
      <c r="L1029" s="126" t="s">
        <v>61</v>
      </c>
      <c r="M1029" s="104" t="s">
        <v>61</v>
      </c>
      <c r="N1029" s="265">
        <v>43291</v>
      </c>
      <c r="O1029" s="260">
        <v>43299</v>
      </c>
      <c r="P1029" s="106" t="s">
        <v>1741</v>
      </c>
      <c r="Q1029" s="107" t="s">
        <v>3361</v>
      </c>
      <c r="R1029" s="244" t="s">
        <v>60</v>
      </c>
      <c r="S1029" s="37">
        <f>20.11-8.12</f>
        <v>11.99</v>
      </c>
      <c r="T1029" s="36">
        <f t="shared" ca="1" si="84"/>
        <v>76</v>
      </c>
      <c r="U1029" s="37" t="s">
        <v>3362</v>
      </c>
      <c r="V1029" s="37"/>
      <c r="W1029" s="38"/>
      <c r="X1029" s="39"/>
      <c r="Y1029" s="150"/>
      <c r="Z1029" s="40"/>
      <c r="AA1029" s="136" t="str">
        <f t="shared" ca="1" si="85"/>
        <v/>
      </c>
      <c r="AB1029" s="40"/>
      <c r="AC1029" s="116"/>
      <c r="AD1029" s="116"/>
      <c r="AE1029" s="40"/>
      <c r="AF1029" s="136" t="str">
        <f t="shared" ca="1" si="86"/>
        <v/>
      </c>
      <c r="AG1029" s="127"/>
      <c r="AH1029" s="127"/>
      <c r="AI1029" s="127"/>
      <c r="AJ1029" s="128"/>
      <c r="AK1029" s="128"/>
      <c r="AL1029" s="129"/>
    </row>
    <row r="1030" spans="1:38" ht="23.25" x14ac:dyDescent="0.25">
      <c r="A1030" s="489" t="str">
        <f t="shared" si="87"/>
        <v>18SAM167</v>
      </c>
      <c r="B1030" s="490">
        <v>167</v>
      </c>
      <c r="C1030" s="489" t="s">
        <v>57</v>
      </c>
      <c r="D1030" s="491" t="s">
        <v>824</v>
      </c>
      <c r="E1030" s="124" t="s">
        <v>2935</v>
      </c>
      <c r="F1030" s="124" t="s">
        <v>3354</v>
      </c>
      <c r="G1030" s="251"/>
      <c r="H1030" s="443" t="s">
        <v>60</v>
      </c>
      <c r="I1030" s="126">
        <v>5140614</v>
      </c>
      <c r="J1030" s="443" t="s">
        <v>45</v>
      </c>
      <c r="K1030" s="126">
        <v>269.63499999999999</v>
      </c>
      <c r="L1030" s="126" t="s">
        <v>61</v>
      </c>
      <c r="M1030" s="104" t="s">
        <v>61</v>
      </c>
      <c r="N1030" s="265">
        <v>43291</v>
      </c>
      <c r="O1030" s="260">
        <v>43300</v>
      </c>
      <c r="P1030" s="106" t="s">
        <v>3357</v>
      </c>
      <c r="Q1030" s="107" t="s">
        <v>3360</v>
      </c>
      <c r="R1030" s="244" t="s">
        <v>60</v>
      </c>
      <c r="S1030" s="37">
        <f>20.25-8.6</f>
        <v>11.65</v>
      </c>
      <c r="T1030" s="36">
        <f t="shared" ca="1" si="84"/>
        <v>75</v>
      </c>
      <c r="U1030" s="37" t="s">
        <v>3362</v>
      </c>
      <c r="V1030" s="37"/>
      <c r="W1030" s="38"/>
      <c r="X1030" s="39"/>
      <c r="Y1030" s="150"/>
      <c r="Z1030" s="40"/>
      <c r="AA1030" s="136" t="str">
        <f t="shared" ca="1" si="85"/>
        <v/>
      </c>
      <c r="AB1030" s="40"/>
      <c r="AC1030" s="116"/>
      <c r="AD1030" s="116"/>
      <c r="AE1030" s="40"/>
      <c r="AF1030" s="136" t="str">
        <f t="shared" ca="1" si="86"/>
        <v/>
      </c>
      <c r="AG1030" s="127"/>
      <c r="AH1030" s="127"/>
      <c r="AI1030" s="127"/>
      <c r="AJ1030" s="128"/>
      <c r="AK1030" s="128"/>
      <c r="AL1030" s="129"/>
    </row>
    <row r="1031" spans="1:38" ht="23.25" x14ac:dyDescent="0.25">
      <c r="A1031" s="489" t="str">
        <f t="shared" si="87"/>
        <v>18SAM168</v>
      </c>
      <c r="B1031" s="490">
        <v>168</v>
      </c>
      <c r="C1031" s="489" t="s">
        <v>57</v>
      </c>
      <c r="D1031" s="491" t="s">
        <v>824</v>
      </c>
      <c r="E1031" s="124" t="s">
        <v>2935</v>
      </c>
      <c r="F1031" s="124" t="s">
        <v>3355</v>
      </c>
      <c r="G1031" s="251"/>
      <c r="H1031" s="443" t="s">
        <v>60</v>
      </c>
      <c r="I1031" s="126">
        <v>5141732</v>
      </c>
      <c r="J1031" s="443" t="s">
        <v>45</v>
      </c>
      <c r="K1031" s="126">
        <v>371.32900000000001</v>
      </c>
      <c r="L1031" s="126" t="s">
        <v>61</v>
      </c>
      <c r="M1031" s="104" t="s">
        <v>61</v>
      </c>
      <c r="N1031" s="265">
        <v>43291</v>
      </c>
      <c r="O1031" s="260">
        <v>43346</v>
      </c>
      <c r="P1031" s="106" t="s">
        <v>3358</v>
      </c>
      <c r="Q1031" s="107" t="s">
        <v>3360</v>
      </c>
      <c r="R1031" s="244" t="s">
        <v>60</v>
      </c>
      <c r="S1031" s="37">
        <f>17.67-6.11</f>
        <v>11.560000000000002</v>
      </c>
      <c r="T1031" s="36">
        <f t="shared" ca="1" si="84"/>
        <v>31</v>
      </c>
      <c r="U1031" s="37" t="s">
        <v>3362</v>
      </c>
      <c r="V1031" s="37"/>
      <c r="W1031" s="38"/>
      <c r="X1031" s="39"/>
      <c r="Y1031" s="150"/>
      <c r="Z1031" s="40"/>
      <c r="AA1031" s="136" t="str">
        <f t="shared" ca="1" si="85"/>
        <v/>
      </c>
      <c r="AB1031" s="40"/>
      <c r="AC1031" s="116"/>
      <c r="AD1031" s="116"/>
      <c r="AE1031" s="40"/>
      <c r="AF1031" s="136" t="str">
        <f t="shared" ca="1" si="86"/>
        <v/>
      </c>
      <c r="AG1031" s="127"/>
      <c r="AH1031" s="127"/>
      <c r="AI1031" s="127"/>
      <c r="AJ1031" s="128"/>
      <c r="AK1031" s="128"/>
      <c r="AL1031" s="129"/>
    </row>
    <row r="1032" spans="1:38" ht="23.25" x14ac:dyDescent="0.25">
      <c r="A1032" s="489" t="str">
        <f t="shared" si="87"/>
        <v>18SAM169</v>
      </c>
      <c r="B1032" s="490">
        <v>169</v>
      </c>
      <c r="C1032" s="489" t="s">
        <v>57</v>
      </c>
      <c r="D1032" s="491" t="s">
        <v>824</v>
      </c>
      <c r="E1032" s="124" t="s">
        <v>2935</v>
      </c>
      <c r="F1032" s="124" t="s">
        <v>3355</v>
      </c>
      <c r="G1032" s="251"/>
      <c r="H1032" s="443" t="s">
        <v>60</v>
      </c>
      <c r="I1032" s="126">
        <v>5140302</v>
      </c>
      <c r="J1032" s="443" t="s">
        <v>45</v>
      </c>
      <c r="K1032" s="126">
        <v>371.32900000000001</v>
      </c>
      <c r="L1032" s="126" t="s">
        <v>61</v>
      </c>
      <c r="M1032" s="104" t="s">
        <v>61</v>
      </c>
      <c r="N1032" s="265">
        <v>43291</v>
      </c>
      <c r="O1032" s="260">
        <v>43298</v>
      </c>
      <c r="P1032" s="106" t="s">
        <v>3359</v>
      </c>
      <c r="Q1032" s="107" t="s">
        <v>3360</v>
      </c>
      <c r="R1032" s="244" t="s">
        <v>60</v>
      </c>
      <c r="S1032" s="37">
        <v>0</v>
      </c>
      <c r="T1032" s="36" t="str">
        <f t="shared" ca="1" si="84"/>
        <v>Empty</v>
      </c>
      <c r="U1032" s="37" t="s">
        <v>3362</v>
      </c>
      <c r="V1032" s="37"/>
      <c r="W1032" s="38"/>
      <c r="X1032" s="39"/>
      <c r="Y1032" s="150"/>
      <c r="Z1032" s="40"/>
      <c r="AA1032" s="136" t="str">
        <f t="shared" ca="1" si="85"/>
        <v/>
      </c>
      <c r="AB1032" s="40"/>
      <c r="AC1032" s="116"/>
      <c r="AD1032" s="116"/>
      <c r="AE1032" s="40"/>
      <c r="AF1032" s="136" t="str">
        <f t="shared" ca="1" si="86"/>
        <v/>
      </c>
      <c r="AG1032" s="127"/>
      <c r="AH1032" s="127"/>
      <c r="AI1032" s="127"/>
      <c r="AJ1032" s="128"/>
      <c r="AK1032" s="128"/>
      <c r="AL1032" s="129"/>
    </row>
    <row r="1033" spans="1:38" ht="23.25" x14ac:dyDescent="0.25">
      <c r="A1033" s="489" t="str">
        <f t="shared" si="87"/>
        <v>18SAM170</v>
      </c>
      <c r="B1033" s="490">
        <v>170</v>
      </c>
      <c r="C1033" s="489" t="s">
        <v>57</v>
      </c>
      <c r="D1033" s="491" t="s">
        <v>170</v>
      </c>
      <c r="E1033" s="124" t="s">
        <v>2935</v>
      </c>
      <c r="F1033" s="124" t="s">
        <v>3363</v>
      </c>
      <c r="G1033" s="251"/>
      <c r="H1033" s="443" t="s">
        <v>60</v>
      </c>
      <c r="I1033" s="126">
        <v>5077670</v>
      </c>
      <c r="J1033" s="443" t="s">
        <v>45</v>
      </c>
      <c r="K1033" s="126">
        <v>341.34</v>
      </c>
      <c r="L1033" s="126" t="s">
        <v>61</v>
      </c>
      <c r="M1033" s="104" t="s">
        <v>61</v>
      </c>
      <c r="N1033" s="265">
        <v>43291</v>
      </c>
      <c r="O1033" s="260">
        <v>43348</v>
      </c>
      <c r="P1033" s="106" t="s">
        <v>3365</v>
      </c>
      <c r="Q1033" s="107" t="s">
        <v>3360</v>
      </c>
      <c r="R1033" s="244" t="s">
        <v>60</v>
      </c>
      <c r="S1033" s="37">
        <f>37.95-10</f>
        <v>27.950000000000003</v>
      </c>
      <c r="T1033" s="36">
        <f t="shared" ca="1" si="84"/>
        <v>29</v>
      </c>
      <c r="U1033" s="37" t="s">
        <v>3367</v>
      </c>
      <c r="V1033" s="37"/>
      <c r="W1033" s="38"/>
      <c r="X1033" s="39"/>
      <c r="Y1033" s="150"/>
      <c r="Z1033" s="40"/>
      <c r="AA1033" s="136" t="str">
        <f t="shared" ca="1" si="85"/>
        <v/>
      </c>
      <c r="AB1033" s="40"/>
      <c r="AC1033" s="116"/>
      <c r="AD1033" s="116"/>
      <c r="AE1033" s="40"/>
      <c r="AF1033" s="136" t="str">
        <f t="shared" ca="1" si="86"/>
        <v/>
      </c>
      <c r="AG1033" s="127"/>
      <c r="AH1033" s="127"/>
      <c r="AI1033" s="127"/>
      <c r="AJ1033" s="128"/>
      <c r="AK1033" s="128"/>
      <c r="AL1033" s="129"/>
    </row>
    <row r="1034" spans="1:38" ht="23.25" x14ac:dyDescent="0.25">
      <c r="A1034" s="489" t="str">
        <f t="shared" si="87"/>
        <v>18SAM171</v>
      </c>
      <c r="B1034" s="490">
        <v>171</v>
      </c>
      <c r="C1034" s="489" t="s">
        <v>57</v>
      </c>
      <c r="D1034" s="491" t="s">
        <v>170</v>
      </c>
      <c r="E1034" s="124" t="s">
        <v>2935</v>
      </c>
      <c r="F1034" s="124" t="s">
        <v>3364</v>
      </c>
      <c r="G1034" s="251"/>
      <c r="H1034" s="443" t="s">
        <v>60</v>
      </c>
      <c r="I1034" s="126">
        <v>5082455</v>
      </c>
      <c r="J1034" s="443" t="s">
        <v>45</v>
      </c>
      <c r="K1034" s="126">
        <v>372.387</v>
      </c>
      <c r="L1034" s="126" t="s">
        <v>61</v>
      </c>
      <c r="M1034" s="104" t="s">
        <v>61</v>
      </c>
      <c r="N1034" s="265">
        <v>43291</v>
      </c>
      <c r="O1034" s="260">
        <v>43348</v>
      </c>
      <c r="P1034" s="106" t="s">
        <v>3366</v>
      </c>
      <c r="Q1034" s="107" t="s">
        <v>3360</v>
      </c>
      <c r="R1034" s="244" t="s">
        <v>60</v>
      </c>
      <c r="S1034" s="37">
        <f>30.37-10</f>
        <v>20.37</v>
      </c>
      <c r="T1034" s="36">
        <f t="shared" ca="1" si="84"/>
        <v>29</v>
      </c>
      <c r="U1034" s="37" t="s">
        <v>3367</v>
      </c>
      <c r="V1034" s="37"/>
      <c r="W1034" s="38"/>
      <c r="X1034" s="39"/>
      <c r="Y1034" s="150"/>
      <c r="Z1034" s="40"/>
      <c r="AA1034" s="136" t="str">
        <f t="shared" ca="1" si="85"/>
        <v/>
      </c>
      <c r="AB1034" s="40"/>
      <c r="AC1034" s="116"/>
      <c r="AD1034" s="116"/>
      <c r="AE1034" s="40"/>
      <c r="AF1034" s="136" t="str">
        <f t="shared" ca="1" si="86"/>
        <v/>
      </c>
      <c r="AG1034" s="127"/>
      <c r="AH1034" s="127"/>
      <c r="AI1034" s="127"/>
      <c r="AJ1034" s="128"/>
      <c r="AK1034" s="128"/>
      <c r="AL1034" s="129"/>
    </row>
    <row r="1035" spans="1:38" ht="23.25" x14ac:dyDescent="0.25">
      <c r="A1035" s="489" t="str">
        <f t="shared" si="87"/>
        <v>18SAM172</v>
      </c>
      <c r="B1035" s="490">
        <v>172</v>
      </c>
      <c r="C1035" s="489" t="s">
        <v>57</v>
      </c>
      <c r="D1035" s="491" t="s">
        <v>3369</v>
      </c>
      <c r="E1035" s="124" t="s">
        <v>1041</v>
      </c>
      <c r="F1035" s="124" t="s">
        <v>3370</v>
      </c>
      <c r="G1035" s="251" t="s">
        <v>3371</v>
      </c>
      <c r="H1035" s="443" t="s">
        <v>60</v>
      </c>
      <c r="I1035" s="126"/>
      <c r="J1035" s="443" t="s">
        <v>45</v>
      </c>
      <c r="K1035" s="126">
        <v>392.33</v>
      </c>
      <c r="L1035" s="126" t="s">
        <v>61</v>
      </c>
      <c r="M1035" s="104" t="s">
        <v>61</v>
      </c>
      <c r="N1035" s="265">
        <v>43291</v>
      </c>
      <c r="O1035" s="262" t="s">
        <v>61</v>
      </c>
      <c r="P1035" s="106" t="s">
        <v>3375</v>
      </c>
      <c r="Q1035" s="677" t="s">
        <v>3379</v>
      </c>
      <c r="R1035" s="244" t="s">
        <v>60</v>
      </c>
      <c r="S1035" s="37">
        <v>0</v>
      </c>
      <c r="T1035" s="36" t="str">
        <f t="shared" ca="1" si="84"/>
        <v>Empty</v>
      </c>
      <c r="U1035" s="37" t="s">
        <v>3380</v>
      </c>
      <c r="V1035" s="37" t="s">
        <v>3383</v>
      </c>
      <c r="W1035" s="38"/>
      <c r="X1035" s="39"/>
      <c r="Y1035" s="150"/>
      <c r="Z1035" s="40"/>
      <c r="AA1035" s="136" t="str">
        <f t="shared" ca="1" si="85"/>
        <v/>
      </c>
      <c r="AB1035" s="40"/>
      <c r="AC1035" s="116"/>
      <c r="AD1035" s="116"/>
      <c r="AE1035" s="40"/>
      <c r="AF1035" s="136" t="str">
        <f t="shared" ca="1" si="86"/>
        <v/>
      </c>
      <c r="AG1035" s="127"/>
      <c r="AH1035" s="127"/>
      <c r="AI1035" s="127"/>
      <c r="AJ1035" s="128"/>
      <c r="AK1035" s="128"/>
      <c r="AL1035" s="129"/>
    </row>
    <row r="1036" spans="1:38" ht="23.25" x14ac:dyDescent="0.25">
      <c r="A1036" s="489" t="str">
        <f t="shared" si="87"/>
        <v>18SAM173</v>
      </c>
      <c r="B1036" s="490">
        <v>173</v>
      </c>
      <c r="C1036" s="489" t="s">
        <v>57</v>
      </c>
      <c r="D1036" s="491" t="s">
        <v>3369</v>
      </c>
      <c r="E1036" s="124" t="s">
        <v>1041</v>
      </c>
      <c r="F1036" s="124" t="s">
        <v>3370</v>
      </c>
      <c r="G1036" s="251" t="s">
        <v>3372</v>
      </c>
      <c r="H1036" s="443" t="s">
        <v>60</v>
      </c>
      <c r="I1036" s="126"/>
      <c r="J1036" s="443" t="s">
        <v>45</v>
      </c>
      <c r="K1036" s="126">
        <v>392.33</v>
      </c>
      <c r="L1036" s="126" t="s">
        <v>61</v>
      </c>
      <c r="M1036" s="104" t="s">
        <v>61</v>
      </c>
      <c r="N1036" s="265">
        <v>43291</v>
      </c>
      <c r="O1036" s="262" t="s">
        <v>61</v>
      </c>
      <c r="P1036" s="106" t="s">
        <v>3376</v>
      </c>
      <c r="Q1036" s="677" t="s">
        <v>3379</v>
      </c>
      <c r="R1036" s="244" t="s">
        <v>60</v>
      </c>
      <c r="S1036" s="37">
        <v>0</v>
      </c>
      <c r="T1036" s="36" t="str">
        <f t="shared" ca="1" si="84"/>
        <v>Empty</v>
      </c>
      <c r="U1036" s="37" t="s">
        <v>3380</v>
      </c>
      <c r="V1036" s="37" t="s">
        <v>3383</v>
      </c>
      <c r="W1036" s="38"/>
      <c r="X1036" s="39"/>
      <c r="Y1036" s="150"/>
      <c r="Z1036" s="40"/>
      <c r="AA1036" s="136" t="str">
        <f t="shared" ca="1" si="85"/>
        <v/>
      </c>
      <c r="AB1036" s="40"/>
      <c r="AC1036" s="116"/>
      <c r="AD1036" s="116"/>
      <c r="AE1036" s="40"/>
      <c r="AF1036" s="136" t="str">
        <f t="shared" ca="1" si="86"/>
        <v/>
      </c>
      <c r="AG1036" s="127"/>
      <c r="AH1036" s="127"/>
      <c r="AI1036" s="127"/>
      <c r="AJ1036" s="128"/>
      <c r="AK1036" s="128"/>
      <c r="AL1036" s="129"/>
    </row>
    <row r="1037" spans="1:38" ht="23.25" x14ac:dyDescent="0.25">
      <c r="A1037" s="489" t="str">
        <f t="shared" si="87"/>
        <v>18SAM174</v>
      </c>
      <c r="B1037" s="490">
        <v>174</v>
      </c>
      <c r="C1037" s="489" t="s">
        <v>57</v>
      </c>
      <c r="D1037" s="491" t="s">
        <v>3369</v>
      </c>
      <c r="E1037" s="124" t="s">
        <v>1041</v>
      </c>
      <c r="F1037" s="124" t="s">
        <v>3370</v>
      </c>
      <c r="G1037" s="251" t="s">
        <v>3373</v>
      </c>
      <c r="H1037" s="443" t="s">
        <v>60</v>
      </c>
      <c r="I1037" s="126"/>
      <c r="J1037" s="443" t="s">
        <v>45</v>
      </c>
      <c r="K1037" s="126">
        <v>392.33</v>
      </c>
      <c r="L1037" s="126" t="s">
        <v>61</v>
      </c>
      <c r="M1037" s="104" t="s">
        <v>61</v>
      </c>
      <c r="N1037" s="265">
        <v>43291</v>
      </c>
      <c r="O1037" s="262" t="s">
        <v>61</v>
      </c>
      <c r="P1037" s="106" t="s">
        <v>3377</v>
      </c>
      <c r="Q1037" s="677" t="s">
        <v>3379</v>
      </c>
      <c r="R1037" s="244" t="s">
        <v>60</v>
      </c>
      <c r="S1037" s="37">
        <v>0</v>
      </c>
      <c r="T1037" s="36" t="str">
        <f t="shared" ca="1" si="84"/>
        <v>Empty</v>
      </c>
      <c r="U1037" s="37" t="s">
        <v>3380</v>
      </c>
      <c r="V1037" s="37" t="s">
        <v>3383</v>
      </c>
      <c r="W1037" s="38"/>
      <c r="X1037" s="39"/>
      <c r="Y1037" s="150"/>
      <c r="Z1037" s="40"/>
      <c r="AA1037" s="136" t="str">
        <f t="shared" ca="1" si="85"/>
        <v/>
      </c>
      <c r="AB1037" s="40"/>
      <c r="AC1037" s="116"/>
      <c r="AD1037" s="116"/>
      <c r="AE1037" s="40"/>
      <c r="AF1037" s="136" t="str">
        <f t="shared" ca="1" si="86"/>
        <v/>
      </c>
      <c r="AG1037" s="127"/>
      <c r="AH1037" s="127"/>
      <c r="AI1037" s="127"/>
      <c r="AJ1037" s="128"/>
      <c r="AK1037" s="128"/>
      <c r="AL1037" s="129"/>
    </row>
    <row r="1038" spans="1:38" ht="23.25" x14ac:dyDescent="0.25">
      <c r="A1038" s="489" t="str">
        <f t="shared" si="87"/>
        <v>18SAM175</v>
      </c>
      <c r="B1038" s="490">
        <v>175</v>
      </c>
      <c r="C1038" s="489" t="s">
        <v>57</v>
      </c>
      <c r="D1038" s="491" t="s">
        <v>3369</v>
      </c>
      <c r="E1038" s="124" t="s">
        <v>1041</v>
      </c>
      <c r="F1038" s="124" t="s">
        <v>3370</v>
      </c>
      <c r="G1038" s="251" t="s">
        <v>3374</v>
      </c>
      <c r="H1038" s="443" t="s">
        <v>60</v>
      </c>
      <c r="I1038" s="126"/>
      <c r="J1038" s="443" t="s">
        <v>45</v>
      </c>
      <c r="K1038" s="126">
        <v>392.33</v>
      </c>
      <c r="L1038" s="126" t="s">
        <v>61</v>
      </c>
      <c r="M1038" s="104" t="s">
        <v>61</v>
      </c>
      <c r="N1038" s="265">
        <v>43291</v>
      </c>
      <c r="O1038" s="262" t="s">
        <v>61</v>
      </c>
      <c r="P1038" s="106" t="s">
        <v>3378</v>
      </c>
      <c r="Q1038" s="677" t="s">
        <v>3379</v>
      </c>
      <c r="R1038" s="244" t="s">
        <v>60</v>
      </c>
      <c r="S1038" s="37">
        <v>0</v>
      </c>
      <c r="T1038" s="36" t="str">
        <f t="shared" ca="1" si="84"/>
        <v>Empty</v>
      </c>
      <c r="U1038" s="37" t="s">
        <v>3380</v>
      </c>
      <c r="V1038" s="37" t="s">
        <v>3383</v>
      </c>
      <c r="W1038" s="38"/>
      <c r="X1038" s="39"/>
      <c r="Y1038" s="150"/>
      <c r="Z1038" s="40"/>
      <c r="AA1038" s="136" t="str">
        <f t="shared" ca="1" si="85"/>
        <v/>
      </c>
      <c r="AB1038" s="40"/>
      <c r="AC1038" s="116"/>
      <c r="AD1038" s="116"/>
      <c r="AE1038" s="40"/>
      <c r="AF1038" s="136" t="str">
        <f t="shared" ca="1" si="86"/>
        <v/>
      </c>
      <c r="AG1038" s="127"/>
      <c r="AH1038" s="127"/>
      <c r="AI1038" s="127"/>
      <c r="AJ1038" s="128"/>
      <c r="AK1038" s="128"/>
      <c r="AL1038" s="129"/>
    </row>
    <row r="1039" spans="1:38" ht="23.25" x14ac:dyDescent="0.25">
      <c r="A1039" s="486" t="str">
        <f t="shared" si="87"/>
        <v>18REF176</v>
      </c>
      <c r="B1039" s="487">
        <v>176</v>
      </c>
      <c r="C1039" s="486" t="s">
        <v>39</v>
      </c>
      <c r="D1039" s="488" t="s">
        <v>744</v>
      </c>
      <c r="E1039" s="124" t="s">
        <v>701</v>
      </c>
      <c r="F1039" s="124" t="s">
        <v>2776</v>
      </c>
      <c r="G1039" s="251"/>
      <c r="H1039" s="443" t="s">
        <v>43</v>
      </c>
      <c r="I1039" s="126" t="s">
        <v>3215</v>
      </c>
      <c r="J1039" s="443" t="s">
        <v>180</v>
      </c>
      <c r="K1039" s="126">
        <v>165.19</v>
      </c>
      <c r="L1039" s="126" t="s">
        <v>2777</v>
      </c>
      <c r="M1039" s="104" t="s">
        <v>2778</v>
      </c>
      <c r="N1039" s="265">
        <v>43291</v>
      </c>
      <c r="O1039" s="260"/>
      <c r="P1039" s="106" t="s">
        <v>2779</v>
      </c>
      <c r="Q1039" s="107"/>
      <c r="R1039" s="266" t="s">
        <v>1418</v>
      </c>
      <c r="S1039" s="37"/>
      <c r="T1039" s="36" t="str">
        <f t="shared" ca="1" si="84"/>
        <v/>
      </c>
      <c r="U1039" s="37"/>
      <c r="V1039" s="37"/>
      <c r="W1039" s="38"/>
      <c r="X1039" s="39"/>
      <c r="Y1039" s="150"/>
      <c r="Z1039" s="40"/>
      <c r="AA1039" s="136" t="str">
        <f t="shared" ca="1" si="85"/>
        <v/>
      </c>
      <c r="AB1039" s="40"/>
      <c r="AC1039" s="116"/>
      <c r="AD1039" s="116"/>
      <c r="AE1039" s="40"/>
      <c r="AF1039" s="136" t="str">
        <f t="shared" ca="1" si="86"/>
        <v/>
      </c>
      <c r="AG1039" s="127"/>
      <c r="AH1039" s="127"/>
      <c r="AI1039" s="127"/>
      <c r="AJ1039" s="128"/>
      <c r="AK1039" s="128"/>
      <c r="AL1039" s="129"/>
    </row>
    <row r="1040" spans="1:38" ht="23.25" x14ac:dyDescent="0.25">
      <c r="A1040" s="486" t="str">
        <f>IF(C1040="","",CONCATENATE(18,MID(C1040,1,3),IF(B1040&lt;10,"00",),B1040))</f>
        <v>18REF177</v>
      </c>
      <c r="B1040" s="487">
        <v>177</v>
      </c>
      <c r="C1040" s="486" t="s">
        <v>39</v>
      </c>
      <c r="D1040" s="488" t="s">
        <v>744</v>
      </c>
      <c r="E1040" s="124" t="s">
        <v>701</v>
      </c>
      <c r="F1040" s="124" t="s">
        <v>2986</v>
      </c>
      <c r="G1040" s="251"/>
      <c r="H1040" s="443" t="s">
        <v>43</v>
      </c>
      <c r="I1040" s="126" t="s">
        <v>3386</v>
      </c>
      <c r="J1040" s="443" t="s">
        <v>45</v>
      </c>
      <c r="K1040" s="126" t="s">
        <v>61</v>
      </c>
      <c r="L1040" s="126" t="s">
        <v>1869</v>
      </c>
      <c r="M1040" s="104" t="s">
        <v>1870</v>
      </c>
      <c r="N1040" s="265">
        <v>43294</v>
      </c>
      <c r="O1040" s="260"/>
      <c r="P1040" s="106" t="s">
        <v>48</v>
      </c>
      <c r="Q1040" s="107" t="s">
        <v>2994</v>
      </c>
      <c r="R1040" s="244" t="s">
        <v>61</v>
      </c>
      <c r="S1040" s="37"/>
      <c r="T1040" s="36" t="str">
        <f t="shared" ref="T1040:T1103" ca="1" si="88">IF(S1040="","",IF(S1040=0,"Empty",IF(O1040="","",IF(O1040,DAYS360(O1040,TODAY())))))</f>
        <v/>
      </c>
      <c r="U1040" s="37"/>
      <c r="V1040" s="37"/>
      <c r="W1040" s="38"/>
      <c r="X1040" s="39"/>
      <c r="Y1040" s="150"/>
      <c r="Z1040" s="40"/>
      <c r="AA1040" s="136" t="str">
        <f t="shared" ref="AA1040:AA1103" ca="1" si="89">IF(W1040="","",IF(W1040,DAYS360(W1040,TODAY())))</f>
        <v/>
      </c>
      <c r="AB1040" s="40"/>
      <c r="AC1040" s="116"/>
      <c r="AD1040" s="116"/>
      <c r="AE1040" s="40"/>
      <c r="AF1040" s="136" t="str">
        <f t="shared" ref="AF1040:AF1103" ca="1" si="90">IF(AB1040="","",IF(AB1040,DAYS360(AB1040,TODAY())))</f>
        <v/>
      </c>
      <c r="AG1040" s="127"/>
      <c r="AH1040" s="127"/>
      <c r="AI1040" s="127"/>
      <c r="AJ1040" s="128"/>
      <c r="AK1040" s="128"/>
      <c r="AL1040" s="129"/>
    </row>
    <row r="1041" spans="1:38" ht="23.25" x14ac:dyDescent="0.25">
      <c r="A1041" s="486" t="str">
        <f t="shared" si="87"/>
        <v>18REF178</v>
      </c>
      <c r="B1041" s="487">
        <v>178</v>
      </c>
      <c r="C1041" s="486" t="s">
        <v>39</v>
      </c>
      <c r="D1041" s="488" t="s">
        <v>744</v>
      </c>
      <c r="E1041" s="124" t="s">
        <v>701</v>
      </c>
      <c r="F1041" s="124" t="s">
        <v>2986</v>
      </c>
      <c r="G1041" s="251"/>
      <c r="H1041" s="443" t="s">
        <v>43</v>
      </c>
      <c r="I1041" s="126" t="s">
        <v>3386</v>
      </c>
      <c r="J1041" s="443" t="s">
        <v>45</v>
      </c>
      <c r="K1041" s="126" t="s">
        <v>61</v>
      </c>
      <c r="L1041" s="126" t="s">
        <v>1869</v>
      </c>
      <c r="M1041" s="104" t="s">
        <v>1870</v>
      </c>
      <c r="N1041" s="265">
        <v>43294</v>
      </c>
      <c r="O1041" s="260"/>
      <c r="P1041" s="106" t="s">
        <v>48</v>
      </c>
      <c r="Q1041" s="107" t="s">
        <v>2994</v>
      </c>
      <c r="R1041" s="244" t="s">
        <v>61</v>
      </c>
      <c r="S1041" s="37"/>
      <c r="T1041" s="36" t="str">
        <f t="shared" ca="1" si="88"/>
        <v/>
      </c>
      <c r="U1041" s="37"/>
      <c r="V1041" s="37"/>
      <c r="W1041" s="38"/>
      <c r="X1041" s="39"/>
      <c r="Y1041" s="150"/>
      <c r="Z1041" s="40"/>
      <c r="AA1041" s="136" t="str">
        <f t="shared" ca="1" si="89"/>
        <v/>
      </c>
      <c r="AB1041" s="40"/>
      <c r="AC1041" s="116"/>
      <c r="AD1041" s="116"/>
      <c r="AE1041" s="40"/>
      <c r="AF1041" s="136" t="str">
        <f t="shared" ca="1" si="90"/>
        <v/>
      </c>
      <c r="AG1041" s="127"/>
      <c r="AH1041" s="127"/>
      <c r="AI1041" s="127"/>
      <c r="AJ1041" s="128"/>
      <c r="AK1041" s="128"/>
      <c r="AL1041" s="129"/>
    </row>
    <row r="1042" spans="1:38" ht="23.25" x14ac:dyDescent="0.25">
      <c r="A1042" s="486" t="str">
        <f t="shared" si="87"/>
        <v>18REF179</v>
      </c>
      <c r="B1042" s="487">
        <v>179</v>
      </c>
      <c r="C1042" s="486" t="s">
        <v>39</v>
      </c>
      <c r="D1042" s="488" t="s">
        <v>744</v>
      </c>
      <c r="E1042" s="124" t="s">
        <v>701</v>
      </c>
      <c r="F1042" s="124" t="s">
        <v>3315</v>
      </c>
      <c r="G1042" s="251"/>
      <c r="H1042" s="443" t="s">
        <v>43</v>
      </c>
      <c r="I1042" s="126" t="s">
        <v>3387</v>
      </c>
      <c r="J1042" s="443" t="s">
        <v>45</v>
      </c>
      <c r="K1042" s="126">
        <v>136.09</v>
      </c>
      <c r="L1042" s="126" t="s">
        <v>2738</v>
      </c>
      <c r="M1042" s="104" t="s">
        <v>2739</v>
      </c>
      <c r="N1042" s="265">
        <v>43294</v>
      </c>
      <c r="O1042" s="260"/>
      <c r="P1042" s="106" t="s">
        <v>1295</v>
      </c>
      <c r="Q1042" s="107" t="s">
        <v>3388</v>
      </c>
      <c r="R1042" s="266">
        <v>1</v>
      </c>
      <c r="S1042" s="37"/>
      <c r="T1042" s="36" t="str">
        <f t="shared" ca="1" si="88"/>
        <v/>
      </c>
      <c r="U1042" s="37"/>
      <c r="V1042" s="37"/>
      <c r="W1042" s="38"/>
      <c r="X1042" s="39"/>
      <c r="Y1042" s="150"/>
      <c r="Z1042" s="40"/>
      <c r="AA1042" s="136" t="str">
        <f t="shared" ca="1" si="89"/>
        <v/>
      </c>
      <c r="AB1042" s="40"/>
      <c r="AC1042" s="116"/>
      <c r="AD1042" s="116"/>
      <c r="AE1042" s="40"/>
      <c r="AF1042" s="136" t="str">
        <f t="shared" ca="1" si="90"/>
        <v/>
      </c>
      <c r="AG1042" s="127"/>
      <c r="AH1042" s="127"/>
      <c r="AI1042" s="127"/>
      <c r="AJ1042" s="128"/>
      <c r="AK1042" s="128"/>
      <c r="AL1042" s="129"/>
    </row>
    <row r="1043" spans="1:38" ht="23.25" x14ac:dyDescent="0.25">
      <c r="A1043" s="486" t="str">
        <f t="shared" si="87"/>
        <v>18REF180</v>
      </c>
      <c r="B1043" s="487">
        <v>180</v>
      </c>
      <c r="C1043" s="486" t="s">
        <v>39</v>
      </c>
      <c r="D1043" s="488" t="s">
        <v>170</v>
      </c>
      <c r="E1043" s="124" t="s">
        <v>701</v>
      </c>
      <c r="F1043" s="124" t="s">
        <v>3384</v>
      </c>
      <c r="G1043" s="251"/>
      <c r="H1043" s="443" t="s">
        <v>43</v>
      </c>
      <c r="I1043" s="126" t="s">
        <v>3389</v>
      </c>
      <c r="J1043" s="443" t="s">
        <v>45</v>
      </c>
      <c r="K1043" s="126">
        <v>234.25</v>
      </c>
      <c r="L1043" s="126" t="s">
        <v>1832</v>
      </c>
      <c r="M1043" s="104" t="s">
        <v>3390</v>
      </c>
      <c r="N1043" s="265">
        <v>43294</v>
      </c>
      <c r="O1043" s="260"/>
      <c r="P1043" s="106" t="s">
        <v>1295</v>
      </c>
      <c r="Q1043" s="107" t="s">
        <v>1834</v>
      </c>
      <c r="R1043" s="244"/>
      <c r="S1043" s="37"/>
      <c r="T1043" s="36" t="str">
        <f t="shared" ca="1" si="88"/>
        <v/>
      </c>
      <c r="U1043" s="37"/>
      <c r="V1043" s="37"/>
      <c r="W1043" s="38"/>
      <c r="X1043" s="39"/>
      <c r="Y1043" s="150"/>
      <c r="Z1043" s="40"/>
      <c r="AA1043" s="136" t="str">
        <f t="shared" ca="1" si="89"/>
        <v/>
      </c>
      <c r="AB1043" s="40"/>
      <c r="AC1043" s="116"/>
      <c r="AD1043" s="116"/>
      <c r="AE1043" s="40"/>
      <c r="AF1043" s="136" t="str">
        <f t="shared" ca="1" si="90"/>
        <v/>
      </c>
      <c r="AG1043" s="127"/>
      <c r="AH1043" s="127"/>
      <c r="AI1043" s="127"/>
      <c r="AJ1043" s="128"/>
      <c r="AK1043" s="128"/>
      <c r="AL1043" s="129"/>
    </row>
    <row r="1044" spans="1:38" ht="23.25" x14ac:dyDescent="0.25">
      <c r="A1044" s="486" t="str">
        <f t="shared" si="87"/>
        <v>18REF181</v>
      </c>
      <c r="B1044" s="487">
        <v>181</v>
      </c>
      <c r="C1044" s="486" t="s">
        <v>39</v>
      </c>
      <c r="D1044" s="488" t="s">
        <v>744</v>
      </c>
      <c r="E1044" s="124" t="s">
        <v>701</v>
      </c>
      <c r="F1044" s="124" t="s">
        <v>2741</v>
      </c>
      <c r="G1044" s="251"/>
      <c r="H1044" s="443" t="s">
        <v>43</v>
      </c>
      <c r="I1044" s="126" t="s">
        <v>2742</v>
      </c>
      <c r="J1044" s="443" t="s">
        <v>45</v>
      </c>
      <c r="K1044" s="126">
        <v>195.21</v>
      </c>
      <c r="L1044" s="126" t="s">
        <v>2329</v>
      </c>
      <c r="M1044" s="104" t="s">
        <v>2330</v>
      </c>
      <c r="N1044" s="265">
        <v>43294</v>
      </c>
      <c r="O1044" s="260"/>
      <c r="P1044" s="106" t="s">
        <v>271</v>
      </c>
      <c r="Q1044" s="107"/>
      <c r="R1044" s="267">
        <v>0.997</v>
      </c>
      <c r="S1044" s="37"/>
      <c r="T1044" s="36" t="str">
        <f t="shared" ca="1" si="88"/>
        <v/>
      </c>
      <c r="U1044" s="37"/>
      <c r="V1044" s="37"/>
      <c r="W1044" s="38"/>
      <c r="X1044" s="39"/>
      <c r="Y1044" s="150"/>
      <c r="Z1044" s="40"/>
      <c r="AA1044" s="136" t="str">
        <f t="shared" ca="1" si="89"/>
        <v/>
      </c>
      <c r="AB1044" s="40"/>
      <c r="AC1044" s="116"/>
      <c r="AD1044" s="116"/>
      <c r="AE1044" s="40"/>
      <c r="AF1044" s="136" t="str">
        <f t="shared" ca="1" si="90"/>
        <v/>
      </c>
      <c r="AG1044" s="127"/>
      <c r="AH1044" s="127"/>
      <c r="AI1044" s="127"/>
      <c r="AJ1044" s="128"/>
      <c r="AK1044" s="128"/>
      <c r="AL1044" s="129"/>
    </row>
    <row r="1045" spans="1:38" ht="23.25" x14ac:dyDescent="0.25">
      <c r="A1045" s="486" t="str">
        <f t="shared" si="87"/>
        <v>18REF182</v>
      </c>
      <c r="B1045" s="487">
        <v>182</v>
      </c>
      <c r="C1045" s="486" t="s">
        <v>39</v>
      </c>
      <c r="D1045" s="488" t="s">
        <v>744</v>
      </c>
      <c r="E1045" s="124" t="s">
        <v>701</v>
      </c>
      <c r="F1045" s="124" t="s">
        <v>2741</v>
      </c>
      <c r="G1045" s="251"/>
      <c r="H1045" s="443" t="s">
        <v>43</v>
      </c>
      <c r="I1045" s="126" t="s">
        <v>2742</v>
      </c>
      <c r="J1045" s="443" t="s">
        <v>45</v>
      </c>
      <c r="K1045" s="126">
        <v>195.21</v>
      </c>
      <c r="L1045" s="126" t="s">
        <v>2329</v>
      </c>
      <c r="M1045" s="104" t="s">
        <v>2330</v>
      </c>
      <c r="N1045" s="265">
        <v>43294</v>
      </c>
      <c r="O1045" s="260"/>
      <c r="P1045" s="106" t="s">
        <v>271</v>
      </c>
      <c r="Q1045" s="107"/>
      <c r="R1045" s="267">
        <v>0.997</v>
      </c>
      <c r="S1045" s="37"/>
      <c r="T1045" s="36" t="str">
        <f t="shared" ca="1" si="88"/>
        <v/>
      </c>
      <c r="U1045" s="37"/>
      <c r="V1045" s="37"/>
      <c r="W1045" s="38"/>
      <c r="X1045" s="39"/>
      <c r="Y1045" s="150"/>
      <c r="Z1045" s="40"/>
      <c r="AA1045" s="136" t="str">
        <f t="shared" ca="1" si="89"/>
        <v/>
      </c>
      <c r="AB1045" s="40"/>
      <c r="AC1045" s="116"/>
      <c r="AD1045" s="116"/>
      <c r="AE1045" s="40"/>
      <c r="AF1045" s="136" t="str">
        <f t="shared" ca="1" si="90"/>
        <v/>
      </c>
      <c r="AG1045" s="127"/>
      <c r="AH1045" s="127"/>
      <c r="AI1045" s="127"/>
      <c r="AJ1045" s="128"/>
      <c r="AK1045" s="128"/>
      <c r="AL1045" s="129"/>
    </row>
    <row r="1046" spans="1:38" ht="23.25" x14ac:dyDescent="0.25">
      <c r="A1046" s="486" t="str">
        <f t="shared" si="87"/>
        <v>18REF183</v>
      </c>
      <c r="B1046" s="487">
        <v>183</v>
      </c>
      <c r="C1046" s="486" t="s">
        <v>39</v>
      </c>
      <c r="D1046" s="488" t="s">
        <v>744</v>
      </c>
      <c r="E1046" s="124" t="s">
        <v>701</v>
      </c>
      <c r="F1046" s="124" t="s">
        <v>2366</v>
      </c>
      <c r="G1046" s="251"/>
      <c r="H1046" s="443" t="s">
        <v>43</v>
      </c>
      <c r="I1046" s="126" t="s">
        <v>2447</v>
      </c>
      <c r="J1046" s="443" t="s">
        <v>45</v>
      </c>
      <c r="K1046" s="126">
        <v>198.11</v>
      </c>
      <c r="L1046" s="126" t="s">
        <v>2448</v>
      </c>
      <c r="M1046" s="104" t="s">
        <v>326</v>
      </c>
      <c r="N1046" s="265">
        <v>43294</v>
      </c>
      <c r="O1046" s="260"/>
      <c r="P1046" s="106" t="s">
        <v>1295</v>
      </c>
      <c r="Q1046" s="107" t="s">
        <v>1834</v>
      </c>
      <c r="R1046" s="266">
        <v>1</v>
      </c>
      <c r="S1046" s="37"/>
      <c r="T1046" s="36" t="str">
        <f t="shared" ca="1" si="88"/>
        <v/>
      </c>
      <c r="U1046" s="37"/>
      <c r="V1046" s="37"/>
      <c r="W1046" s="38"/>
      <c r="X1046" s="39"/>
      <c r="Y1046" s="150"/>
      <c r="Z1046" s="40"/>
      <c r="AA1046" s="136" t="str">
        <f t="shared" ca="1" si="89"/>
        <v/>
      </c>
      <c r="AB1046" s="40"/>
      <c r="AC1046" s="116"/>
      <c r="AD1046" s="116"/>
      <c r="AE1046" s="40"/>
      <c r="AF1046" s="136" t="str">
        <f t="shared" ca="1" si="90"/>
        <v/>
      </c>
      <c r="AG1046" s="127"/>
      <c r="AH1046" s="127"/>
      <c r="AI1046" s="127"/>
      <c r="AJ1046" s="128"/>
      <c r="AK1046" s="128"/>
      <c r="AL1046" s="129"/>
    </row>
    <row r="1047" spans="1:38" ht="23.25" x14ac:dyDescent="0.25">
      <c r="A1047" s="486" t="str">
        <f t="shared" si="87"/>
        <v>18REF184</v>
      </c>
      <c r="B1047" s="487">
        <v>184</v>
      </c>
      <c r="C1047" s="486" t="s">
        <v>39</v>
      </c>
      <c r="D1047" s="488" t="s">
        <v>744</v>
      </c>
      <c r="E1047" s="124" t="s">
        <v>701</v>
      </c>
      <c r="F1047" s="124" t="s">
        <v>2366</v>
      </c>
      <c r="G1047" s="251"/>
      <c r="H1047" s="443" t="s">
        <v>43</v>
      </c>
      <c r="I1047" s="126" t="s">
        <v>2447</v>
      </c>
      <c r="J1047" s="443" t="s">
        <v>45</v>
      </c>
      <c r="K1047" s="126">
        <v>198.11</v>
      </c>
      <c r="L1047" s="126" t="s">
        <v>2448</v>
      </c>
      <c r="M1047" s="104" t="s">
        <v>326</v>
      </c>
      <c r="N1047" s="265">
        <v>43294</v>
      </c>
      <c r="O1047" s="260"/>
      <c r="P1047" s="106" t="s">
        <v>1295</v>
      </c>
      <c r="Q1047" s="107" t="s">
        <v>1834</v>
      </c>
      <c r="R1047" s="266">
        <v>1</v>
      </c>
      <c r="S1047" s="37"/>
      <c r="T1047" s="36" t="str">
        <f t="shared" ca="1" si="88"/>
        <v/>
      </c>
      <c r="U1047" s="37"/>
      <c r="V1047" s="37"/>
      <c r="W1047" s="38"/>
      <c r="X1047" s="39"/>
      <c r="Y1047" s="150"/>
      <c r="Z1047" s="40"/>
      <c r="AA1047" s="136" t="str">
        <f t="shared" ca="1" si="89"/>
        <v/>
      </c>
      <c r="AB1047" s="40"/>
      <c r="AC1047" s="116"/>
      <c r="AD1047" s="116"/>
      <c r="AE1047" s="40"/>
      <c r="AF1047" s="136" t="str">
        <f t="shared" ca="1" si="90"/>
        <v/>
      </c>
      <c r="AG1047" s="127"/>
      <c r="AH1047" s="127"/>
      <c r="AI1047" s="127"/>
      <c r="AJ1047" s="128"/>
      <c r="AK1047" s="128"/>
      <c r="AL1047" s="129"/>
    </row>
    <row r="1048" spans="1:38" ht="23.25" x14ac:dyDescent="0.25">
      <c r="A1048" s="486" t="str">
        <f t="shared" si="87"/>
        <v>18REF185</v>
      </c>
      <c r="B1048" s="487">
        <v>185</v>
      </c>
      <c r="C1048" s="486" t="s">
        <v>39</v>
      </c>
      <c r="D1048" s="488" t="s">
        <v>40</v>
      </c>
      <c r="E1048" s="124" t="s">
        <v>701</v>
      </c>
      <c r="F1048" s="124" t="s">
        <v>3385</v>
      </c>
      <c r="G1048" s="251"/>
      <c r="H1048" s="443" t="s">
        <v>43</v>
      </c>
      <c r="I1048" s="126" t="s">
        <v>3391</v>
      </c>
      <c r="J1048" s="443" t="s">
        <v>45</v>
      </c>
      <c r="K1048" s="126" t="s">
        <v>61</v>
      </c>
      <c r="L1048" s="126" t="s">
        <v>3392</v>
      </c>
      <c r="M1048" s="104" t="s">
        <v>3393</v>
      </c>
      <c r="N1048" s="265">
        <v>43294</v>
      </c>
      <c r="O1048" s="260"/>
      <c r="P1048" s="106" t="s">
        <v>2219</v>
      </c>
      <c r="Q1048" s="107" t="s">
        <v>3394</v>
      </c>
      <c r="R1048" s="244" t="s">
        <v>61</v>
      </c>
      <c r="S1048" s="37"/>
      <c r="T1048" s="36" t="str">
        <f t="shared" ca="1" si="88"/>
        <v/>
      </c>
      <c r="U1048" s="37"/>
      <c r="V1048" s="37"/>
      <c r="W1048" s="38"/>
      <c r="X1048" s="39"/>
      <c r="Y1048" s="150"/>
      <c r="Z1048" s="40"/>
      <c r="AA1048" s="136" t="str">
        <f t="shared" ca="1" si="89"/>
        <v/>
      </c>
      <c r="AB1048" s="40"/>
      <c r="AC1048" s="116"/>
      <c r="AD1048" s="116"/>
      <c r="AE1048" s="40"/>
      <c r="AF1048" s="136" t="str">
        <f t="shared" ca="1" si="90"/>
        <v/>
      </c>
      <c r="AG1048" s="127"/>
      <c r="AH1048" s="127"/>
      <c r="AI1048" s="127"/>
      <c r="AJ1048" s="128"/>
      <c r="AK1048" s="128"/>
      <c r="AL1048" s="129"/>
    </row>
    <row r="1049" spans="1:38" ht="23.25" x14ac:dyDescent="0.25">
      <c r="A1049" s="486" t="str">
        <f t="shared" si="87"/>
        <v>18REF186</v>
      </c>
      <c r="B1049" s="487">
        <v>186</v>
      </c>
      <c r="C1049" s="486" t="s">
        <v>39</v>
      </c>
      <c r="D1049" s="488" t="s">
        <v>744</v>
      </c>
      <c r="E1049" s="124" t="s">
        <v>701</v>
      </c>
      <c r="F1049" s="124" t="s">
        <v>3398</v>
      </c>
      <c r="G1049" s="251"/>
      <c r="H1049" s="443" t="s">
        <v>43</v>
      </c>
      <c r="I1049" s="126" t="s">
        <v>3395</v>
      </c>
      <c r="J1049" s="443" t="s">
        <v>45</v>
      </c>
      <c r="K1049" s="126" t="s">
        <v>61</v>
      </c>
      <c r="L1049" s="126" t="s">
        <v>3396</v>
      </c>
      <c r="M1049" s="104" t="s">
        <v>3397</v>
      </c>
      <c r="N1049" s="265">
        <v>43294</v>
      </c>
      <c r="O1049" s="260"/>
      <c r="P1049" s="106" t="s">
        <v>271</v>
      </c>
      <c r="Q1049" s="107"/>
      <c r="R1049" s="244" t="s">
        <v>61</v>
      </c>
      <c r="S1049" s="37"/>
      <c r="T1049" s="36" t="str">
        <f t="shared" ca="1" si="88"/>
        <v/>
      </c>
      <c r="U1049" s="37"/>
      <c r="V1049" s="37"/>
      <c r="W1049" s="38"/>
      <c r="X1049" s="39"/>
      <c r="Y1049" s="150"/>
      <c r="Z1049" s="40"/>
      <c r="AA1049" s="136" t="str">
        <f t="shared" ca="1" si="89"/>
        <v/>
      </c>
      <c r="AB1049" s="40"/>
      <c r="AC1049" s="116"/>
      <c r="AD1049" s="116"/>
      <c r="AE1049" s="40"/>
      <c r="AF1049" s="136" t="str">
        <f t="shared" ca="1" si="90"/>
        <v/>
      </c>
      <c r="AG1049" s="127"/>
      <c r="AH1049" s="127"/>
      <c r="AI1049" s="127"/>
      <c r="AJ1049" s="128"/>
      <c r="AK1049" s="128"/>
      <c r="AL1049" s="129"/>
    </row>
    <row r="1050" spans="1:38" ht="23.25" x14ac:dyDescent="0.25">
      <c r="A1050" s="486" t="str">
        <f t="shared" si="87"/>
        <v>18REF187</v>
      </c>
      <c r="B1050" s="487">
        <v>187</v>
      </c>
      <c r="C1050" s="486" t="s">
        <v>39</v>
      </c>
      <c r="D1050" s="488" t="s">
        <v>744</v>
      </c>
      <c r="E1050" s="124" t="s">
        <v>701</v>
      </c>
      <c r="F1050" s="124" t="s">
        <v>3013</v>
      </c>
      <c r="G1050" s="251"/>
      <c r="H1050" s="443" t="s">
        <v>43</v>
      </c>
      <c r="I1050" s="126" t="s">
        <v>2988</v>
      </c>
      <c r="J1050" s="443" t="s">
        <v>180</v>
      </c>
      <c r="K1050" s="126">
        <v>163.19</v>
      </c>
      <c r="L1050" s="126" t="s">
        <v>2642</v>
      </c>
      <c r="M1050" s="104" t="s">
        <v>2989</v>
      </c>
      <c r="N1050" s="265">
        <v>43294</v>
      </c>
      <c r="O1050" s="260"/>
      <c r="P1050" s="106" t="s">
        <v>327</v>
      </c>
      <c r="Q1050" s="107" t="s">
        <v>2645</v>
      </c>
      <c r="R1050" s="266">
        <v>1</v>
      </c>
      <c r="S1050" s="37"/>
      <c r="T1050" s="36" t="str">
        <f t="shared" ca="1" si="88"/>
        <v/>
      </c>
      <c r="U1050" s="37"/>
      <c r="V1050" s="37"/>
      <c r="W1050" s="38"/>
      <c r="X1050" s="39"/>
      <c r="Y1050" s="150"/>
      <c r="Z1050" s="40"/>
      <c r="AA1050" s="136" t="str">
        <f t="shared" ca="1" si="89"/>
        <v/>
      </c>
      <c r="AB1050" s="40"/>
      <c r="AC1050" s="116"/>
      <c r="AD1050" s="116"/>
      <c r="AE1050" s="40"/>
      <c r="AF1050" s="136" t="str">
        <f t="shared" ca="1" si="90"/>
        <v/>
      </c>
      <c r="AG1050" s="127"/>
      <c r="AH1050" s="127"/>
      <c r="AI1050" s="127"/>
      <c r="AJ1050" s="128"/>
      <c r="AK1050" s="128"/>
      <c r="AL1050" s="129"/>
    </row>
    <row r="1051" spans="1:38" ht="23.25" x14ac:dyDescent="0.25">
      <c r="A1051" s="486" t="str">
        <f t="shared" si="87"/>
        <v>18REF188</v>
      </c>
      <c r="B1051" s="487">
        <v>188</v>
      </c>
      <c r="C1051" s="486" t="s">
        <v>39</v>
      </c>
      <c r="D1051" s="488" t="s">
        <v>744</v>
      </c>
      <c r="E1051" s="124" t="s">
        <v>701</v>
      </c>
      <c r="F1051" s="124" t="s">
        <v>3013</v>
      </c>
      <c r="G1051" s="251"/>
      <c r="H1051" s="443" t="s">
        <v>43</v>
      </c>
      <c r="I1051" s="126" t="s">
        <v>2988</v>
      </c>
      <c r="J1051" s="443" t="s">
        <v>180</v>
      </c>
      <c r="K1051" s="126">
        <v>163.19</v>
      </c>
      <c r="L1051" s="126" t="s">
        <v>2642</v>
      </c>
      <c r="M1051" s="104" t="s">
        <v>2989</v>
      </c>
      <c r="N1051" s="265">
        <v>43294</v>
      </c>
      <c r="O1051" s="260"/>
      <c r="P1051" s="106" t="s">
        <v>327</v>
      </c>
      <c r="Q1051" s="107" t="s">
        <v>2645</v>
      </c>
      <c r="R1051" s="266">
        <v>1</v>
      </c>
      <c r="S1051" s="37"/>
      <c r="T1051" s="36" t="str">
        <f t="shared" ca="1" si="88"/>
        <v/>
      </c>
      <c r="U1051" s="37"/>
      <c r="V1051" s="37"/>
      <c r="W1051" s="38"/>
      <c r="X1051" s="39"/>
      <c r="Y1051" s="150"/>
      <c r="Z1051" s="40"/>
      <c r="AA1051" s="136" t="str">
        <f t="shared" ca="1" si="89"/>
        <v/>
      </c>
      <c r="AB1051" s="40"/>
      <c r="AC1051" s="116"/>
      <c r="AD1051" s="116"/>
      <c r="AE1051" s="40"/>
      <c r="AF1051" s="136" t="str">
        <f t="shared" ca="1" si="90"/>
        <v/>
      </c>
      <c r="AG1051" s="127"/>
      <c r="AH1051" s="127"/>
      <c r="AI1051" s="127"/>
      <c r="AJ1051" s="128"/>
      <c r="AK1051" s="128"/>
      <c r="AL1051" s="129"/>
    </row>
    <row r="1052" spans="1:38" ht="23.25" x14ac:dyDescent="0.25">
      <c r="A1052" s="486" t="str">
        <f t="shared" si="87"/>
        <v>18REF189</v>
      </c>
      <c r="B1052" s="487">
        <v>189</v>
      </c>
      <c r="C1052" s="486" t="s">
        <v>39</v>
      </c>
      <c r="D1052" s="488" t="s">
        <v>744</v>
      </c>
      <c r="E1052" s="124" t="s">
        <v>701</v>
      </c>
      <c r="F1052" s="124" t="s">
        <v>3188</v>
      </c>
      <c r="G1052" s="251" t="s">
        <v>2201</v>
      </c>
      <c r="H1052" s="443" t="s">
        <v>625</v>
      </c>
      <c r="I1052" s="126" t="s">
        <v>3189</v>
      </c>
      <c r="J1052" s="443" t="s">
        <v>45</v>
      </c>
      <c r="K1052" s="126">
        <v>509.3</v>
      </c>
      <c r="L1052" s="126" t="s">
        <v>3190</v>
      </c>
      <c r="M1052" s="104" t="s">
        <v>1273</v>
      </c>
      <c r="N1052" s="265">
        <v>43297</v>
      </c>
      <c r="O1052" s="260"/>
      <c r="P1052" s="106" t="s">
        <v>183</v>
      </c>
      <c r="Q1052" s="107" t="s">
        <v>3191</v>
      </c>
      <c r="R1052" s="267">
        <v>0.99199999999999999</v>
      </c>
      <c r="S1052" s="37"/>
      <c r="T1052" s="36" t="str">
        <f t="shared" ca="1" si="88"/>
        <v/>
      </c>
      <c r="U1052" s="37"/>
      <c r="V1052" s="37"/>
      <c r="W1052" s="38"/>
      <c r="X1052" s="39"/>
      <c r="Y1052" s="150"/>
      <c r="Z1052" s="40"/>
      <c r="AA1052" s="136" t="str">
        <f t="shared" ca="1" si="89"/>
        <v/>
      </c>
      <c r="AB1052" s="40"/>
      <c r="AC1052" s="116"/>
      <c r="AD1052" s="116"/>
      <c r="AE1052" s="40"/>
      <c r="AF1052" s="136" t="str">
        <f t="shared" ca="1" si="90"/>
        <v/>
      </c>
      <c r="AG1052" s="127"/>
      <c r="AH1052" s="127"/>
      <c r="AI1052" s="127"/>
      <c r="AJ1052" s="128"/>
      <c r="AK1052" s="128"/>
      <c r="AL1052" s="129"/>
    </row>
    <row r="1053" spans="1:38" ht="23.25" x14ac:dyDescent="0.25">
      <c r="A1053" s="486" t="str">
        <f t="shared" si="87"/>
        <v>18REF190</v>
      </c>
      <c r="B1053" s="487">
        <v>190</v>
      </c>
      <c r="C1053" s="486" t="s">
        <v>39</v>
      </c>
      <c r="D1053" s="488" t="s">
        <v>744</v>
      </c>
      <c r="E1053" s="124" t="s">
        <v>701</v>
      </c>
      <c r="F1053" s="124" t="s">
        <v>3188</v>
      </c>
      <c r="G1053" s="251" t="s">
        <v>2201</v>
      </c>
      <c r="H1053" s="443" t="s">
        <v>625</v>
      </c>
      <c r="I1053" s="126" t="s">
        <v>3189</v>
      </c>
      <c r="J1053" s="443" t="s">
        <v>45</v>
      </c>
      <c r="K1053" s="126">
        <v>509.3</v>
      </c>
      <c r="L1053" s="126" t="s">
        <v>3190</v>
      </c>
      <c r="M1053" s="104" t="s">
        <v>1273</v>
      </c>
      <c r="N1053" s="265">
        <v>43297</v>
      </c>
      <c r="O1053" s="260"/>
      <c r="P1053" s="106" t="s">
        <v>183</v>
      </c>
      <c r="Q1053" s="107" t="s">
        <v>3191</v>
      </c>
      <c r="R1053" s="267">
        <v>0.99199999999999999</v>
      </c>
      <c r="S1053" s="37"/>
      <c r="T1053" s="36" t="str">
        <f t="shared" ca="1" si="88"/>
        <v/>
      </c>
      <c r="U1053" s="37"/>
      <c r="V1053" s="37"/>
      <c r="W1053" s="38"/>
      <c r="X1053" s="39"/>
      <c r="Y1053" s="150"/>
      <c r="Z1053" s="40"/>
      <c r="AA1053" s="136" t="str">
        <f t="shared" ca="1" si="89"/>
        <v/>
      </c>
      <c r="AB1053" s="40"/>
      <c r="AC1053" s="116"/>
      <c r="AD1053" s="116"/>
      <c r="AE1053" s="40"/>
      <c r="AF1053" s="136" t="str">
        <f t="shared" ca="1" si="90"/>
        <v/>
      </c>
      <c r="AG1053" s="127"/>
      <c r="AH1053" s="127"/>
      <c r="AI1053" s="127"/>
      <c r="AJ1053" s="128"/>
      <c r="AK1053" s="128"/>
      <c r="AL1053" s="129"/>
    </row>
    <row r="1054" spans="1:38" ht="23.25" x14ac:dyDescent="0.25">
      <c r="A1054" s="486" t="str">
        <f t="shared" si="87"/>
        <v>18REF191</v>
      </c>
      <c r="B1054" s="487">
        <v>191</v>
      </c>
      <c r="C1054" s="486" t="s">
        <v>39</v>
      </c>
      <c r="D1054" s="488" t="s">
        <v>744</v>
      </c>
      <c r="E1054" s="124" t="s">
        <v>701</v>
      </c>
      <c r="F1054" s="124" t="s">
        <v>3188</v>
      </c>
      <c r="G1054" s="251" t="s">
        <v>2201</v>
      </c>
      <c r="H1054" s="443" t="s">
        <v>625</v>
      </c>
      <c r="I1054" s="126" t="s">
        <v>3189</v>
      </c>
      <c r="J1054" s="443" t="s">
        <v>45</v>
      </c>
      <c r="K1054" s="126">
        <v>509.3</v>
      </c>
      <c r="L1054" s="126" t="s">
        <v>3190</v>
      </c>
      <c r="M1054" s="104" t="s">
        <v>1273</v>
      </c>
      <c r="N1054" s="265">
        <v>43297</v>
      </c>
      <c r="O1054" s="260"/>
      <c r="P1054" s="106" t="s">
        <v>183</v>
      </c>
      <c r="Q1054" s="107" t="s">
        <v>3191</v>
      </c>
      <c r="R1054" s="267">
        <v>0.99199999999999999</v>
      </c>
      <c r="S1054" s="37"/>
      <c r="T1054" s="36" t="str">
        <f t="shared" ca="1" si="88"/>
        <v/>
      </c>
      <c r="U1054" s="37"/>
      <c r="V1054" s="37"/>
      <c r="W1054" s="38"/>
      <c r="X1054" s="39"/>
      <c r="Y1054" s="150"/>
      <c r="Z1054" s="40"/>
      <c r="AA1054" s="136" t="str">
        <f t="shared" ca="1" si="89"/>
        <v/>
      </c>
      <c r="AB1054" s="40"/>
      <c r="AC1054" s="116"/>
      <c r="AD1054" s="116"/>
      <c r="AE1054" s="40"/>
      <c r="AF1054" s="136" t="str">
        <f t="shared" ca="1" si="90"/>
        <v/>
      </c>
      <c r="AG1054" s="127"/>
      <c r="AH1054" s="127"/>
      <c r="AI1054" s="127"/>
      <c r="AJ1054" s="128"/>
      <c r="AK1054" s="128"/>
      <c r="AL1054" s="129"/>
    </row>
    <row r="1055" spans="1:38" ht="23.25" x14ac:dyDescent="0.25">
      <c r="A1055" s="486" t="str">
        <f t="shared" si="87"/>
        <v>18REF192</v>
      </c>
      <c r="B1055" s="487">
        <v>192</v>
      </c>
      <c r="C1055" s="486" t="s">
        <v>39</v>
      </c>
      <c r="D1055" s="488" t="s">
        <v>170</v>
      </c>
      <c r="E1055" s="124" t="s">
        <v>701</v>
      </c>
      <c r="F1055" s="124" t="s">
        <v>1541</v>
      </c>
      <c r="G1055" s="251" t="s">
        <v>802</v>
      </c>
      <c r="H1055" s="443" t="s">
        <v>625</v>
      </c>
      <c r="I1055" s="126" t="s">
        <v>3399</v>
      </c>
      <c r="J1055" s="443" t="s">
        <v>45</v>
      </c>
      <c r="K1055" s="126">
        <v>276.12</v>
      </c>
      <c r="L1055" s="126" t="s">
        <v>2903</v>
      </c>
      <c r="M1055" s="190" t="s">
        <v>805</v>
      </c>
      <c r="N1055" s="265">
        <v>43297</v>
      </c>
      <c r="O1055" s="260"/>
      <c r="P1055" s="106" t="s">
        <v>183</v>
      </c>
      <c r="Q1055" s="107" t="s">
        <v>3234</v>
      </c>
      <c r="R1055" s="266">
        <v>1</v>
      </c>
      <c r="S1055" s="37"/>
      <c r="T1055" s="36" t="str">
        <f t="shared" ca="1" si="88"/>
        <v/>
      </c>
      <c r="U1055" s="37"/>
      <c r="V1055" s="37"/>
      <c r="W1055" s="38"/>
      <c r="X1055" s="39"/>
      <c r="Y1055" s="150"/>
      <c r="Z1055" s="40"/>
      <c r="AA1055" s="136" t="str">
        <f t="shared" ca="1" si="89"/>
        <v/>
      </c>
      <c r="AB1055" s="40"/>
      <c r="AC1055" s="116"/>
      <c r="AD1055" s="116"/>
      <c r="AE1055" s="40"/>
      <c r="AF1055" s="136" t="str">
        <f t="shared" ca="1" si="90"/>
        <v/>
      </c>
      <c r="AG1055" s="127"/>
      <c r="AH1055" s="127"/>
      <c r="AI1055" s="127"/>
      <c r="AJ1055" s="128"/>
      <c r="AK1055" s="128"/>
      <c r="AL1055" s="129"/>
    </row>
    <row r="1056" spans="1:38" ht="23.25" x14ac:dyDescent="0.25">
      <c r="A1056" s="486" t="str">
        <f t="shared" si="87"/>
        <v>18REF193</v>
      </c>
      <c r="B1056" s="487">
        <v>193</v>
      </c>
      <c r="C1056" s="486" t="s">
        <v>39</v>
      </c>
      <c r="D1056" s="488" t="s">
        <v>170</v>
      </c>
      <c r="E1056" s="124" t="s">
        <v>701</v>
      </c>
      <c r="F1056" s="124" t="s">
        <v>1541</v>
      </c>
      <c r="G1056" s="251" t="s">
        <v>802</v>
      </c>
      <c r="H1056" s="443" t="s">
        <v>625</v>
      </c>
      <c r="I1056" s="126" t="s">
        <v>3399</v>
      </c>
      <c r="J1056" s="443" t="s">
        <v>45</v>
      </c>
      <c r="K1056" s="126">
        <v>276.12</v>
      </c>
      <c r="L1056" s="126" t="s">
        <v>2903</v>
      </c>
      <c r="M1056" s="190" t="s">
        <v>805</v>
      </c>
      <c r="N1056" s="265">
        <v>43297</v>
      </c>
      <c r="O1056" s="260"/>
      <c r="P1056" s="106" t="s">
        <v>183</v>
      </c>
      <c r="Q1056" s="107" t="s">
        <v>3234</v>
      </c>
      <c r="R1056" s="266">
        <v>1</v>
      </c>
      <c r="S1056" s="37"/>
      <c r="T1056" s="36" t="str">
        <f t="shared" ca="1" si="88"/>
        <v/>
      </c>
      <c r="U1056" s="37"/>
      <c r="V1056" s="37"/>
      <c r="W1056" s="38"/>
      <c r="X1056" s="39"/>
      <c r="Y1056" s="150"/>
      <c r="Z1056" s="40"/>
      <c r="AA1056" s="136" t="str">
        <f t="shared" ca="1" si="89"/>
        <v/>
      </c>
      <c r="AB1056" s="40"/>
      <c r="AC1056" s="116"/>
      <c r="AD1056" s="116"/>
      <c r="AE1056" s="40"/>
      <c r="AF1056" s="136" t="str">
        <f t="shared" ca="1" si="90"/>
        <v/>
      </c>
      <c r="AG1056" s="127"/>
      <c r="AH1056" s="127"/>
      <c r="AI1056" s="127"/>
      <c r="AJ1056" s="128"/>
      <c r="AK1056" s="128"/>
      <c r="AL1056" s="129"/>
    </row>
    <row r="1057" spans="1:38" ht="23.25" x14ac:dyDescent="0.25">
      <c r="A1057" s="486" t="str">
        <f t="shared" si="87"/>
        <v>18REF194</v>
      </c>
      <c r="B1057" s="487">
        <v>194</v>
      </c>
      <c r="C1057" s="486" t="s">
        <v>39</v>
      </c>
      <c r="D1057" s="488" t="s">
        <v>744</v>
      </c>
      <c r="E1057" s="124" t="s">
        <v>701</v>
      </c>
      <c r="F1057" s="124" t="s">
        <v>860</v>
      </c>
      <c r="G1057" s="251" t="s">
        <v>802</v>
      </c>
      <c r="H1057" s="443" t="s">
        <v>625</v>
      </c>
      <c r="I1057" s="126" t="s">
        <v>2918</v>
      </c>
      <c r="J1057" s="443" t="s">
        <v>45</v>
      </c>
      <c r="K1057" s="126">
        <v>336.28</v>
      </c>
      <c r="L1057" s="126" t="s">
        <v>2919</v>
      </c>
      <c r="M1057" s="104" t="s">
        <v>863</v>
      </c>
      <c r="N1057" s="265">
        <v>43297</v>
      </c>
      <c r="O1057" s="260">
        <v>43357</v>
      </c>
      <c r="P1057" s="106" t="s">
        <v>183</v>
      </c>
      <c r="Q1057" s="107" t="s">
        <v>2920</v>
      </c>
      <c r="R1057" s="266">
        <v>0.99</v>
      </c>
      <c r="S1057" s="37">
        <f>50-16.49</f>
        <v>33.510000000000005</v>
      </c>
      <c r="T1057" s="36">
        <f t="shared" ca="1" si="88"/>
        <v>20</v>
      </c>
      <c r="U1057" s="37"/>
      <c r="V1057" s="37"/>
      <c r="W1057" s="38"/>
      <c r="X1057" s="39"/>
      <c r="Y1057" s="150"/>
      <c r="Z1057" s="40"/>
      <c r="AA1057" s="136" t="str">
        <f t="shared" ca="1" si="89"/>
        <v/>
      </c>
      <c r="AB1057" s="40"/>
      <c r="AC1057" s="116"/>
      <c r="AD1057" s="116"/>
      <c r="AE1057" s="40"/>
      <c r="AF1057" s="136" t="str">
        <f t="shared" ca="1" si="90"/>
        <v/>
      </c>
      <c r="AG1057" s="127"/>
      <c r="AH1057" s="127"/>
      <c r="AI1057" s="127"/>
      <c r="AJ1057" s="128"/>
      <c r="AK1057" s="128"/>
      <c r="AL1057" s="129"/>
    </row>
    <row r="1058" spans="1:38" ht="23.25" x14ac:dyDescent="0.25">
      <c r="A1058" s="486" t="str">
        <f t="shared" si="87"/>
        <v>18REF195</v>
      </c>
      <c r="B1058" s="487">
        <v>195</v>
      </c>
      <c r="C1058" s="486" t="s">
        <v>39</v>
      </c>
      <c r="D1058" s="488" t="s">
        <v>744</v>
      </c>
      <c r="E1058" s="124" t="s">
        <v>701</v>
      </c>
      <c r="F1058" s="124" t="s">
        <v>860</v>
      </c>
      <c r="G1058" s="251" t="s">
        <v>802</v>
      </c>
      <c r="H1058" s="443" t="s">
        <v>625</v>
      </c>
      <c r="I1058" s="126" t="s">
        <v>2918</v>
      </c>
      <c r="J1058" s="443" t="s">
        <v>45</v>
      </c>
      <c r="K1058" s="126">
        <v>336.28</v>
      </c>
      <c r="L1058" s="126" t="s">
        <v>2919</v>
      </c>
      <c r="M1058" s="104" t="s">
        <v>863</v>
      </c>
      <c r="N1058" s="265">
        <v>43297</v>
      </c>
      <c r="O1058" s="260">
        <v>43341</v>
      </c>
      <c r="P1058" s="106" t="s">
        <v>183</v>
      </c>
      <c r="Q1058" s="107" t="s">
        <v>2920</v>
      </c>
      <c r="R1058" s="266">
        <v>0.99</v>
      </c>
      <c r="S1058" s="37">
        <v>0</v>
      </c>
      <c r="T1058" s="36" t="str">
        <f t="shared" ca="1" si="88"/>
        <v>Empty</v>
      </c>
      <c r="U1058" s="37"/>
      <c r="V1058" s="37"/>
      <c r="W1058" s="38"/>
      <c r="X1058" s="39"/>
      <c r="Y1058" s="150"/>
      <c r="Z1058" s="40"/>
      <c r="AA1058" s="136" t="str">
        <f t="shared" ca="1" si="89"/>
        <v/>
      </c>
      <c r="AB1058" s="40"/>
      <c r="AC1058" s="116"/>
      <c r="AD1058" s="116"/>
      <c r="AE1058" s="40"/>
      <c r="AF1058" s="136" t="str">
        <f t="shared" ca="1" si="90"/>
        <v/>
      </c>
      <c r="AG1058" s="127"/>
      <c r="AH1058" s="127"/>
      <c r="AI1058" s="127"/>
      <c r="AJ1058" s="128"/>
      <c r="AK1058" s="128"/>
      <c r="AL1058" s="129"/>
    </row>
    <row r="1059" spans="1:38" ht="23.25" x14ac:dyDescent="0.25">
      <c r="A1059" s="486" t="str">
        <f t="shared" si="87"/>
        <v>18REF196</v>
      </c>
      <c r="B1059" s="487">
        <v>196</v>
      </c>
      <c r="C1059" s="486" t="s">
        <v>39</v>
      </c>
      <c r="D1059" s="488" t="s">
        <v>744</v>
      </c>
      <c r="E1059" s="124" t="s">
        <v>701</v>
      </c>
      <c r="F1059" s="124" t="s">
        <v>860</v>
      </c>
      <c r="G1059" s="251" t="s">
        <v>802</v>
      </c>
      <c r="H1059" s="443" t="s">
        <v>625</v>
      </c>
      <c r="I1059" s="126" t="s">
        <v>2918</v>
      </c>
      <c r="J1059" s="443" t="s">
        <v>45</v>
      </c>
      <c r="K1059" s="126">
        <v>336.28</v>
      </c>
      <c r="L1059" s="126" t="s">
        <v>2919</v>
      </c>
      <c r="M1059" s="104" t="s">
        <v>863</v>
      </c>
      <c r="N1059" s="265">
        <v>43297</v>
      </c>
      <c r="O1059" s="260"/>
      <c r="P1059" s="106" t="s">
        <v>183</v>
      </c>
      <c r="Q1059" s="107" t="s">
        <v>2920</v>
      </c>
      <c r="R1059" s="266">
        <v>0.99</v>
      </c>
      <c r="S1059" s="37"/>
      <c r="T1059" s="36" t="str">
        <f t="shared" ca="1" si="88"/>
        <v/>
      </c>
      <c r="U1059" s="37"/>
      <c r="V1059" s="37"/>
      <c r="W1059" s="38"/>
      <c r="X1059" s="39"/>
      <c r="Y1059" s="150"/>
      <c r="Z1059" s="40"/>
      <c r="AA1059" s="136" t="str">
        <f t="shared" ca="1" si="89"/>
        <v/>
      </c>
      <c r="AB1059" s="40"/>
      <c r="AC1059" s="116"/>
      <c r="AD1059" s="116"/>
      <c r="AE1059" s="40"/>
      <c r="AF1059" s="136" t="str">
        <f t="shared" ca="1" si="90"/>
        <v/>
      </c>
      <c r="AG1059" s="127"/>
      <c r="AH1059" s="127"/>
      <c r="AI1059" s="127"/>
      <c r="AJ1059" s="128"/>
      <c r="AK1059" s="128"/>
      <c r="AL1059" s="129"/>
    </row>
    <row r="1060" spans="1:38" ht="23.25" x14ac:dyDescent="0.25">
      <c r="A1060" s="489" t="str">
        <f t="shared" si="87"/>
        <v>18SAM197</v>
      </c>
      <c r="B1060" s="490">
        <v>197</v>
      </c>
      <c r="C1060" s="489" t="s">
        <v>57</v>
      </c>
      <c r="D1060" s="491" t="s">
        <v>40</v>
      </c>
      <c r="E1060" s="124" t="s">
        <v>1041</v>
      </c>
      <c r="F1060" s="124" t="s">
        <v>3400</v>
      </c>
      <c r="G1060" s="251" t="s">
        <v>3401</v>
      </c>
      <c r="H1060" s="443" t="s">
        <v>60</v>
      </c>
      <c r="I1060" s="190" t="s">
        <v>3404</v>
      </c>
      <c r="J1060" s="443" t="s">
        <v>45</v>
      </c>
      <c r="K1060" s="126">
        <v>516.97400000000005</v>
      </c>
      <c r="L1060" s="126" t="s">
        <v>61</v>
      </c>
      <c r="M1060" s="104" t="s">
        <v>61</v>
      </c>
      <c r="N1060" s="265">
        <v>43298</v>
      </c>
      <c r="O1060" s="262">
        <v>43300</v>
      </c>
      <c r="P1060" s="106" t="s">
        <v>684</v>
      </c>
      <c r="Q1060" s="107" t="s">
        <v>49</v>
      </c>
      <c r="R1060" s="244" t="s">
        <v>60</v>
      </c>
      <c r="S1060" s="37">
        <v>0</v>
      </c>
      <c r="T1060" s="36" t="str">
        <f t="shared" ca="1" si="88"/>
        <v>Empty</v>
      </c>
      <c r="U1060" s="37" t="s">
        <v>3290</v>
      </c>
      <c r="V1060" s="37"/>
      <c r="W1060" s="38"/>
      <c r="X1060" s="39"/>
      <c r="Y1060" s="150"/>
      <c r="Z1060" s="40"/>
      <c r="AA1060" s="136" t="str">
        <f t="shared" ca="1" si="89"/>
        <v/>
      </c>
      <c r="AB1060" s="40"/>
      <c r="AC1060" s="116"/>
      <c r="AD1060" s="116"/>
      <c r="AE1060" s="40"/>
      <c r="AF1060" s="136" t="str">
        <f t="shared" ca="1" si="90"/>
        <v/>
      </c>
      <c r="AG1060" s="127"/>
      <c r="AH1060" s="127"/>
      <c r="AI1060" s="127"/>
      <c r="AJ1060" s="128"/>
      <c r="AK1060" s="128"/>
      <c r="AL1060" s="129"/>
    </row>
    <row r="1061" spans="1:38" ht="23.25" x14ac:dyDescent="0.25">
      <c r="A1061" s="489" t="str">
        <f t="shared" si="87"/>
        <v>18SAM198</v>
      </c>
      <c r="B1061" s="490">
        <v>198</v>
      </c>
      <c r="C1061" s="489" t="s">
        <v>57</v>
      </c>
      <c r="D1061" s="491" t="s">
        <v>40</v>
      </c>
      <c r="E1061" s="124" t="s">
        <v>1041</v>
      </c>
      <c r="F1061" s="124" t="s">
        <v>3402</v>
      </c>
      <c r="G1061" s="251" t="s">
        <v>3403</v>
      </c>
      <c r="H1061" s="443" t="s">
        <v>60</v>
      </c>
      <c r="I1061" s="190" t="s">
        <v>1043</v>
      </c>
      <c r="J1061" s="443" t="s">
        <v>45</v>
      </c>
      <c r="K1061" s="126">
        <v>298.30900000000003</v>
      </c>
      <c r="L1061" s="126" t="s">
        <v>61</v>
      </c>
      <c r="M1061" s="104" t="s">
        <v>61</v>
      </c>
      <c r="N1061" s="265">
        <v>43298</v>
      </c>
      <c r="O1061" s="262">
        <v>43326</v>
      </c>
      <c r="P1061" s="106" t="s">
        <v>3405</v>
      </c>
      <c r="Q1061" s="107" t="s">
        <v>3422</v>
      </c>
      <c r="R1061" s="244" t="s">
        <v>60</v>
      </c>
      <c r="S1061" s="37">
        <f>70.2-30.32-19.23</f>
        <v>20.650000000000002</v>
      </c>
      <c r="T1061" s="36">
        <f t="shared" ca="1" si="88"/>
        <v>50</v>
      </c>
      <c r="U1061" s="37" t="s">
        <v>3290</v>
      </c>
      <c r="V1061" s="37"/>
      <c r="W1061" s="38"/>
      <c r="X1061" s="39"/>
      <c r="Y1061" s="150"/>
      <c r="Z1061" s="40"/>
      <c r="AA1061" s="136" t="str">
        <f t="shared" ca="1" si="89"/>
        <v/>
      </c>
      <c r="AB1061" s="40"/>
      <c r="AC1061" s="116"/>
      <c r="AD1061" s="116"/>
      <c r="AE1061" s="40"/>
      <c r="AF1061" s="136" t="str">
        <f t="shared" ca="1" si="90"/>
        <v/>
      </c>
      <c r="AG1061" s="127"/>
      <c r="AH1061" s="127"/>
      <c r="AI1061" s="127"/>
      <c r="AJ1061" s="128"/>
      <c r="AK1061" s="128"/>
      <c r="AL1061" s="129"/>
    </row>
    <row r="1062" spans="1:38" ht="23.25" x14ac:dyDescent="0.25">
      <c r="A1062" s="489" t="str">
        <f t="shared" si="87"/>
        <v>18SAM199</v>
      </c>
      <c r="B1062" s="490">
        <v>199</v>
      </c>
      <c r="C1062" s="489" t="s">
        <v>57</v>
      </c>
      <c r="D1062" s="491" t="s">
        <v>40</v>
      </c>
      <c r="E1062" s="124" t="s">
        <v>1701</v>
      </c>
      <c r="F1062" s="124" t="s">
        <v>2250</v>
      </c>
      <c r="G1062" s="251" t="s">
        <v>3415</v>
      </c>
      <c r="H1062" s="443" t="s">
        <v>60</v>
      </c>
      <c r="I1062" s="126" t="s">
        <v>3416</v>
      </c>
      <c r="J1062" s="443" t="s">
        <v>45</v>
      </c>
      <c r="K1062" s="126">
        <v>526.76</v>
      </c>
      <c r="L1062" s="126" t="s">
        <v>61</v>
      </c>
      <c r="M1062" s="104" t="s">
        <v>61</v>
      </c>
      <c r="N1062" s="265">
        <v>43299</v>
      </c>
      <c r="O1062" s="260">
        <v>43306</v>
      </c>
      <c r="P1062" s="106" t="s">
        <v>1718</v>
      </c>
      <c r="Q1062" s="107" t="s">
        <v>3420</v>
      </c>
      <c r="R1062" s="244" t="s">
        <v>60</v>
      </c>
      <c r="S1062" s="37">
        <v>0</v>
      </c>
      <c r="T1062" s="36" t="str">
        <f t="shared" ca="1" si="88"/>
        <v>Empty</v>
      </c>
      <c r="U1062" s="37" t="s">
        <v>3419</v>
      </c>
      <c r="V1062" s="678" t="s">
        <v>3421</v>
      </c>
      <c r="W1062" s="38"/>
      <c r="X1062" s="39"/>
      <c r="Y1062" s="150"/>
      <c r="Z1062" s="40"/>
      <c r="AA1062" s="136" t="str">
        <f t="shared" ca="1" si="89"/>
        <v/>
      </c>
      <c r="AB1062" s="40"/>
      <c r="AC1062" s="116"/>
      <c r="AD1062" s="116"/>
      <c r="AE1062" s="40"/>
      <c r="AF1062" s="136" t="str">
        <f t="shared" ca="1" si="90"/>
        <v/>
      </c>
      <c r="AG1062" s="127"/>
      <c r="AH1062" s="127"/>
      <c r="AI1062" s="127"/>
      <c r="AJ1062" s="128"/>
      <c r="AK1062" s="128"/>
      <c r="AL1062" s="129"/>
    </row>
    <row r="1063" spans="1:38" ht="23.25" x14ac:dyDescent="0.25">
      <c r="A1063" s="489" t="str">
        <f>IF(C1063="","",CONCATENATE(18,MID(C1063,1,3),IF(B1063&lt;10,"00",),B1063))</f>
        <v>18SAM200</v>
      </c>
      <c r="B1063" s="490">
        <v>200</v>
      </c>
      <c r="C1063" s="489" t="s">
        <v>57</v>
      </c>
      <c r="D1063" s="491" t="s">
        <v>40</v>
      </c>
      <c r="E1063" s="124" t="s">
        <v>1701</v>
      </c>
      <c r="F1063" s="124" t="s">
        <v>2997</v>
      </c>
      <c r="G1063" s="251" t="s">
        <v>3412</v>
      </c>
      <c r="H1063" s="443" t="s">
        <v>60</v>
      </c>
      <c r="I1063" s="126" t="s">
        <v>3413</v>
      </c>
      <c r="J1063" s="443" t="s">
        <v>45</v>
      </c>
      <c r="K1063" s="126">
        <v>428.57</v>
      </c>
      <c r="L1063" s="126" t="s">
        <v>61</v>
      </c>
      <c r="M1063" s="104" t="s">
        <v>61</v>
      </c>
      <c r="N1063" s="265">
        <v>43299</v>
      </c>
      <c r="O1063" s="260">
        <v>43306</v>
      </c>
      <c r="P1063" s="106" t="s">
        <v>1718</v>
      </c>
      <c r="Q1063" s="107" t="s">
        <v>3420</v>
      </c>
      <c r="R1063" s="244" t="s">
        <v>60</v>
      </c>
      <c r="S1063" s="37">
        <f>12.1-5.83</f>
        <v>6.27</v>
      </c>
      <c r="T1063" s="36">
        <f t="shared" ref="T1063" ca="1" si="91">IF(S1063="","",IF(S1063=0,"Empty",IF(O1063="","",IF(O1063,DAYS360(O1063,TODAY())))))</f>
        <v>69</v>
      </c>
      <c r="U1063" s="37" t="s">
        <v>3419</v>
      </c>
      <c r="V1063" s="678" t="s">
        <v>3421</v>
      </c>
      <c r="W1063" s="38"/>
      <c r="X1063" s="39"/>
      <c r="Y1063" s="150"/>
      <c r="Z1063" s="40"/>
      <c r="AA1063" s="136" t="str">
        <f t="shared" ca="1" si="89"/>
        <v/>
      </c>
      <c r="AB1063" s="40"/>
      <c r="AC1063" s="116"/>
      <c r="AD1063" s="116"/>
      <c r="AE1063" s="40"/>
      <c r="AF1063" s="136" t="str">
        <f t="shared" ca="1" si="90"/>
        <v/>
      </c>
      <c r="AG1063" s="127"/>
      <c r="AH1063" s="127"/>
      <c r="AI1063" s="127"/>
      <c r="AJ1063" s="128"/>
      <c r="AK1063" s="128"/>
      <c r="AL1063" s="129"/>
    </row>
    <row r="1064" spans="1:38" ht="23.25" x14ac:dyDescent="0.25">
      <c r="A1064" s="486" t="str">
        <f>IF(C1064="","",CONCATENATE(18,MID(C1064,1,3),IF(B1064&lt;10,"00",),B1064))</f>
        <v>18REF201</v>
      </c>
      <c r="B1064" s="487">
        <v>201</v>
      </c>
      <c r="C1064" s="486" t="s">
        <v>39</v>
      </c>
      <c r="D1064" s="488" t="s">
        <v>40</v>
      </c>
      <c r="E1064" s="124" t="s">
        <v>701</v>
      </c>
      <c r="F1064" s="124" t="s">
        <v>3423</v>
      </c>
      <c r="G1064" s="251"/>
      <c r="H1064" s="443" t="s">
        <v>43</v>
      </c>
      <c r="I1064" s="126" t="s">
        <v>3424</v>
      </c>
      <c r="J1064" s="47" t="s">
        <v>105</v>
      </c>
      <c r="K1064" s="126">
        <v>192.08</v>
      </c>
      <c r="L1064" s="126" t="s">
        <v>3427</v>
      </c>
      <c r="M1064" s="126" t="s">
        <v>3426</v>
      </c>
      <c r="N1064" s="265">
        <v>43298</v>
      </c>
      <c r="O1064" s="260">
        <v>43301</v>
      </c>
      <c r="P1064" s="106" t="s">
        <v>124</v>
      </c>
      <c r="Q1064" s="107" t="s">
        <v>1834</v>
      </c>
      <c r="R1064" s="266">
        <v>0.98</v>
      </c>
      <c r="S1064" s="37">
        <v>0</v>
      </c>
      <c r="T1064" s="36" t="str">
        <f t="shared" ca="1" si="88"/>
        <v>Empty</v>
      </c>
      <c r="U1064" s="37" t="s">
        <v>3414</v>
      </c>
      <c r="V1064" s="37"/>
      <c r="W1064" s="38"/>
      <c r="X1064" s="39"/>
      <c r="Y1064" s="150"/>
      <c r="Z1064" s="40"/>
      <c r="AA1064" s="136" t="str">
        <f t="shared" ca="1" si="89"/>
        <v/>
      </c>
      <c r="AB1064" s="40"/>
      <c r="AC1064" s="116"/>
      <c r="AD1064" s="116"/>
      <c r="AE1064" s="40"/>
      <c r="AF1064" s="136" t="str">
        <f t="shared" ca="1" si="90"/>
        <v/>
      </c>
      <c r="AG1064" s="127"/>
      <c r="AH1064" s="127"/>
      <c r="AI1064" s="127"/>
      <c r="AJ1064" s="128"/>
      <c r="AK1064" s="128"/>
      <c r="AL1064" s="129"/>
    </row>
    <row r="1065" spans="1:38" ht="23.25" x14ac:dyDescent="0.25">
      <c r="A1065" s="486" t="str">
        <f t="shared" si="87"/>
        <v>18REF202</v>
      </c>
      <c r="B1065" s="487">
        <v>202</v>
      </c>
      <c r="C1065" s="486" t="s">
        <v>39</v>
      </c>
      <c r="D1065" s="488" t="s">
        <v>40</v>
      </c>
      <c r="E1065" s="124" t="s">
        <v>701</v>
      </c>
      <c r="F1065" s="124" t="s">
        <v>3423</v>
      </c>
      <c r="G1065" s="251"/>
      <c r="H1065" s="443" t="s">
        <v>43</v>
      </c>
      <c r="I1065" s="126" t="s">
        <v>3424</v>
      </c>
      <c r="J1065" s="47" t="s">
        <v>105</v>
      </c>
      <c r="K1065" s="126">
        <v>192.08</v>
      </c>
      <c r="L1065" s="126" t="s">
        <v>3427</v>
      </c>
      <c r="M1065" s="126" t="s">
        <v>3426</v>
      </c>
      <c r="N1065" s="265">
        <v>43298</v>
      </c>
      <c r="O1065" s="260">
        <v>43301</v>
      </c>
      <c r="P1065" s="106" t="s">
        <v>124</v>
      </c>
      <c r="Q1065" s="107" t="s">
        <v>1834</v>
      </c>
      <c r="R1065" s="266">
        <v>0.98</v>
      </c>
      <c r="S1065" s="37">
        <v>0</v>
      </c>
      <c r="T1065" s="36" t="str">
        <f t="shared" ca="1" si="88"/>
        <v>Empty</v>
      </c>
      <c r="U1065" s="37" t="s">
        <v>3414</v>
      </c>
      <c r="V1065" s="37"/>
      <c r="W1065" s="38"/>
      <c r="X1065" s="39"/>
      <c r="Y1065" s="150"/>
      <c r="Z1065" s="40"/>
      <c r="AA1065" s="136" t="str">
        <f t="shared" ca="1" si="89"/>
        <v/>
      </c>
      <c r="AB1065" s="40"/>
      <c r="AC1065" s="116"/>
      <c r="AD1065" s="116"/>
      <c r="AE1065" s="40"/>
      <c r="AF1065" s="136" t="str">
        <f t="shared" ca="1" si="90"/>
        <v/>
      </c>
      <c r="AG1065" s="127"/>
      <c r="AH1065" s="127"/>
      <c r="AI1065" s="127"/>
      <c r="AJ1065" s="128"/>
      <c r="AK1065" s="128"/>
      <c r="AL1065" s="129"/>
    </row>
    <row r="1066" spans="1:38" ht="23.25" x14ac:dyDescent="0.25">
      <c r="A1066" s="486" t="str">
        <f t="shared" si="87"/>
        <v>18REF203</v>
      </c>
      <c r="B1066" s="487">
        <v>203</v>
      </c>
      <c r="C1066" s="486" t="s">
        <v>39</v>
      </c>
      <c r="D1066" s="488" t="s">
        <v>40</v>
      </c>
      <c r="E1066" s="124" t="s">
        <v>701</v>
      </c>
      <c r="F1066" s="124" t="s">
        <v>3423</v>
      </c>
      <c r="G1066" s="251"/>
      <c r="H1066" s="443" t="s">
        <v>43</v>
      </c>
      <c r="I1066" s="126" t="s">
        <v>3424</v>
      </c>
      <c r="J1066" s="47" t="s">
        <v>105</v>
      </c>
      <c r="K1066" s="126">
        <v>192.08</v>
      </c>
      <c r="L1066" s="126" t="s">
        <v>3427</v>
      </c>
      <c r="M1066" s="126" t="s">
        <v>3426</v>
      </c>
      <c r="N1066" s="265">
        <v>43298</v>
      </c>
      <c r="O1066" s="260"/>
      <c r="P1066" s="106" t="s">
        <v>124</v>
      </c>
      <c r="Q1066" s="107" t="s">
        <v>1834</v>
      </c>
      <c r="R1066" s="266">
        <v>0.98</v>
      </c>
      <c r="S1066" s="37"/>
      <c r="T1066" s="36" t="str">
        <f t="shared" ca="1" si="88"/>
        <v/>
      </c>
      <c r="U1066" s="37" t="s">
        <v>3414</v>
      </c>
      <c r="V1066" s="37"/>
      <c r="W1066" s="38"/>
      <c r="X1066" s="39"/>
      <c r="Y1066" s="150"/>
      <c r="Z1066" s="40"/>
      <c r="AA1066" s="136" t="str">
        <f t="shared" ca="1" si="89"/>
        <v/>
      </c>
      <c r="AB1066" s="40"/>
      <c r="AC1066" s="116"/>
      <c r="AD1066" s="116"/>
      <c r="AE1066" s="40"/>
      <c r="AF1066" s="136" t="str">
        <f t="shared" ca="1" si="90"/>
        <v/>
      </c>
      <c r="AG1066" s="127"/>
      <c r="AH1066" s="127"/>
      <c r="AI1066" s="127"/>
      <c r="AJ1066" s="128"/>
      <c r="AK1066" s="128"/>
      <c r="AL1066" s="129"/>
    </row>
    <row r="1067" spans="1:38" ht="23.25" x14ac:dyDescent="0.25">
      <c r="A1067" s="486" t="str">
        <f t="shared" si="87"/>
        <v>18REF204</v>
      </c>
      <c r="B1067" s="487">
        <v>204</v>
      </c>
      <c r="C1067" s="486" t="s">
        <v>39</v>
      </c>
      <c r="D1067" s="488" t="s">
        <v>40</v>
      </c>
      <c r="E1067" s="124" t="s">
        <v>701</v>
      </c>
      <c r="F1067" s="124" t="s">
        <v>3423</v>
      </c>
      <c r="G1067" s="251"/>
      <c r="H1067" s="443" t="s">
        <v>43</v>
      </c>
      <c r="I1067" s="126" t="s">
        <v>3425</v>
      </c>
      <c r="J1067" s="47" t="s">
        <v>105</v>
      </c>
      <c r="K1067" s="126">
        <v>192.08</v>
      </c>
      <c r="L1067" s="126" t="s">
        <v>3427</v>
      </c>
      <c r="M1067" s="126" t="s">
        <v>3426</v>
      </c>
      <c r="N1067" s="265">
        <v>43298</v>
      </c>
      <c r="O1067" s="260">
        <v>43301</v>
      </c>
      <c r="P1067" s="106" t="s">
        <v>124</v>
      </c>
      <c r="Q1067" s="107" t="s">
        <v>1834</v>
      </c>
      <c r="R1067" s="266">
        <v>0.97</v>
      </c>
      <c r="S1067" s="37">
        <f>100-18.5-26.5</f>
        <v>55</v>
      </c>
      <c r="T1067" s="36">
        <f t="shared" ca="1" si="88"/>
        <v>74</v>
      </c>
      <c r="U1067" s="37" t="s">
        <v>3414</v>
      </c>
      <c r="V1067" s="37"/>
      <c r="W1067" s="38"/>
      <c r="X1067" s="39"/>
      <c r="Y1067" s="150"/>
      <c r="Z1067" s="40"/>
      <c r="AA1067" s="136" t="str">
        <f t="shared" ca="1" si="89"/>
        <v/>
      </c>
      <c r="AB1067" s="40"/>
      <c r="AC1067" s="116"/>
      <c r="AD1067" s="116"/>
      <c r="AE1067" s="40"/>
      <c r="AF1067" s="136" t="str">
        <f t="shared" ca="1" si="90"/>
        <v/>
      </c>
      <c r="AG1067" s="127"/>
      <c r="AH1067" s="127"/>
      <c r="AI1067" s="127"/>
      <c r="AJ1067" s="128"/>
      <c r="AK1067" s="128"/>
      <c r="AL1067" s="129"/>
    </row>
    <row r="1068" spans="1:38" ht="30" x14ac:dyDescent="0.25">
      <c r="A1068" s="486" t="str">
        <f t="shared" si="87"/>
        <v>18REF205</v>
      </c>
      <c r="B1068" s="487">
        <v>205</v>
      </c>
      <c r="C1068" s="486" t="s">
        <v>39</v>
      </c>
      <c r="D1068" s="488" t="s">
        <v>744</v>
      </c>
      <c r="E1068" s="124" t="s">
        <v>701</v>
      </c>
      <c r="F1068" s="124" t="s">
        <v>878</v>
      </c>
      <c r="G1068" s="251" t="s">
        <v>3225</v>
      </c>
      <c r="H1068" s="443" t="s">
        <v>43</v>
      </c>
      <c r="I1068" s="531" t="s">
        <v>3224</v>
      </c>
      <c r="J1068" s="443" t="s">
        <v>45</v>
      </c>
      <c r="K1068" s="126">
        <v>189.17</v>
      </c>
      <c r="L1068" s="126" t="s">
        <v>880</v>
      </c>
      <c r="M1068" s="104" t="s">
        <v>881</v>
      </c>
      <c r="N1068" s="265">
        <v>43297</v>
      </c>
      <c r="O1068" s="260"/>
      <c r="P1068" s="106" t="s">
        <v>56</v>
      </c>
      <c r="Q1068" s="107" t="s">
        <v>1527</v>
      </c>
      <c r="R1068" s="266">
        <v>1</v>
      </c>
      <c r="S1068" s="37"/>
      <c r="T1068" s="36" t="str">
        <f t="shared" ca="1" si="88"/>
        <v/>
      </c>
      <c r="U1068" s="37"/>
      <c r="V1068" s="37"/>
      <c r="W1068" s="38"/>
      <c r="X1068" s="39"/>
      <c r="Y1068" s="150"/>
      <c r="Z1068" s="40"/>
      <c r="AA1068" s="136" t="str">
        <f t="shared" ca="1" si="89"/>
        <v/>
      </c>
      <c r="AB1068" s="40"/>
      <c r="AC1068" s="116"/>
      <c r="AD1068" s="116"/>
      <c r="AE1068" s="40"/>
      <c r="AF1068" s="136" t="str">
        <f t="shared" ca="1" si="90"/>
        <v/>
      </c>
      <c r="AG1068" s="127"/>
      <c r="AH1068" s="127"/>
      <c r="AI1068" s="127"/>
      <c r="AJ1068" s="128"/>
      <c r="AK1068" s="128"/>
      <c r="AL1068" s="129"/>
    </row>
    <row r="1069" spans="1:38" ht="30" x14ac:dyDescent="0.25">
      <c r="A1069" s="486" t="str">
        <f t="shared" si="87"/>
        <v>18REF206</v>
      </c>
      <c r="B1069" s="487">
        <v>206</v>
      </c>
      <c r="C1069" s="486" t="s">
        <v>39</v>
      </c>
      <c r="D1069" s="488" t="s">
        <v>744</v>
      </c>
      <c r="E1069" s="124" t="s">
        <v>701</v>
      </c>
      <c r="F1069" s="124" t="s">
        <v>878</v>
      </c>
      <c r="G1069" s="251" t="s">
        <v>3225</v>
      </c>
      <c r="H1069" s="443" t="s">
        <v>43</v>
      </c>
      <c r="I1069" s="531" t="s">
        <v>3224</v>
      </c>
      <c r="J1069" s="443" t="s">
        <v>45</v>
      </c>
      <c r="K1069" s="126">
        <v>189.17</v>
      </c>
      <c r="L1069" s="126" t="s">
        <v>880</v>
      </c>
      <c r="M1069" s="104" t="s">
        <v>881</v>
      </c>
      <c r="N1069" s="265">
        <v>43297</v>
      </c>
      <c r="O1069" s="260"/>
      <c r="P1069" s="106" t="s">
        <v>56</v>
      </c>
      <c r="Q1069" s="107" t="s">
        <v>1527</v>
      </c>
      <c r="R1069" s="266">
        <v>1</v>
      </c>
      <c r="S1069" s="37"/>
      <c r="T1069" s="36" t="str">
        <f t="shared" ca="1" si="88"/>
        <v/>
      </c>
      <c r="U1069" s="37"/>
      <c r="V1069" s="37"/>
      <c r="W1069" s="38"/>
      <c r="X1069" s="39"/>
      <c r="Y1069" s="150"/>
      <c r="Z1069" s="40"/>
      <c r="AA1069" s="136" t="str">
        <f t="shared" ca="1" si="89"/>
        <v/>
      </c>
      <c r="AB1069" s="40"/>
      <c r="AC1069" s="116"/>
      <c r="AD1069" s="116"/>
      <c r="AE1069" s="40"/>
      <c r="AF1069" s="136" t="str">
        <f t="shared" ca="1" si="90"/>
        <v/>
      </c>
      <c r="AG1069" s="127"/>
      <c r="AH1069" s="127"/>
      <c r="AI1069" s="127"/>
      <c r="AJ1069" s="128"/>
      <c r="AK1069" s="128"/>
      <c r="AL1069" s="129"/>
    </row>
    <row r="1070" spans="1:38" ht="30" x14ac:dyDescent="0.25">
      <c r="A1070" s="486" t="str">
        <f t="shared" si="87"/>
        <v>18REF207</v>
      </c>
      <c r="B1070" s="487">
        <v>207</v>
      </c>
      <c r="C1070" s="486" t="s">
        <v>39</v>
      </c>
      <c r="D1070" s="488" t="s">
        <v>744</v>
      </c>
      <c r="E1070" s="124" t="s">
        <v>701</v>
      </c>
      <c r="F1070" s="124" t="s">
        <v>878</v>
      </c>
      <c r="G1070" s="251" t="s">
        <v>3225</v>
      </c>
      <c r="H1070" s="443" t="s">
        <v>43</v>
      </c>
      <c r="I1070" s="531" t="s">
        <v>3224</v>
      </c>
      <c r="J1070" s="443" t="s">
        <v>45</v>
      </c>
      <c r="K1070" s="126">
        <v>189.17</v>
      </c>
      <c r="L1070" s="126" t="s">
        <v>880</v>
      </c>
      <c r="M1070" s="104" t="s">
        <v>881</v>
      </c>
      <c r="N1070" s="265">
        <v>43297</v>
      </c>
      <c r="O1070" s="260"/>
      <c r="P1070" s="106" t="s">
        <v>56</v>
      </c>
      <c r="Q1070" s="107" t="s">
        <v>1527</v>
      </c>
      <c r="R1070" s="266">
        <v>1</v>
      </c>
      <c r="S1070" s="37"/>
      <c r="T1070" s="36" t="str">
        <f t="shared" ca="1" si="88"/>
        <v/>
      </c>
      <c r="U1070" s="37"/>
      <c r="V1070" s="37"/>
      <c r="W1070" s="38"/>
      <c r="X1070" s="39"/>
      <c r="Y1070" s="150"/>
      <c r="Z1070" s="40"/>
      <c r="AA1070" s="136" t="str">
        <f t="shared" ca="1" si="89"/>
        <v/>
      </c>
      <c r="AB1070" s="40"/>
      <c r="AC1070" s="116"/>
      <c r="AD1070" s="116"/>
      <c r="AE1070" s="40"/>
      <c r="AF1070" s="136" t="str">
        <f t="shared" ca="1" si="90"/>
        <v/>
      </c>
      <c r="AG1070" s="127"/>
      <c r="AH1070" s="127"/>
      <c r="AI1070" s="127"/>
      <c r="AJ1070" s="128"/>
      <c r="AK1070" s="128"/>
      <c r="AL1070" s="129"/>
    </row>
    <row r="1071" spans="1:38" ht="23.25" x14ac:dyDescent="0.25">
      <c r="A1071" s="489" t="str">
        <f t="shared" si="87"/>
        <v>18SAM208</v>
      </c>
      <c r="B1071" s="490">
        <v>208</v>
      </c>
      <c r="C1071" s="489" t="s">
        <v>57</v>
      </c>
      <c r="D1071" s="491" t="s">
        <v>170</v>
      </c>
      <c r="E1071" s="124" t="s">
        <v>2935</v>
      </c>
      <c r="F1071" s="124" t="s">
        <v>3433</v>
      </c>
      <c r="G1071" s="251" t="s">
        <v>3434</v>
      </c>
      <c r="H1071" s="443" t="s">
        <v>60</v>
      </c>
      <c r="I1071" s="126"/>
      <c r="J1071" s="443" t="s">
        <v>45</v>
      </c>
      <c r="K1071" s="126">
        <v>469.7</v>
      </c>
      <c r="L1071" s="126" t="s">
        <v>61</v>
      </c>
      <c r="M1071" s="104" t="s">
        <v>61</v>
      </c>
      <c r="N1071" s="265">
        <v>43308</v>
      </c>
      <c r="O1071" s="260">
        <v>43341</v>
      </c>
      <c r="P1071" s="106" t="s">
        <v>3435</v>
      </c>
      <c r="Q1071" s="107" t="s">
        <v>3360</v>
      </c>
      <c r="R1071" s="266">
        <v>1</v>
      </c>
      <c r="S1071" s="37">
        <v>0</v>
      </c>
      <c r="T1071" s="36" t="str">
        <f t="shared" ca="1" si="88"/>
        <v>Empty</v>
      </c>
      <c r="U1071" s="37" t="s">
        <v>3436</v>
      </c>
      <c r="V1071" s="678"/>
      <c r="W1071" s="38"/>
      <c r="X1071" s="39"/>
      <c r="Y1071" s="150"/>
      <c r="Z1071" s="40"/>
      <c r="AA1071" s="136" t="str">
        <f t="shared" ca="1" si="89"/>
        <v/>
      </c>
      <c r="AB1071" s="40"/>
      <c r="AC1071" s="116"/>
      <c r="AD1071" s="116"/>
      <c r="AE1071" s="40"/>
      <c r="AF1071" s="136" t="str">
        <f t="shared" ca="1" si="90"/>
        <v/>
      </c>
      <c r="AG1071" s="127"/>
      <c r="AH1071" s="127"/>
      <c r="AI1071" s="127"/>
      <c r="AJ1071" s="128"/>
      <c r="AK1071" s="128"/>
      <c r="AL1071" s="129"/>
    </row>
    <row r="1072" spans="1:38" ht="23.25" x14ac:dyDescent="0.25">
      <c r="A1072" s="489" t="str">
        <f t="shared" si="87"/>
        <v>18SAM209</v>
      </c>
      <c r="B1072" s="490">
        <v>209</v>
      </c>
      <c r="C1072" s="489" t="s">
        <v>57</v>
      </c>
      <c r="D1072" s="491" t="s">
        <v>170</v>
      </c>
      <c r="E1072" s="124" t="s">
        <v>1041</v>
      </c>
      <c r="F1072" s="124" t="s">
        <v>3437</v>
      </c>
      <c r="G1072" s="251" t="s">
        <v>3441</v>
      </c>
      <c r="H1072" s="443" t="s">
        <v>60</v>
      </c>
      <c r="I1072" s="190" t="s">
        <v>3438</v>
      </c>
      <c r="J1072" s="443" t="s">
        <v>45</v>
      </c>
      <c r="K1072" s="126">
        <v>413.42</v>
      </c>
      <c r="L1072" s="126" t="s">
        <v>61</v>
      </c>
      <c r="M1072" s="104" t="s">
        <v>61</v>
      </c>
      <c r="N1072" s="265">
        <v>43311</v>
      </c>
      <c r="O1072" s="260"/>
      <c r="P1072" s="106" t="s">
        <v>3439</v>
      </c>
      <c r="Q1072" s="107" t="s">
        <v>3360</v>
      </c>
      <c r="R1072" s="266">
        <v>1</v>
      </c>
      <c r="S1072" s="37"/>
      <c r="T1072" s="36" t="str">
        <f t="shared" ca="1" si="88"/>
        <v/>
      </c>
      <c r="U1072" s="37" t="s">
        <v>3440</v>
      </c>
      <c r="V1072" s="678" t="s">
        <v>3460</v>
      </c>
      <c r="W1072" s="38"/>
      <c r="X1072" s="39"/>
      <c r="Y1072" s="150"/>
      <c r="Z1072" s="40"/>
      <c r="AA1072" s="136" t="str">
        <f t="shared" ca="1" si="89"/>
        <v/>
      </c>
      <c r="AB1072" s="40"/>
      <c r="AC1072" s="116"/>
      <c r="AD1072" s="116"/>
      <c r="AE1072" s="40"/>
      <c r="AF1072" s="136" t="str">
        <f t="shared" ca="1" si="90"/>
        <v/>
      </c>
      <c r="AG1072" s="127"/>
      <c r="AH1072" s="127"/>
      <c r="AI1072" s="127"/>
      <c r="AJ1072" s="128"/>
      <c r="AK1072" s="128"/>
      <c r="AL1072" s="129"/>
    </row>
    <row r="1073" spans="1:38" ht="23.25" x14ac:dyDescent="0.25">
      <c r="A1073" s="489" t="str">
        <f t="shared" si="87"/>
        <v>18SAM210</v>
      </c>
      <c r="B1073" s="490">
        <v>210</v>
      </c>
      <c r="C1073" s="489" t="s">
        <v>57</v>
      </c>
      <c r="D1073" s="491" t="s">
        <v>170</v>
      </c>
      <c r="E1073" s="124" t="s">
        <v>1041</v>
      </c>
      <c r="F1073" s="124" t="s">
        <v>3370</v>
      </c>
      <c r="G1073" s="251" t="s">
        <v>3442</v>
      </c>
      <c r="H1073" s="443" t="s">
        <v>60</v>
      </c>
      <c r="I1073" s="190" t="s">
        <v>3443</v>
      </c>
      <c r="J1073" s="443" t="s">
        <v>45</v>
      </c>
      <c r="K1073" s="126">
        <v>392.33</v>
      </c>
      <c r="L1073" s="126" t="s">
        <v>61</v>
      </c>
      <c r="M1073" s="104" t="s">
        <v>61</v>
      </c>
      <c r="N1073" s="265">
        <v>43311</v>
      </c>
      <c r="O1073" s="260">
        <v>43312</v>
      </c>
      <c r="P1073" s="106" t="s">
        <v>3444</v>
      </c>
      <c r="Q1073" s="107" t="s">
        <v>3360</v>
      </c>
      <c r="R1073" s="266">
        <v>1</v>
      </c>
      <c r="S1073" s="37">
        <f>10.11-2.16</f>
        <v>7.9499999999999993</v>
      </c>
      <c r="T1073" s="36">
        <f t="shared" ref="T1073" ca="1" si="92">IF(S1073="","",IF(S1073=0,"Empty",IF(O1073="","",IF(O1073,DAYS360(O1073,TODAY())))))</f>
        <v>64</v>
      </c>
      <c r="U1073" s="37" t="s">
        <v>3440</v>
      </c>
      <c r="V1073" s="678" t="s">
        <v>3421</v>
      </c>
      <c r="W1073" s="38"/>
      <c r="X1073" s="39"/>
      <c r="Y1073" s="150"/>
      <c r="Z1073" s="40"/>
      <c r="AA1073" s="136" t="str">
        <f t="shared" ca="1" si="89"/>
        <v/>
      </c>
      <c r="AB1073" s="40"/>
      <c r="AC1073" s="116"/>
      <c r="AD1073" s="116"/>
      <c r="AE1073" s="40"/>
      <c r="AF1073" s="136" t="str">
        <f t="shared" ca="1" si="90"/>
        <v/>
      </c>
      <c r="AG1073" s="127"/>
      <c r="AH1073" s="127"/>
      <c r="AI1073" s="127"/>
      <c r="AJ1073" s="128"/>
      <c r="AK1073" s="128"/>
      <c r="AL1073" s="129"/>
    </row>
    <row r="1074" spans="1:38" ht="31.5" customHeight="1" x14ac:dyDescent="0.25">
      <c r="A1074" s="486" t="str">
        <f t="shared" si="87"/>
        <v>18REF211</v>
      </c>
      <c r="B1074" s="487">
        <v>211</v>
      </c>
      <c r="C1074" s="486" t="s">
        <v>39</v>
      </c>
      <c r="D1074" s="488" t="s">
        <v>170</v>
      </c>
      <c r="E1074" s="124" t="s">
        <v>701</v>
      </c>
      <c r="F1074" s="124" t="s">
        <v>3455</v>
      </c>
      <c r="G1074" s="251" t="s">
        <v>3571</v>
      </c>
      <c r="H1074" s="443" t="s">
        <v>330</v>
      </c>
      <c r="I1074" s="126" t="s">
        <v>3459</v>
      </c>
      <c r="J1074" s="443" t="s">
        <v>180</v>
      </c>
      <c r="K1074" s="126">
        <v>303.29000000000002</v>
      </c>
      <c r="L1074" s="126" t="s">
        <v>3456</v>
      </c>
      <c r="M1074" s="104" t="s">
        <v>3457</v>
      </c>
      <c r="N1074" s="265">
        <v>43313</v>
      </c>
      <c r="O1074" s="260">
        <v>43332</v>
      </c>
      <c r="P1074" s="106" t="s">
        <v>86</v>
      </c>
      <c r="Q1074" s="107" t="s">
        <v>3458</v>
      </c>
      <c r="R1074" s="266">
        <v>1</v>
      </c>
      <c r="S1074" s="37">
        <v>0</v>
      </c>
      <c r="T1074" s="36" t="str">
        <f t="shared" ca="1" si="88"/>
        <v>Empty</v>
      </c>
      <c r="U1074" s="37" t="s">
        <v>3436</v>
      </c>
      <c r="V1074" s="37"/>
      <c r="W1074" s="38"/>
      <c r="X1074" s="39"/>
      <c r="Y1074" s="150"/>
      <c r="Z1074" s="40"/>
      <c r="AA1074" s="136" t="str">
        <f t="shared" ca="1" si="89"/>
        <v/>
      </c>
      <c r="AB1074" s="40"/>
      <c r="AC1074" s="116"/>
      <c r="AD1074" s="116"/>
      <c r="AE1074" s="40"/>
      <c r="AF1074" s="136" t="str">
        <f t="shared" ca="1" si="90"/>
        <v/>
      </c>
      <c r="AG1074" s="127"/>
      <c r="AH1074" s="127"/>
      <c r="AI1074" s="127"/>
      <c r="AJ1074" s="128"/>
      <c r="AK1074" s="128"/>
      <c r="AL1074" s="129"/>
    </row>
    <row r="1075" spans="1:38" ht="23.25" x14ac:dyDescent="0.25">
      <c r="A1075" s="486" t="str">
        <f t="shared" si="87"/>
        <v>18REF212</v>
      </c>
      <c r="B1075" s="487">
        <v>212</v>
      </c>
      <c r="C1075" s="486" t="s">
        <v>39</v>
      </c>
      <c r="D1075" s="488" t="s">
        <v>170</v>
      </c>
      <c r="E1075" s="124" t="s">
        <v>701</v>
      </c>
      <c r="F1075" s="124" t="s">
        <v>3462</v>
      </c>
      <c r="G1075" s="251"/>
      <c r="H1075" s="443" t="s">
        <v>3463</v>
      </c>
      <c r="I1075" s="126" t="s">
        <v>3464</v>
      </c>
      <c r="J1075" s="443" t="s">
        <v>45</v>
      </c>
      <c r="K1075" s="126">
        <v>168.36</v>
      </c>
      <c r="L1075" s="126" t="s">
        <v>3465</v>
      </c>
      <c r="M1075" s="104" t="s">
        <v>3466</v>
      </c>
      <c r="N1075" s="265">
        <v>43320</v>
      </c>
      <c r="O1075" s="260">
        <v>43326</v>
      </c>
      <c r="P1075" s="106" t="s">
        <v>48</v>
      </c>
      <c r="Q1075" s="107" t="s">
        <v>3467</v>
      </c>
      <c r="R1075" s="267">
        <v>0.999</v>
      </c>
      <c r="S1075" s="37">
        <f>25000-2440</f>
        <v>22560</v>
      </c>
      <c r="T1075" s="36">
        <f t="shared" ca="1" si="88"/>
        <v>50</v>
      </c>
      <c r="U1075" s="37"/>
      <c r="V1075" s="37"/>
      <c r="W1075" s="38"/>
      <c r="X1075" s="39"/>
      <c r="Y1075" s="150"/>
      <c r="Z1075" s="40"/>
      <c r="AA1075" s="136" t="str">
        <f t="shared" ca="1" si="89"/>
        <v/>
      </c>
      <c r="AB1075" s="40"/>
      <c r="AC1075" s="116"/>
      <c r="AD1075" s="116"/>
      <c r="AE1075" s="40"/>
      <c r="AF1075" s="136" t="str">
        <f t="shared" ca="1" si="90"/>
        <v/>
      </c>
      <c r="AG1075" s="127"/>
      <c r="AH1075" s="127"/>
      <c r="AI1075" s="127"/>
      <c r="AJ1075" s="128"/>
      <c r="AK1075" s="128"/>
      <c r="AL1075" s="129"/>
    </row>
    <row r="1076" spans="1:38" ht="23.25" x14ac:dyDescent="0.25">
      <c r="A1076" s="486" t="str">
        <f t="shared" si="87"/>
        <v>18REF213</v>
      </c>
      <c r="B1076" s="487">
        <v>213</v>
      </c>
      <c r="C1076" s="486" t="s">
        <v>39</v>
      </c>
      <c r="D1076" s="488" t="s">
        <v>824</v>
      </c>
      <c r="E1076" s="124" t="s">
        <v>701</v>
      </c>
      <c r="F1076" s="124" t="s">
        <v>3468</v>
      </c>
      <c r="G1076" s="251" t="s">
        <v>3469</v>
      </c>
      <c r="H1076" s="443" t="s">
        <v>330</v>
      </c>
      <c r="I1076" s="126" t="s">
        <v>3470</v>
      </c>
      <c r="J1076" s="443" t="s">
        <v>180</v>
      </c>
      <c r="K1076" s="126">
        <v>449.4</v>
      </c>
      <c r="L1076" s="126" t="s">
        <v>3471</v>
      </c>
      <c r="M1076" s="104" t="s">
        <v>3472</v>
      </c>
      <c r="N1076" s="265">
        <v>43321</v>
      </c>
      <c r="O1076" s="260">
        <v>43321</v>
      </c>
      <c r="P1076" s="106" t="s">
        <v>86</v>
      </c>
      <c r="Q1076" s="107" t="s">
        <v>3473</v>
      </c>
      <c r="R1076" s="266">
        <v>1</v>
      </c>
      <c r="S1076" s="37">
        <v>0</v>
      </c>
      <c r="T1076" s="36" t="str">
        <f t="shared" ca="1" si="88"/>
        <v>Empty</v>
      </c>
      <c r="U1076" s="37" t="s">
        <v>3362</v>
      </c>
      <c r="V1076" s="37"/>
      <c r="W1076" s="38"/>
      <c r="X1076" s="39"/>
      <c r="Y1076" s="150"/>
      <c r="Z1076" s="40"/>
      <c r="AA1076" s="136" t="str">
        <f t="shared" ca="1" si="89"/>
        <v/>
      </c>
      <c r="AB1076" s="40"/>
      <c r="AC1076" s="116"/>
      <c r="AD1076" s="116"/>
      <c r="AE1076" s="40"/>
      <c r="AF1076" s="136" t="str">
        <f t="shared" ca="1" si="90"/>
        <v/>
      </c>
      <c r="AG1076" s="127"/>
      <c r="AH1076" s="127"/>
      <c r="AI1076" s="127"/>
      <c r="AJ1076" s="128"/>
      <c r="AK1076" s="128"/>
      <c r="AL1076" s="129"/>
    </row>
    <row r="1077" spans="1:38" ht="23.25" x14ac:dyDescent="0.25">
      <c r="A1077" s="489" t="str">
        <f t="shared" si="87"/>
        <v>18SAM214</v>
      </c>
      <c r="B1077" s="490">
        <v>214</v>
      </c>
      <c r="C1077" s="489" t="s">
        <v>57</v>
      </c>
      <c r="D1077" s="491" t="s">
        <v>40</v>
      </c>
      <c r="E1077" s="124" t="s">
        <v>1041</v>
      </c>
      <c r="F1077" s="124" t="s">
        <v>3400</v>
      </c>
      <c r="G1077" s="251" t="s">
        <v>3475</v>
      </c>
      <c r="H1077" s="443" t="s">
        <v>60</v>
      </c>
      <c r="I1077" s="132" t="s">
        <v>3404</v>
      </c>
      <c r="J1077" s="47" t="s">
        <v>45</v>
      </c>
      <c r="K1077" s="126">
        <v>516.97400000000005</v>
      </c>
      <c r="L1077" s="126" t="s">
        <v>61</v>
      </c>
      <c r="M1077" s="104" t="s">
        <v>61</v>
      </c>
      <c r="N1077" s="265">
        <v>43325</v>
      </c>
      <c r="O1077" s="260">
        <v>43326</v>
      </c>
      <c r="P1077" s="106" t="s">
        <v>3476</v>
      </c>
      <c r="Q1077" s="107" t="s">
        <v>822</v>
      </c>
      <c r="R1077" s="244" t="s">
        <v>60</v>
      </c>
      <c r="S1077" s="37">
        <f>85-48.74-17.5</f>
        <v>18.759999999999998</v>
      </c>
      <c r="T1077" s="36">
        <f t="shared" ca="1" si="88"/>
        <v>50</v>
      </c>
      <c r="U1077" s="37" t="s">
        <v>3290</v>
      </c>
      <c r="V1077" s="37"/>
      <c r="W1077" s="38"/>
      <c r="X1077" s="39"/>
      <c r="Y1077" s="150"/>
      <c r="Z1077" s="40"/>
      <c r="AA1077" s="136" t="str">
        <f t="shared" ca="1" si="89"/>
        <v/>
      </c>
      <c r="AB1077" s="40"/>
      <c r="AC1077" s="116"/>
      <c r="AD1077" s="116"/>
      <c r="AE1077" s="40"/>
      <c r="AF1077" s="136" t="str">
        <f t="shared" ca="1" si="90"/>
        <v/>
      </c>
      <c r="AG1077" s="127"/>
      <c r="AH1077" s="127"/>
      <c r="AI1077" s="127"/>
      <c r="AJ1077" s="128"/>
      <c r="AK1077" s="128"/>
      <c r="AL1077" s="129"/>
    </row>
    <row r="1078" spans="1:38" ht="23.25" x14ac:dyDescent="0.25">
      <c r="A1078" s="486" t="str">
        <f t="shared" si="87"/>
        <v>18REF215</v>
      </c>
      <c r="B1078" s="487">
        <v>215</v>
      </c>
      <c r="C1078" s="486" t="s">
        <v>39</v>
      </c>
      <c r="D1078" s="488" t="s">
        <v>40</v>
      </c>
      <c r="E1078" s="124" t="s">
        <v>701</v>
      </c>
      <c r="F1078" s="124" t="s">
        <v>1178</v>
      </c>
      <c r="G1078" s="251"/>
      <c r="H1078" s="443" t="s">
        <v>1137</v>
      </c>
      <c r="I1078" s="126" t="s">
        <v>1138</v>
      </c>
      <c r="J1078" s="47" t="s">
        <v>105</v>
      </c>
      <c r="K1078" s="126">
        <v>17000</v>
      </c>
      <c r="L1078" s="126" t="s">
        <v>1140</v>
      </c>
      <c r="M1078" s="104"/>
      <c r="N1078" s="265">
        <v>43328</v>
      </c>
      <c r="O1078" s="260">
        <v>43349</v>
      </c>
      <c r="P1078" s="106" t="s">
        <v>1141</v>
      </c>
      <c r="Q1078" s="107" t="s">
        <v>3497</v>
      </c>
      <c r="R1078" s="244" t="s">
        <v>3485</v>
      </c>
      <c r="S1078" s="37">
        <v>0</v>
      </c>
      <c r="T1078" s="36" t="str">
        <f t="shared" ca="1" si="88"/>
        <v>Empty</v>
      </c>
      <c r="U1078" s="37"/>
      <c r="V1078" s="37"/>
      <c r="W1078" s="38"/>
      <c r="X1078" s="39"/>
      <c r="Y1078" s="150"/>
      <c r="Z1078" s="40"/>
      <c r="AA1078" s="136" t="str">
        <f t="shared" ca="1" si="89"/>
        <v/>
      </c>
      <c r="AB1078" s="40"/>
      <c r="AC1078" s="116"/>
      <c r="AD1078" s="116"/>
      <c r="AE1078" s="40"/>
      <c r="AF1078" s="136" t="str">
        <f t="shared" ca="1" si="90"/>
        <v/>
      </c>
      <c r="AG1078" s="127"/>
      <c r="AH1078" s="127"/>
      <c r="AI1078" s="127"/>
      <c r="AJ1078" s="128"/>
      <c r="AK1078" s="128"/>
      <c r="AL1078" s="129"/>
    </row>
    <row r="1079" spans="1:38" ht="23.25" x14ac:dyDescent="0.25">
      <c r="A1079" s="486" t="str">
        <f t="shared" si="87"/>
        <v>18REF216</v>
      </c>
      <c r="B1079" s="487">
        <v>216</v>
      </c>
      <c r="C1079" s="486" t="s">
        <v>39</v>
      </c>
      <c r="D1079" s="488" t="s">
        <v>40</v>
      </c>
      <c r="E1079" s="124" t="s">
        <v>701</v>
      </c>
      <c r="F1079" s="124" t="s">
        <v>1178</v>
      </c>
      <c r="G1079" s="251"/>
      <c r="H1079" s="443" t="s">
        <v>1137</v>
      </c>
      <c r="I1079" s="126" t="s">
        <v>1138</v>
      </c>
      <c r="J1079" s="47" t="s">
        <v>105</v>
      </c>
      <c r="K1079" s="126">
        <v>17000</v>
      </c>
      <c r="L1079" s="126" t="s">
        <v>1140</v>
      </c>
      <c r="M1079" s="104"/>
      <c r="N1079" s="265">
        <v>43328</v>
      </c>
      <c r="O1079" s="260">
        <v>43258</v>
      </c>
      <c r="P1079" s="106" t="s">
        <v>1141</v>
      </c>
      <c r="Q1079" s="107" t="s">
        <v>3497</v>
      </c>
      <c r="R1079" s="244" t="s">
        <v>3485</v>
      </c>
      <c r="S1079" s="37">
        <v>0</v>
      </c>
      <c r="T1079" s="36" t="str">
        <f t="shared" ca="1" si="88"/>
        <v>Empty</v>
      </c>
      <c r="U1079" s="37"/>
      <c r="V1079" s="37"/>
      <c r="W1079" s="38"/>
      <c r="X1079" s="39"/>
      <c r="Y1079" s="150"/>
      <c r="Z1079" s="40"/>
      <c r="AA1079" s="136" t="str">
        <f t="shared" ca="1" si="89"/>
        <v/>
      </c>
      <c r="AB1079" s="40"/>
      <c r="AC1079" s="116"/>
      <c r="AD1079" s="116"/>
      <c r="AE1079" s="40"/>
      <c r="AF1079" s="136" t="str">
        <f t="shared" ca="1" si="90"/>
        <v/>
      </c>
      <c r="AG1079" s="127"/>
      <c r="AH1079" s="127"/>
      <c r="AI1079" s="127"/>
      <c r="AJ1079" s="128"/>
      <c r="AK1079" s="128"/>
      <c r="AL1079" s="129"/>
    </row>
    <row r="1080" spans="1:38" ht="23.25" x14ac:dyDescent="0.25">
      <c r="A1080" s="494" t="str">
        <f t="shared" si="87"/>
        <v>18REF217</v>
      </c>
      <c r="B1080" s="487">
        <v>217</v>
      </c>
      <c r="C1080" s="494" t="s">
        <v>39</v>
      </c>
      <c r="D1080" s="495" t="s">
        <v>40</v>
      </c>
      <c r="E1080" s="124" t="s">
        <v>701</v>
      </c>
      <c r="F1080" s="124" t="s">
        <v>1588</v>
      </c>
      <c r="G1080" s="251"/>
      <c r="H1080" s="443" t="s">
        <v>43</v>
      </c>
      <c r="I1080" s="126" t="s">
        <v>3486</v>
      </c>
      <c r="J1080" s="47" t="s">
        <v>45</v>
      </c>
      <c r="K1080" s="126">
        <v>284.74</v>
      </c>
      <c r="L1080" s="126" t="s">
        <v>3487</v>
      </c>
      <c r="M1080" s="104" t="s">
        <v>1590</v>
      </c>
      <c r="N1080" s="265">
        <v>43329</v>
      </c>
      <c r="O1080" s="260">
        <v>43332</v>
      </c>
      <c r="P1080" s="106" t="s">
        <v>124</v>
      </c>
      <c r="Q1080" s="107" t="s">
        <v>822</v>
      </c>
      <c r="R1080" s="244" t="s">
        <v>60</v>
      </c>
      <c r="S1080" s="37">
        <f>100-2.1-1.52</f>
        <v>96.38000000000001</v>
      </c>
      <c r="T1080" s="36">
        <f t="shared" ca="1" si="88"/>
        <v>44</v>
      </c>
      <c r="U1080" s="37"/>
      <c r="V1080" s="37"/>
      <c r="W1080" s="38"/>
      <c r="X1080" s="39"/>
      <c r="Y1080" s="150"/>
      <c r="Z1080" s="40"/>
      <c r="AA1080" s="136" t="str">
        <f t="shared" ca="1" si="89"/>
        <v/>
      </c>
      <c r="AB1080" s="40"/>
      <c r="AC1080" s="116"/>
      <c r="AD1080" s="116"/>
      <c r="AE1080" s="40"/>
      <c r="AF1080" s="136" t="str">
        <f t="shared" ca="1" si="90"/>
        <v/>
      </c>
      <c r="AG1080" s="127"/>
      <c r="AH1080" s="127"/>
      <c r="AI1080" s="127"/>
      <c r="AJ1080" s="128"/>
      <c r="AK1080" s="128"/>
      <c r="AL1080" s="129"/>
    </row>
    <row r="1081" spans="1:38" ht="23.25" x14ac:dyDescent="0.25">
      <c r="A1081" s="486" t="str">
        <f t="shared" si="87"/>
        <v>18REF218</v>
      </c>
      <c r="B1081" s="487">
        <v>218</v>
      </c>
      <c r="C1081" s="486" t="s">
        <v>39</v>
      </c>
      <c r="D1081" s="488" t="s">
        <v>824</v>
      </c>
      <c r="E1081" s="124" t="s">
        <v>701</v>
      </c>
      <c r="F1081" s="124" t="s">
        <v>1763</v>
      </c>
      <c r="G1081" s="251"/>
      <c r="H1081" s="443" t="s">
        <v>43</v>
      </c>
      <c r="I1081" s="126" t="s">
        <v>3491</v>
      </c>
      <c r="J1081" s="47" t="s">
        <v>105</v>
      </c>
      <c r="K1081" s="126" t="s">
        <v>61</v>
      </c>
      <c r="L1081" s="126" t="s">
        <v>1765</v>
      </c>
      <c r="M1081" s="104" t="s">
        <v>1766</v>
      </c>
      <c r="N1081" s="265">
        <v>43333</v>
      </c>
      <c r="O1081" s="260"/>
      <c r="P1081" s="106" t="s">
        <v>497</v>
      </c>
      <c r="Q1081" s="107"/>
      <c r="R1081" s="244"/>
      <c r="S1081" s="37"/>
      <c r="T1081" s="36" t="str">
        <f t="shared" ca="1" si="88"/>
        <v/>
      </c>
      <c r="U1081" s="37"/>
      <c r="V1081" s="37"/>
      <c r="W1081" s="38"/>
      <c r="X1081" s="39"/>
      <c r="Y1081" s="150"/>
      <c r="Z1081" s="40"/>
      <c r="AA1081" s="136" t="str">
        <f t="shared" ca="1" si="89"/>
        <v/>
      </c>
      <c r="AB1081" s="40"/>
      <c r="AC1081" s="116"/>
      <c r="AD1081" s="116"/>
      <c r="AE1081" s="40"/>
      <c r="AF1081" s="136" t="str">
        <f t="shared" ca="1" si="90"/>
        <v/>
      </c>
      <c r="AG1081" s="127"/>
      <c r="AH1081" s="127"/>
      <c r="AI1081" s="127"/>
      <c r="AJ1081" s="128"/>
      <c r="AK1081" s="128"/>
      <c r="AL1081" s="129"/>
    </row>
    <row r="1082" spans="1:38" ht="23.25" x14ac:dyDescent="0.25">
      <c r="A1082" s="486" t="str">
        <f t="shared" si="87"/>
        <v>18REF219</v>
      </c>
      <c r="B1082" s="487">
        <v>219</v>
      </c>
      <c r="C1082" s="486" t="s">
        <v>39</v>
      </c>
      <c r="D1082" s="488" t="s">
        <v>40</v>
      </c>
      <c r="E1082" s="124" t="s">
        <v>701</v>
      </c>
      <c r="F1082" s="124" t="s">
        <v>1178</v>
      </c>
      <c r="G1082" s="251"/>
      <c r="H1082" s="443" t="s">
        <v>1137</v>
      </c>
      <c r="I1082" s="126" t="s">
        <v>1138</v>
      </c>
      <c r="J1082" s="47" t="s">
        <v>105</v>
      </c>
      <c r="K1082" s="126">
        <v>17000</v>
      </c>
      <c r="L1082" s="126" t="s">
        <v>1140</v>
      </c>
      <c r="M1082" s="104"/>
      <c r="N1082" s="265">
        <v>43341</v>
      </c>
      <c r="O1082" s="260">
        <v>43353</v>
      </c>
      <c r="P1082" s="106" t="s">
        <v>1141</v>
      </c>
      <c r="Q1082" s="107" t="s">
        <v>3497</v>
      </c>
      <c r="R1082" s="244" t="s">
        <v>3485</v>
      </c>
      <c r="S1082" s="37">
        <v>0</v>
      </c>
      <c r="T1082" s="36" t="str">
        <f t="shared" ca="1" si="88"/>
        <v>Empty</v>
      </c>
      <c r="U1082" s="37"/>
      <c r="V1082" s="37"/>
      <c r="W1082" s="38"/>
      <c r="X1082" s="39"/>
      <c r="Y1082" s="150"/>
      <c r="Z1082" s="40"/>
      <c r="AA1082" s="136" t="str">
        <f t="shared" ca="1" si="89"/>
        <v/>
      </c>
      <c r="AB1082" s="40"/>
      <c r="AC1082" s="116"/>
      <c r="AD1082" s="116"/>
      <c r="AE1082" s="40"/>
      <c r="AF1082" s="136" t="str">
        <f t="shared" ca="1" si="90"/>
        <v/>
      </c>
      <c r="AG1082" s="127"/>
      <c r="AH1082" s="127"/>
      <c r="AI1082" s="127"/>
      <c r="AJ1082" s="128"/>
      <c r="AK1082" s="128"/>
      <c r="AL1082" s="129"/>
    </row>
    <row r="1083" spans="1:38" ht="23.25" x14ac:dyDescent="0.25">
      <c r="A1083" s="486" t="str">
        <f t="shared" si="87"/>
        <v>18REF220</v>
      </c>
      <c r="B1083" s="487">
        <v>220</v>
      </c>
      <c r="C1083" s="486" t="s">
        <v>39</v>
      </c>
      <c r="D1083" s="488" t="s">
        <v>824</v>
      </c>
      <c r="E1083" s="124" t="s">
        <v>701</v>
      </c>
      <c r="F1083" s="124" t="s">
        <v>2893</v>
      </c>
      <c r="G1083" s="251" t="s">
        <v>61</v>
      </c>
      <c r="H1083" s="443" t="s">
        <v>3513</v>
      </c>
      <c r="I1083" s="126">
        <v>1969926</v>
      </c>
      <c r="J1083" s="47" t="s">
        <v>105</v>
      </c>
      <c r="K1083" s="126" t="s">
        <v>1811</v>
      </c>
      <c r="L1083" s="126">
        <v>11530536</v>
      </c>
      <c r="M1083" s="104"/>
      <c r="N1083" s="265">
        <v>43347</v>
      </c>
      <c r="O1083" s="260"/>
      <c r="P1083" s="106" t="s">
        <v>2828</v>
      </c>
      <c r="Q1083" s="107"/>
      <c r="R1083" s="244" t="s">
        <v>61</v>
      </c>
      <c r="S1083" s="37"/>
      <c r="T1083" s="36" t="str">
        <f t="shared" ca="1" si="88"/>
        <v/>
      </c>
      <c r="U1083" s="37"/>
      <c r="V1083" s="37"/>
      <c r="W1083" s="38"/>
      <c r="X1083" s="39"/>
      <c r="Y1083" s="150"/>
      <c r="Z1083" s="40"/>
      <c r="AA1083" s="136" t="str">
        <f t="shared" ca="1" si="89"/>
        <v/>
      </c>
      <c r="AB1083" s="40"/>
      <c r="AC1083" s="116"/>
      <c r="AD1083" s="116"/>
      <c r="AE1083" s="40"/>
      <c r="AF1083" s="136" t="str">
        <f t="shared" ca="1" si="90"/>
        <v/>
      </c>
      <c r="AG1083" s="127"/>
      <c r="AH1083" s="127"/>
      <c r="AI1083" s="127"/>
      <c r="AJ1083" s="128"/>
      <c r="AK1083" s="128"/>
      <c r="AL1083" s="129"/>
    </row>
    <row r="1084" spans="1:38" ht="23.25" x14ac:dyDescent="0.25">
      <c r="A1084" s="486" t="str">
        <f t="shared" si="87"/>
        <v>18REF221</v>
      </c>
      <c r="B1084" s="487">
        <v>221</v>
      </c>
      <c r="C1084" s="486" t="s">
        <v>39</v>
      </c>
      <c r="D1084" s="488" t="s">
        <v>824</v>
      </c>
      <c r="E1084" s="124" t="s">
        <v>701</v>
      </c>
      <c r="F1084" s="124" t="s">
        <v>2893</v>
      </c>
      <c r="G1084" s="251" t="s">
        <v>61</v>
      </c>
      <c r="H1084" s="443" t="s">
        <v>3513</v>
      </c>
      <c r="I1084" s="126">
        <v>1969926</v>
      </c>
      <c r="J1084" s="47" t="s">
        <v>105</v>
      </c>
      <c r="K1084" s="126" t="s">
        <v>1811</v>
      </c>
      <c r="L1084" s="126">
        <v>11530536</v>
      </c>
      <c r="M1084" s="104"/>
      <c r="N1084" s="265">
        <v>43347</v>
      </c>
      <c r="O1084" s="260"/>
      <c r="P1084" s="106" t="s">
        <v>2828</v>
      </c>
      <c r="Q1084" s="107"/>
      <c r="R1084" s="244" t="s">
        <v>61</v>
      </c>
      <c r="S1084" s="37"/>
      <c r="T1084" s="36" t="str">
        <f t="shared" ca="1" si="88"/>
        <v/>
      </c>
      <c r="U1084" s="37"/>
      <c r="V1084" s="37"/>
      <c r="W1084" s="38"/>
      <c r="X1084" s="39"/>
      <c r="Y1084" s="150"/>
      <c r="Z1084" s="40"/>
      <c r="AA1084" s="136" t="str">
        <f t="shared" ca="1" si="89"/>
        <v/>
      </c>
      <c r="AB1084" s="40"/>
      <c r="AC1084" s="116"/>
      <c r="AD1084" s="116"/>
      <c r="AE1084" s="40"/>
      <c r="AF1084" s="136" t="str">
        <f t="shared" ca="1" si="90"/>
        <v/>
      </c>
      <c r="AG1084" s="127"/>
      <c r="AH1084" s="127"/>
      <c r="AI1084" s="127"/>
      <c r="AJ1084" s="128"/>
      <c r="AK1084" s="128"/>
      <c r="AL1084" s="129"/>
    </row>
    <row r="1085" spans="1:38" ht="23.25" x14ac:dyDescent="0.25">
      <c r="A1085" s="486" t="str">
        <f t="shared" si="87"/>
        <v>18REF222</v>
      </c>
      <c r="B1085" s="487">
        <v>222</v>
      </c>
      <c r="C1085" s="486" t="s">
        <v>39</v>
      </c>
      <c r="D1085" s="488" t="s">
        <v>824</v>
      </c>
      <c r="E1085" s="124" t="s">
        <v>701</v>
      </c>
      <c r="F1085" s="124" t="s">
        <v>2893</v>
      </c>
      <c r="G1085" s="251" t="s">
        <v>61</v>
      </c>
      <c r="H1085" s="443" t="s">
        <v>3513</v>
      </c>
      <c r="I1085" s="126">
        <v>1984957</v>
      </c>
      <c r="J1085" s="47" t="s">
        <v>105</v>
      </c>
      <c r="K1085" s="126" t="s">
        <v>1811</v>
      </c>
      <c r="L1085" s="126">
        <v>11530536</v>
      </c>
      <c r="M1085" s="104"/>
      <c r="N1085" s="265">
        <v>43347</v>
      </c>
      <c r="O1085" s="260"/>
      <c r="P1085" s="106" t="s">
        <v>2828</v>
      </c>
      <c r="Q1085" s="107"/>
      <c r="R1085" s="244" t="s">
        <v>61</v>
      </c>
      <c r="S1085" s="37"/>
      <c r="T1085" s="36" t="str">
        <f t="shared" ca="1" si="88"/>
        <v/>
      </c>
      <c r="U1085" s="37"/>
      <c r="V1085" s="37"/>
      <c r="W1085" s="38"/>
      <c r="X1085" s="39"/>
      <c r="Y1085" s="150"/>
      <c r="Z1085" s="40"/>
      <c r="AA1085" s="136" t="str">
        <f t="shared" ca="1" si="89"/>
        <v/>
      </c>
      <c r="AB1085" s="40"/>
      <c r="AC1085" s="116"/>
      <c r="AD1085" s="116"/>
      <c r="AE1085" s="40"/>
      <c r="AF1085" s="136" t="str">
        <f t="shared" ca="1" si="90"/>
        <v/>
      </c>
      <c r="AG1085" s="127"/>
      <c r="AH1085" s="127"/>
      <c r="AI1085" s="127"/>
      <c r="AJ1085" s="128"/>
      <c r="AK1085" s="128"/>
      <c r="AL1085" s="129"/>
    </row>
    <row r="1086" spans="1:38" ht="23.25" x14ac:dyDescent="0.25">
      <c r="A1086" s="486" t="str">
        <f t="shared" si="87"/>
        <v>18REF223</v>
      </c>
      <c r="B1086" s="487">
        <v>223</v>
      </c>
      <c r="C1086" s="486" t="s">
        <v>39</v>
      </c>
      <c r="D1086" s="488" t="s">
        <v>824</v>
      </c>
      <c r="E1086" s="124" t="s">
        <v>701</v>
      </c>
      <c r="F1086" s="124" t="s">
        <v>3509</v>
      </c>
      <c r="G1086" s="251" t="s">
        <v>61</v>
      </c>
      <c r="H1086" s="443" t="s">
        <v>3513</v>
      </c>
      <c r="I1086" s="126">
        <v>1950329</v>
      </c>
      <c r="J1086" s="47" t="s">
        <v>105</v>
      </c>
      <c r="K1086" s="126" t="s">
        <v>1962</v>
      </c>
      <c r="L1086" s="126">
        <v>15430614</v>
      </c>
      <c r="M1086" s="104"/>
      <c r="N1086" s="265">
        <v>43347</v>
      </c>
      <c r="O1086" s="260"/>
      <c r="P1086" s="106" t="s">
        <v>2139</v>
      </c>
      <c r="Q1086" s="107"/>
      <c r="R1086" s="244" t="s">
        <v>61</v>
      </c>
      <c r="S1086" s="37"/>
      <c r="T1086" s="36" t="str">
        <f t="shared" ca="1" si="88"/>
        <v/>
      </c>
      <c r="U1086" s="37"/>
      <c r="V1086" s="37"/>
      <c r="W1086" s="38"/>
      <c r="X1086" s="39"/>
      <c r="Y1086" s="150"/>
      <c r="Z1086" s="40"/>
      <c r="AA1086" s="136" t="str">
        <f t="shared" ca="1" si="89"/>
        <v/>
      </c>
      <c r="AB1086" s="40"/>
      <c r="AC1086" s="116"/>
      <c r="AD1086" s="116"/>
      <c r="AE1086" s="40"/>
      <c r="AF1086" s="136" t="str">
        <f t="shared" ca="1" si="90"/>
        <v/>
      </c>
      <c r="AG1086" s="127"/>
      <c r="AH1086" s="127"/>
      <c r="AI1086" s="127"/>
      <c r="AJ1086" s="128"/>
      <c r="AK1086" s="128"/>
      <c r="AL1086" s="129"/>
    </row>
    <row r="1087" spans="1:38" ht="23.25" x14ac:dyDescent="0.25">
      <c r="A1087" s="486" t="str">
        <f t="shared" si="87"/>
        <v>18REF224</v>
      </c>
      <c r="B1087" s="487">
        <v>224</v>
      </c>
      <c r="C1087" s="486" t="s">
        <v>39</v>
      </c>
      <c r="D1087" s="488" t="s">
        <v>824</v>
      </c>
      <c r="E1087" s="124" t="s">
        <v>701</v>
      </c>
      <c r="F1087" s="124" t="s">
        <v>3511</v>
      </c>
      <c r="G1087" s="251" t="s">
        <v>61</v>
      </c>
      <c r="H1087" s="443" t="s">
        <v>3513</v>
      </c>
      <c r="I1087" s="126">
        <v>1981204</v>
      </c>
      <c r="J1087" s="47" t="s">
        <v>105</v>
      </c>
      <c r="K1087" s="126"/>
      <c r="L1087" s="126">
        <v>11528876</v>
      </c>
      <c r="M1087" s="104"/>
      <c r="N1087" s="265">
        <v>43347</v>
      </c>
      <c r="O1087" s="260">
        <v>43347</v>
      </c>
      <c r="P1087" s="106" t="s">
        <v>945</v>
      </c>
      <c r="Q1087" s="107"/>
      <c r="R1087" s="244" t="s">
        <v>61</v>
      </c>
      <c r="S1087" s="37">
        <v>0</v>
      </c>
      <c r="T1087" s="36" t="str">
        <f t="shared" ca="1" si="88"/>
        <v>Empty</v>
      </c>
      <c r="U1087" s="37"/>
      <c r="V1087" s="37"/>
      <c r="W1087" s="38"/>
      <c r="X1087" s="39"/>
      <c r="Y1087" s="150"/>
      <c r="Z1087" s="40"/>
      <c r="AA1087" s="136" t="str">
        <f t="shared" ca="1" si="89"/>
        <v/>
      </c>
      <c r="AB1087" s="40"/>
      <c r="AC1087" s="116"/>
      <c r="AD1087" s="116"/>
      <c r="AE1087" s="40"/>
      <c r="AF1087" s="136" t="str">
        <f t="shared" ca="1" si="90"/>
        <v/>
      </c>
      <c r="AG1087" s="127"/>
      <c r="AH1087" s="127"/>
      <c r="AI1087" s="127"/>
      <c r="AJ1087" s="128"/>
      <c r="AK1087" s="128"/>
      <c r="AL1087" s="129"/>
    </row>
    <row r="1088" spans="1:38" ht="23.25" x14ac:dyDescent="0.25">
      <c r="A1088" s="486" t="str">
        <f t="shared" si="87"/>
        <v>18REF225</v>
      </c>
      <c r="B1088" s="487">
        <v>225</v>
      </c>
      <c r="C1088" s="486" t="s">
        <v>39</v>
      </c>
      <c r="D1088" s="488" t="s">
        <v>824</v>
      </c>
      <c r="E1088" s="124" t="s">
        <v>701</v>
      </c>
      <c r="F1088" s="124" t="s">
        <v>3510</v>
      </c>
      <c r="G1088" s="251" t="s">
        <v>61</v>
      </c>
      <c r="H1088" s="443" t="s">
        <v>3513</v>
      </c>
      <c r="I1088" s="126">
        <v>1978483</v>
      </c>
      <c r="J1088" s="47" t="s">
        <v>180</v>
      </c>
      <c r="K1088" s="126"/>
      <c r="L1088" s="126">
        <v>11540366</v>
      </c>
      <c r="M1088" s="104"/>
      <c r="N1088" s="265">
        <v>43347</v>
      </c>
      <c r="O1088" s="260"/>
      <c r="P1088" s="106" t="s">
        <v>2219</v>
      </c>
      <c r="Q1088" s="107"/>
      <c r="R1088" s="244" t="s">
        <v>61</v>
      </c>
      <c r="S1088" s="37"/>
      <c r="T1088" s="36" t="str">
        <f t="shared" ca="1" si="88"/>
        <v/>
      </c>
      <c r="U1088" s="37"/>
      <c r="V1088" s="37"/>
      <c r="W1088" s="38"/>
      <c r="X1088" s="39"/>
      <c r="Y1088" s="150"/>
      <c r="Z1088" s="40"/>
      <c r="AA1088" s="136" t="str">
        <f t="shared" ca="1" si="89"/>
        <v/>
      </c>
      <c r="AB1088" s="40"/>
      <c r="AC1088" s="116"/>
      <c r="AD1088" s="116"/>
      <c r="AE1088" s="40"/>
      <c r="AF1088" s="136" t="str">
        <f t="shared" ca="1" si="90"/>
        <v/>
      </c>
      <c r="AG1088" s="127"/>
      <c r="AH1088" s="127"/>
      <c r="AI1088" s="127"/>
      <c r="AJ1088" s="128"/>
      <c r="AK1088" s="128"/>
      <c r="AL1088" s="129"/>
    </row>
    <row r="1089" spans="1:38" ht="24" thickBot="1" x14ac:dyDescent="0.3">
      <c r="A1089" s="486" t="str">
        <f t="shared" si="87"/>
        <v>18REF226</v>
      </c>
      <c r="B1089" s="487">
        <v>226</v>
      </c>
      <c r="C1089" s="486" t="s">
        <v>39</v>
      </c>
      <c r="D1089" s="488" t="s">
        <v>824</v>
      </c>
      <c r="E1089" s="124" t="s">
        <v>701</v>
      </c>
      <c r="F1089" s="124" t="s">
        <v>1380</v>
      </c>
      <c r="G1089" s="251"/>
      <c r="H1089" s="443" t="s">
        <v>43</v>
      </c>
      <c r="I1089" s="126" t="s">
        <v>3521</v>
      </c>
      <c r="J1089" s="47" t="s">
        <v>394</v>
      </c>
      <c r="K1089" s="126" t="s">
        <v>61</v>
      </c>
      <c r="L1089" s="126" t="s">
        <v>1383</v>
      </c>
      <c r="M1089" s="104" t="s">
        <v>1384</v>
      </c>
      <c r="N1089" s="265">
        <v>43348</v>
      </c>
      <c r="O1089" s="260">
        <v>43348</v>
      </c>
      <c r="P1089" s="106" t="s">
        <v>194</v>
      </c>
      <c r="Q1089" s="324" t="s">
        <v>3522</v>
      </c>
      <c r="R1089" s="244" t="s">
        <v>61</v>
      </c>
      <c r="S1089" s="37">
        <v>0</v>
      </c>
      <c r="T1089" s="36" t="str">
        <f t="shared" ca="1" si="88"/>
        <v>Empty</v>
      </c>
      <c r="U1089" s="37"/>
      <c r="V1089" s="37"/>
      <c r="W1089" s="38"/>
      <c r="X1089" s="39"/>
      <c r="Y1089" s="150"/>
      <c r="Z1089" s="40"/>
      <c r="AA1089" s="136" t="str">
        <f t="shared" ca="1" si="89"/>
        <v/>
      </c>
      <c r="AB1089" s="40"/>
      <c r="AC1089" s="116"/>
      <c r="AD1089" s="116"/>
      <c r="AE1089" s="40"/>
      <c r="AF1089" s="136" t="str">
        <f t="shared" ca="1" si="90"/>
        <v/>
      </c>
      <c r="AG1089" s="127"/>
      <c r="AH1089" s="127"/>
      <c r="AI1089" s="127"/>
      <c r="AJ1089" s="128"/>
      <c r="AK1089" s="128"/>
      <c r="AL1089" s="129"/>
    </row>
    <row r="1090" spans="1:38" ht="24" thickBot="1" x14ac:dyDescent="0.3">
      <c r="A1090" s="486" t="str">
        <f t="shared" si="87"/>
        <v>18REF227</v>
      </c>
      <c r="B1090" s="487">
        <v>227</v>
      </c>
      <c r="C1090" s="486" t="s">
        <v>39</v>
      </c>
      <c r="D1090" s="488" t="s">
        <v>824</v>
      </c>
      <c r="E1090" s="124" t="s">
        <v>701</v>
      </c>
      <c r="F1090" s="124" t="s">
        <v>1380</v>
      </c>
      <c r="G1090" s="251"/>
      <c r="H1090" s="443" t="s">
        <v>43</v>
      </c>
      <c r="I1090" s="126" t="s">
        <v>3521</v>
      </c>
      <c r="J1090" s="47" t="s">
        <v>394</v>
      </c>
      <c r="K1090" s="126" t="s">
        <v>61</v>
      </c>
      <c r="L1090" s="126" t="s">
        <v>1383</v>
      </c>
      <c r="M1090" s="104" t="s">
        <v>1384</v>
      </c>
      <c r="N1090" s="265">
        <v>43348</v>
      </c>
      <c r="O1090" s="260"/>
      <c r="P1090" s="106" t="s">
        <v>194</v>
      </c>
      <c r="Q1090" s="324" t="s">
        <v>3522</v>
      </c>
      <c r="R1090" s="244" t="s">
        <v>61</v>
      </c>
      <c r="S1090" s="37"/>
      <c r="T1090" s="36" t="str">
        <f t="shared" ca="1" si="88"/>
        <v/>
      </c>
      <c r="U1090" s="37"/>
      <c r="V1090" s="37"/>
      <c r="W1090" s="38"/>
      <c r="X1090" s="39"/>
      <c r="Y1090" s="150"/>
      <c r="Z1090" s="40"/>
      <c r="AA1090" s="136" t="str">
        <f t="shared" ca="1" si="89"/>
        <v/>
      </c>
      <c r="AB1090" s="40"/>
      <c r="AC1090" s="116"/>
      <c r="AD1090" s="116"/>
      <c r="AE1090" s="40"/>
      <c r="AF1090" s="136" t="str">
        <f t="shared" ca="1" si="90"/>
        <v/>
      </c>
      <c r="AG1090" s="127"/>
      <c r="AH1090" s="127"/>
      <c r="AI1090" s="127"/>
      <c r="AJ1090" s="128"/>
      <c r="AK1090" s="128"/>
      <c r="AL1090" s="129"/>
    </row>
    <row r="1091" spans="1:38" ht="23.25" x14ac:dyDescent="0.25">
      <c r="A1091" s="486" t="str">
        <f t="shared" si="87"/>
        <v>18REF228</v>
      </c>
      <c r="B1091" s="487">
        <v>228</v>
      </c>
      <c r="C1091" s="486" t="s">
        <v>39</v>
      </c>
      <c r="D1091" s="488" t="s">
        <v>40</v>
      </c>
      <c r="E1091" s="124" t="s">
        <v>701</v>
      </c>
      <c r="F1091" s="124" t="s">
        <v>3523</v>
      </c>
      <c r="G1091" s="251"/>
      <c r="H1091" s="443" t="s">
        <v>43</v>
      </c>
      <c r="I1091" s="126" t="s">
        <v>3524</v>
      </c>
      <c r="J1091" s="47" t="s">
        <v>105</v>
      </c>
      <c r="K1091" s="126">
        <v>436.26</v>
      </c>
      <c r="L1091" s="126" t="s">
        <v>3525</v>
      </c>
      <c r="M1091" s="104" t="s">
        <v>1171</v>
      </c>
      <c r="N1091" s="265">
        <v>43348</v>
      </c>
      <c r="O1091" s="260">
        <v>43349</v>
      </c>
      <c r="P1091" s="106" t="s">
        <v>497</v>
      </c>
      <c r="Q1091" s="107" t="s">
        <v>3526</v>
      </c>
      <c r="R1091" s="244">
        <v>99.8</v>
      </c>
      <c r="S1091" s="37">
        <v>0</v>
      </c>
      <c r="T1091" s="36" t="str">
        <f t="shared" ca="1" si="88"/>
        <v>Empty</v>
      </c>
      <c r="U1091" s="37"/>
      <c r="V1091" s="37"/>
      <c r="W1091" s="38"/>
      <c r="X1091" s="39"/>
      <c r="Y1091" s="150"/>
      <c r="Z1091" s="40"/>
      <c r="AA1091" s="136" t="str">
        <f t="shared" ca="1" si="89"/>
        <v/>
      </c>
      <c r="AB1091" s="40"/>
      <c r="AC1091" s="116"/>
      <c r="AD1091" s="116"/>
      <c r="AE1091" s="40"/>
      <c r="AF1091" s="136" t="str">
        <f t="shared" ca="1" si="90"/>
        <v/>
      </c>
      <c r="AG1091" s="127"/>
      <c r="AH1091" s="127"/>
      <c r="AI1091" s="127"/>
      <c r="AJ1091" s="128"/>
      <c r="AK1091" s="128"/>
      <c r="AL1091" s="129"/>
    </row>
    <row r="1092" spans="1:38" ht="23.25" x14ac:dyDescent="0.25">
      <c r="A1092" s="486" t="str">
        <f t="shared" ref="A1092:A1155" si="93">IF(C1092="","",CONCATENATE(18,MID(C1092,1,3),IF(B1092&lt;10,"00",),B1092))</f>
        <v>18REF229</v>
      </c>
      <c r="B1092" s="487">
        <v>229</v>
      </c>
      <c r="C1092" s="486" t="s">
        <v>39</v>
      </c>
      <c r="D1092" s="488" t="s">
        <v>824</v>
      </c>
      <c r="E1092" s="124" t="s">
        <v>701</v>
      </c>
      <c r="F1092" s="124" t="s">
        <v>3468</v>
      </c>
      <c r="G1092" s="251"/>
      <c r="H1092" s="443" t="s">
        <v>330</v>
      </c>
      <c r="I1092" s="126" t="s">
        <v>3470</v>
      </c>
      <c r="J1092" s="443" t="s">
        <v>180</v>
      </c>
      <c r="K1092" s="126">
        <v>449.4</v>
      </c>
      <c r="L1092" s="126" t="s">
        <v>3471</v>
      </c>
      <c r="M1092" s="104" t="s">
        <v>3472</v>
      </c>
      <c r="N1092" s="265">
        <v>43349</v>
      </c>
      <c r="O1092" s="260">
        <v>43354</v>
      </c>
      <c r="P1092" s="106" t="s">
        <v>86</v>
      </c>
      <c r="Q1092" s="107" t="s">
        <v>3533</v>
      </c>
      <c r="R1092" s="266">
        <v>1</v>
      </c>
      <c r="S1092" s="37">
        <v>0</v>
      </c>
      <c r="T1092" s="36" t="str">
        <f t="shared" ca="1" si="88"/>
        <v>Empty</v>
      </c>
      <c r="U1092" s="37"/>
      <c r="V1092" s="37"/>
      <c r="W1092" s="38"/>
      <c r="X1092" s="39"/>
      <c r="Y1092" s="150"/>
      <c r="Z1092" s="40"/>
      <c r="AA1092" s="136" t="str">
        <f t="shared" ca="1" si="89"/>
        <v/>
      </c>
      <c r="AB1092" s="40"/>
      <c r="AC1092" s="116"/>
      <c r="AD1092" s="116"/>
      <c r="AE1092" s="40"/>
      <c r="AF1092" s="136" t="str">
        <f t="shared" ca="1" si="90"/>
        <v/>
      </c>
      <c r="AG1092" s="127"/>
      <c r="AH1092" s="127"/>
      <c r="AI1092" s="127"/>
      <c r="AJ1092" s="128"/>
      <c r="AK1092" s="128"/>
      <c r="AL1092" s="129"/>
    </row>
    <row r="1093" spans="1:38" ht="23.25" x14ac:dyDescent="0.25">
      <c r="A1093" s="489" t="str">
        <f t="shared" si="93"/>
        <v>18SAM230</v>
      </c>
      <c r="B1093" s="490">
        <v>230</v>
      </c>
      <c r="C1093" s="489" t="s">
        <v>57</v>
      </c>
      <c r="D1093" s="491" t="s">
        <v>3544</v>
      </c>
      <c r="E1093" s="124" t="s">
        <v>2935</v>
      </c>
      <c r="F1093" s="124" t="s">
        <v>3545</v>
      </c>
      <c r="G1093" s="251" t="s">
        <v>3546</v>
      </c>
      <c r="H1093" s="443" t="s">
        <v>60</v>
      </c>
      <c r="I1093" s="126"/>
      <c r="J1093" s="443" t="s">
        <v>45</v>
      </c>
      <c r="K1093" s="126">
        <v>351.79</v>
      </c>
      <c r="L1093" s="126" t="s">
        <v>61</v>
      </c>
      <c r="M1093" s="104" t="s">
        <v>61</v>
      </c>
      <c r="N1093" s="265">
        <v>43356</v>
      </c>
      <c r="O1093" s="260"/>
      <c r="P1093" s="106" t="s">
        <v>3547</v>
      </c>
      <c r="Q1093" s="107"/>
      <c r="R1093" s="244" t="s">
        <v>60</v>
      </c>
      <c r="S1093" s="37">
        <v>0</v>
      </c>
      <c r="T1093" s="36" t="str">
        <f t="shared" ca="1" si="88"/>
        <v>Empty</v>
      </c>
      <c r="U1093" s="37" t="s">
        <v>3264</v>
      </c>
      <c r="V1093" s="37" t="s">
        <v>3585</v>
      </c>
      <c r="W1093" s="38"/>
      <c r="X1093" s="39"/>
      <c r="Y1093" s="150"/>
      <c r="Z1093" s="40"/>
      <c r="AA1093" s="136" t="str">
        <f t="shared" ca="1" si="89"/>
        <v/>
      </c>
      <c r="AB1093" s="40"/>
      <c r="AC1093" s="116"/>
      <c r="AD1093" s="116"/>
      <c r="AE1093" s="40"/>
      <c r="AF1093" s="136" t="str">
        <f t="shared" ca="1" si="90"/>
        <v/>
      </c>
      <c r="AG1093" s="127"/>
      <c r="AH1093" s="127"/>
      <c r="AI1093" s="127"/>
      <c r="AJ1093" s="128"/>
      <c r="AK1093" s="128"/>
      <c r="AL1093" s="129"/>
    </row>
    <row r="1094" spans="1:38" ht="23.25" x14ac:dyDescent="0.25">
      <c r="A1094" s="486" t="str">
        <f t="shared" si="93"/>
        <v>18REF231</v>
      </c>
      <c r="B1094" s="487">
        <v>231</v>
      </c>
      <c r="C1094" s="486" t="s">
        <v>39</v>
      </c>
      <c r="D1094" s="488" t="s">
        <v>744</v>
      </c>
      <c r="E1094" s="124" t="s">
        <v>701</v>
      </c>
      <c r="F1094" s="124" t="s">
        <v>3548</v>
      </c>
      <c r="G1094" s="251"/>
      <c r="H1094" s="443" t="s">
        <v>43</v>
      </c>
      <c r="I1094" s="126" t="s">
        <v>3549</v>
      </c>
      <c r="J1094" s="443" t="s">
        <v>180</v>
      </c>
      <c r="K1094" s="126" t="s">
        <v>61</v>
      </c>
      <c r="L1094" s="126" t="s">
        <v>3550</v>
      </c>
      <c r="M1094" s="104" t="s">
        <v>61</v>
      </c>
      <c r="N1094" s="265">
        <v>43356</v>
      </c>
      <c r="O1094" s="260"/>
      <c r="P1094" s="106" t="s">
        <v>945</v>
      </c>
      <c r="Q1094" s="107"/>
      <c r="R1094" s="244" t="s">
        <v>61</v>
      </c>
      <c r="S1094" s="37"/>
      <c r="T1094" s="36" t="str">
        <f t="shared" ca="1" si="88"/>
        <v/>
      </c>
      <c r="U1094" s="37"/>
      <c r="V1094" s="37"/>
      <c r="W1094" s="38"/>
      <c r="X1094" s="39"/>
      <c r="Y1094" s="150"/>
      <c r="Z1094" s="40"/>
      <c r="AA1094" s="136" t="str">
        <f t="shared" ca="1" si="89"/>
        <v/>
      </c>
      <c r="AB1094" s="40"/>
      <c r="AC1094" s="116"/>
      <c r="AD1094" s="116"/>
      <c r="AE1094" s="40"/>
      <c r="AF1094" s="136" t="str">
        <f t="shared" ca="1" si="90"/>
        <v/>
      </c>
      <c r="AG1094" s="127"/>
      <c r="AH1094" s="127"/>
      <c r="AI1094" s="127"/>
      <c r="AJ1094" s="128"/>
      <c r="AK1094" s="128"/>
      <c r="AL1094" s="129"/>
    </row>
    <row r="1095" spans="1:38" ht="23.25" x14ac:dyDescent="0.25">
      <c r="A1095" s="486" t="str">
        <f t="shared" si="93"/>
        <v>18REF232</v>
      </c>
      <c r="B1095" s="487">
        <v>232</v>
      </c>
      <c r="C1095" s="486" t="s">
        <v>39</v>
      </c>
      <c r="D1095" s="488" t="s">
        <v>744</v>
      </c>
      <c r="E1095" s="124" t="s">
        <v>701</v>
      </c>
      <c r="F1095" s="124" t="s">
        <v>2558</v>
      </c>
      <c r="G1095" s="251"/>
      <c r="H1095" s="443" t="s">
        <v>43</v>
      </c>
      <c r="I1095" s="126" t="s">
        <v>3551</v>
      </c>
      <c r="J1095" s="443" t="s">
        <v>45</v>
      </c>
      <c r="K1095" s="126">
        <v>89.09</v>
      </c>
      <c r="L1095" s="126" t="s">
        <v>2560</v>
      </c>
      <c r="M1095" s="104" t="s">
        <v>3552</v>
      </c>
      <c r="N1095" s="265">
        <v>43356</v>
      </c>
      <c r="O1095" s="260"/>
      <c r="P1095" s="106" t="s">
        <v>1295</v>
      </c>
      <c r="Q1095" s="107" t="s">
        <v>49</v>
      </c>
      <c r="R1095" s="266">
        <v>1</v>
      </c>
      <c r="S1095" s="37"/>
      <c r="T1095" s="36" t="str">
        <f t="shared" ca="1" si="88"/>
        <v/>
      </c>
      <c r="U1095" s="37"/>
      <c r="V1095" s="37"/>
      <c r="W1095" s="38"/>
      <c r="X1095" s="39"/>
      <c r="Y1095" s="150"/>
      <c r="Z1095" s="40"/>
      <c r="AA1095" s="136" t="str">
        <f t="shared" ca="1" si="89"/>
        <v/>
      </c>
      <c r="AB1095" s="40"/>
      <c r="AC1095" s="116"/>
      <c r="AD1095" s="116"/>
      <c r="AE1095" s="40"/>
      <c r="AF1095" s="136" t="str">
        <f t="shared" ca="1" si="90"/>
        <v/>
      </c>
      <c r="AG1095" s="127"/>
      <c r="AH1095" s="127"/>
      <c r="AI1095" s="127"/>
      <c r="AJ1095" s="128"/>
      <c r="AK1095" s="128"/>
      <c r="AL1095" s="129"/>
    </row>
    <row r="1096" spans="1:38" ht="23.25" x14ac:dyDescent="0.25">
      <c r="A1096" s="486" t="str">
        <f t="shared" si="93"/>
        <v>18REF233</v>
      </c>
      <c r="B1096" s="487">
        <v>233</v>
      </c>
      <c r="C1096" s="486" t="s">
        <v>39</v>
      </c>
      <c r="D1096" s="488" t="s">
        <v>40</v>
      </c>
      <c r="E1096" s="124" t="s">
        <v>701</v>
      </c>
      <c r="F1096" s="124" t="s">
        <v>3561</v>
      </c>
      <c r="G1096" s="251"/>
      <c r="H1096" s="443" t="s">
        <v>43</v>
      </c>
      <c r="I1096" s="126" t="s">
        <v>3424</v>
      </c>
      <c r="J1096" s="47" t="s">
        <v>105</v>
      </c>
      <c r="K1096" s="126">
        <v>192.08</v>
      </c>
      <c r="L1096" s="126" t="s">
        <v>3427</v>
      </c>
      <c r="M1096" s="126" t="s">
        <v>3426</v>
      </c>
      <c r="N1096" s="265">
        <v>43357</v>
      </c>
      <c r="O1096" s="260"/>
      <c r="P1096" s="106" t="s">
        <v>776</v>
      </c>
      <c r="Q1096" s="107" t="s">
        <v>1834</v>
      </c>
      <c r="R1096" s="266">
        <v>0.98</v>
      </c>
      <c r="S1096" s="37"/>
      <c r="T1096" s="36" t="str">
        <f t="shared" ca="1" si="88"/>
        <v/>
      </c>
      <c r="U1096" s="37" t="s">
        <v>3414</v>
      </c>
      <c r="V1096" s="37"/>
      <c r="W1096" s="38"/>
      <c r="X1096" s="39"/>
      <c r="Y1096" s="150"/>
      <c r="Z1096" s="40"/>
      <c r="AA1096" s="136" t="str">
        <f t="shared" ca="1" si="89"/>
        <v/>
      </c>
      <c r="AB1096" s="40"/>
      <c r="AC1096" s="116"/>
      <c r="AD1096" s="116"/>
      <c r="AE1096" s="40"/>
      <c r="AF1096" s="136" t="str">
        <f t="shared" ca="1" si="90"/>
        <v/>
      </c>
      <c r="AG1096" s="127"/>
      <c r="AH1096" s="127"/>
      <c r="AI1096" s="127"/>
      <c r="AJ1096" s="128"/>
      <c r="AK1096" s="128"/>
      <c r="AL1096" s="129"/>
    </row>
    <row r="1097" spans="1:38" ht="23.25" x14ac:dyDescent="0.25">
      <c r="A1097" s="486" t="str">
        <f t="shared" si="93"/>
        <v>18REF234</v>
      </c>
      <c r="B1097" s="487">
        <v>234</v>
      </c>
      <c r="C1097" s="486" t="s">
        <v>39</v>
      </c>
      <c r="D1097" s="488" t="s">
        <v>744</v>
      </c>
      <c r="E1097" s="124" t="s">
        <v>701</v>
      </c>
      <c r="F1097" s="124" t="s">
        <v>2780</v>
      </c>
      <c r="G1097" s="251"/>
      <c r="H1097" s="443" t="s">
        <v>43</v>
      </c>
      <c r="I1097" s="126" t="s">
        <v>3562</v>
      </c>
      <c r="J1097" s="443" t="s">
        <v>180</v>
      </c>
      <c r="K1097" s="126">
        <v>116.12</v>
      </c>
      <c r="L1097" s="126" t="s">
        <v>2782</v>
      </c>
      <c r="M1097" s="104" t="s">
        <v>2783</v>
      </c>
      <c r="N1097" s="265">
        <v>43357</v>
      </c>
      <c r="O1097" s="260"/>
      <c r="P1097" s="106" t="s">
        <v>1295</v>
      </c>
      <c r="Q1097" s="107"/>
      <c r="R1097" s="267">
        <v>0.99299999999999999</v>
      </c>
      <c r="S1097" s="37"/>
      <c r="T1097" s="36" t="str">
        <f t="shared" ca="1" si="88"/>
        <v/>
      </c>
      <c r="U1097" s="37"/>
      <c r="V1097" s="37"/>
      <c r="W1097" s="38"/>
      <c r="X1097" s="39"/>
      <c r="Y1097" s="150"/>
      <c r="Z1097" s="40"/>
      <c r="AA1097" s="136" t="str">
        <f t="shared" ca="1" si="89"/>
        <v/>
      </c>
      <c r="AB1097" s="40"/>
      <c r="AC1097" s="116"/>
      <c r="AD1097" s="116"/>
      <c r="AE1097" s="40"/>
      <c r="AF1097" s="136" t="str">
        <f t="shared" ca="1" si="90"/>
        <v/>
      </c>
      <c r="AG1097" s="127"/>
      <c r="AH1097" s="127"/>
      <c r="AI1097" s="127"/>
      <c r="AJ1097" s="128"/>
      <c r="AK1097" s="128"/>
      <c r="AL1097" s="129"/>
    </row>
    <row r="1098" spans="1:38" ht="33" customHeight="1" x14ac:dyDescent="0.25">
      <c r="A1098" s="486" t="str">
        <f t="shared" si="93"/>
        <v>18REF235</v>
      </c>
      <c r="B1098" s="487">
        <v>235</v>
      </c>
      <c r="C1098" s="486" t="s">
        <v>39</v>
      </c>
      <c r="D1098" s="488" t="s">
        <v>170</v>
      </c>
      <c r="E1098" s="124" t="s">
        <v>701</v>
      </c>
      <c r="F1098" s="124" t="s">
        <v>3455</v>
      </c>
      <c r="G1098" s="251" t="s">
        <v>3571</v>
      </c>
      <c r="H1098" s="443" t="s">
        <v>330</v>
      </c>
      <c r="I1098" s="126" t="s">
        <v>3459</v>
      </c>
      <c r="J1098" s="443" t="s">
        <v>180</v>
      </c>
      <c r="K1098" s="126">
        <v>303.29000000000002</v>
      </c>
      <c r="L1098" s="126" t="s">
        <v>3456</v>
      </c>
      <c r="M1098" s="104" t="s">
        <v>3457</v>
      </c>
      <c r="N1098" s="265">
        <v>43360</v>
      </c>
      <c r="O1098" s="260"/>
      <c r="P1098" s="106" t="s">
        <v>86</v>
      </c>
      <c r="Q1098" s="107" t="s">
        <v>3458</v>
      </c>
      <c r="R1098" s="266">
        <v>1</v>
      </c>
      <c r="S1098" s="37"/>
      <c r="T1098" s="36" t="str">
        <f t="shared" ca="1" si="88"/>
        <v/>
      </c>
      <c r="U1098" s="37"/>
      <c r="V1098" s="37"/>
      <c r="W1098" s="38"/>
      <c r="X1098" s="39"/>
      <c r="Y1098" s="150"/>
      <c r="Z1098" s="40"/>
      <c r="AA1098" s="136" t="str">
        <f t="shared" ca="1" si="89"/>
        <v/>
      </c>
      <c r="AB1098" s="40"/>
      <c r="AC1098" s="116"/>
      <c r="AD1098" s="116"/>
      <c r="AE1098" s="40"/>
      <c r="AF1098" s="136" t="str">
        <f t="shared" ca="1" si="90"/>
        <v/>
      </c>
      <c r="AG1098" s="127"/>
      <c r="AH1098" s="127"/>
      <c r="AI1098" s="127"/>
      <c r="AJ1098" s="128"/>
      <c r="AK1098" s="128"/>
      <c r="AL1098" s="129"/>
    </row>
    <row r="1099" spans="1:38" ht="23.25" x14ac:dyDescent="0.25">
      <c r="A1099" s="486" t="str">
        <f t="shared" si="93"/>
        <v>18REF236</v>
      </c>
      <c r="B1099" s="487">
        <v>236</v>
      </c>
      <c r="C1099" s="486" t="s">
        <v>39</v>
      </c>
      <c r="D1099" s="488" t="s">
        <v>744</v>
      </c>
      <c r="E1099" s="124" t="s">
        <v>701</v>
      </c>
      <c r="F1099" s="124" t="s">
        <v>779</v>
      </c>
      <c r="G1099" s="251" t="s">
        <v>1126</v>
      </c>
      <c r="H1099" s="443" t="s">
        <v>625</v>
      </c>
      <c r="I1099" s="126" t="s">
        <v>2921</v>
      </c>
      <c r="J1099" s="443" t="s">
        <v>45</v>
      </c>
      <c r="K1099" s="126">
        <v>197.13</v>
      </c>
      <c r="L1099" s="126" t="s">
        <v>2922</v>
      </c>
      <c r="M1099" s="104" t="s">
        <v>782</v>
      </c>
      <c r="N1099" s="265">
        <v>43360</v>
      </c>
      <c r="O1099" s="260"/>
      <c r="P1099" s="106" t="s">
        <v>183</v>
      </c>
      <c r="Q1099" s="107" t="s">
        <v>3009</v>
      </c>
      <c r="R1099" s="267">
        <v>0.99299999999999999</v>
      </c>
      <c r="S1099" s="37"/>
      <c r="T1099" s="36" t="str">
        <f t="shared" ca="1" si="88"/>
        <v/>
      </c>
      <c r="U1099" s="37"/>
      <c r="V1099" s="37"/>
      <c r="W1099" s="38"/>
      <c r="X1099" s="39"/>
      <c r="Y1099" s="150"/>
      <c r="Z1099" s="40"/>
      <c r="AA1099" s="136" t="str">
        <f t="shared" ca="1" si="89"/>
        <v/>
      </c>
      <c r="AB1099" s="40"/>
      <c r="AC1099" s="116"/>
      <c r="AD1099" s="116"/>
      <c r="AE1099" s="40"/>
      <c r="AF1099" s="136" t="str">
        <f t="shared" ca="1" si="90"/>
        <v/>
      </c>
      <c r="AG1099" s="127"/>
      <c r="AH1099" s="127"/>
      <c r="AI1099" s="127"/>
      <c r="AJ1099" s="128"/>
      <c r="AK1099" s="128"/>
      <c r="AL1099" s="129"/>
    </row>
    <row r="1100" spans="1:38" ht="23.25" x14ac:dyDescent="0.25">
      <c r="A1100" s="486" t="str">
        <f t="shared" si="93"/>
        <v>18REF237</v>
      </c>
      <c r="B1100" s="487">
        <v>237</v>
      </c>
      <c r="C1100" s="486" t="s">
        <v>39</v>
      </c>
      <c r="D1100" s="488" t="s">
        <v>744</v>
      </c>
      <c r="E1100" s="124" t="s">
        <v>701</v>
      </c>
      <c r="F1100" s="124" t="s">
        <v>779</v>
      </c>
      <c r="G1100" s="251" t="s">
        <v>1126</v>
      </c>
      <c r="H1100" s="443" t="s">
        <v>625</v>
      </c>
      <c r="I1100" s="126" t="s">
        <v>2921</v>
      </c>
      <c r="J1100" s="443" t="s">
        <v>45</v>
      </c>
      <c r="K1100" s="126">
        <v>197.13</v>
      </c>
      <c r="L1100" s="126" t="s">
        <v>2922</v>
      </c>
      <c r="M1100" s="104" t="s">
        <v>782</v>
      </c>
      <c r="N1100" s="265">
        <v>43362</v>
      </c>
      <c r="O1100" s="260"/>
      <c r="P1100" s="106" t="s">
        <v>183</v>
      </c>
      <c r="Q1100" s="107" t="s">
        <v>3009</v>
      </c>
      <c r="R1100" s="267">
        <v>0.99299999999999999</v>
      </c>
      <c r="S1100" s="37"/>
      <c r="T1100" s="36" t="str">
        <f t="shared" ca="1" si="88"/>
        <v/>
      </c>
      <c r="U1100" s="37"/>
      <c r="V1100" s="37"/>
      <c r="W1100" s="38"/>
      <c r="X1100" s="39"/>
      <c r="Y1100" s="150"/>
      <c r="Z1100" s="40"/>
      <c r="AA1100" s="136" t="str">
        <f t="shared" ca="1" si="89"/>
        <v/>
      </c>
      <c r="AB1100" s="40"/>
      <c r="AC1100" s="116"/>
      <c r="AD1100" s="116"/>
      <c r="AE1100" s="40"/>
      <c r="AF1100" s="136" t="str">
        <f t="shared" ca="1" si="90"/>
        <v/>
      </c>
      <c r="AG1100" s="127"/>
      <c r="AH1100" s="127"/>
      <c r="AI1100" s="127"/>
      <c r="AJ1100" s="128"/>
      <c r="AK1100" s="128"/>
      <c r="AL1100" s="129"/>
    </row>
    <row r="1101" spans="1:38" ht="23.25" x14ac:dyDescent="0.25">
      <c r="A1101" s="486" t="str">
        <f t="shared" si="93"/>
        <v>18REF238</v>
      </c>
      <c r="B1101" s="487">
        <v>238</v>
      </c>
      <c r="C1101" s="486" t="s">
        <v>39</v>
      </c>
      <c r="D1101" s="488" t="s">
        <v>744</v>
      </c>
      <c r="E1101" s="124" t="s">
        <v>701</v>
      </c>
      <c r="F1101" s="124" t="s">
        <v>779</v>
      </c>
      <c r="G1101" s="251" t="s">
        <v>1126</v>
      </c>
      <c r="H1101" s="443" t="s">
        <v>625</v>
      </c>
      <c r="I1101" s="126" t="s">
        <v>2921</v>
      </c>
      <c r="J1101" s="443" t="s">
        <v>45</v>
      </c>
      <c r="K1101" s="126">
        <v>197.13</v>
      </c>
      <c r="L1101" s="126" t="s">
        <v>2922</v>
      </c>
      <c r="M1101" s="104" t="s">
        <v>782</v>
      </c>
      <c r="N1101" s="265">
        <v>43362</v>
      </c>
      <c r="O1101" s="260"/>
      <c r="P1101" s="106" t="s">
        <v>183</v>
      </c>
      <c r="Q1101" s="107" t="s">
        <v>3009</v>
      </c>
      <c r="R1101" s="267">
        <v>0.99299999999999999</v>
      </c>
      <c r="S1101" s="37"/>
      <c r="T1101" s="36" t="str">
        <f t="shared" ca="1" si="88"/>
        <v/>
      </c>
      <c r="U1101" s="37"/>
      <c r="V1101" s="37"/>
      <c r="W1101" s="38"/>
      <c r="X1101" s="39"/>
      <c r="Y1101" s="150"/>
      <c r="Z1101" s="40"/>
      <c r="AA1101" s="136" t="str">
        <f t="shared" ca="1" si="89"/>
        <v/>
      </c>
      <c r="AB1101" s="40"/>
      <c r="AC1101" s="116"/>
      <c r="AD1101" s="116"/>
      <c r="AE1101" s="40"/>
      <c r="AF1101" s="136" t="str">
        <f t="shared" ca="1" si="90"/>
        <v/>
      </c>
      <c r="AG1101" s="127"/>
      <c r="AH1101" s="127"/>
      <c r="AI1101" s="127"/>
      <c r="AJ1101" s="128"/>
      <c r="AK1101" s="128"/>
      <c r="AL1101" s="129"/>
    </row>
    <row r="1102" spans="1:38" ht="23.25" x14ac:dyDescent="0.25">
      <c r="A1102" s="486" t="str">
        <f t="shared" si="93"/>
        <v>18REF239</v>
      </c>
      <c r="B1102" s="487">
        <v>239</v>
      </c>
      <c r="C1102" s="486" t="s">
        <v>39</v>
      </c>
      <c r="D1102" s="488" t="s">
        <v>744</v>
      </c>
      <c r="E1102" s="124" t="s">
        <v>701</v>
      </c>
      <c r="F1102" s="124" t="s">
        <v>779</v>
      </c>
      <c r="G1102" s="251" t="s">
        <v>1126</v>
      </c>
      <c r="H1102" s="443" t="s">
        <v>625</v>
      </c>
      <c r="I1102" s="126" t="s">
        <v>3259</v>
      </c>
      <c r="J1102" s="443" t="s">
        <v>45</v>
      </c>
      <c r="K1102" s="126">
        <v>197.13</v>
      </c>
      <c r="L1102" s="126" t="s">
        <v>2922</v>
      </c>
      <c r="M1102" s="104" t="s">
        <v>782</v>
      </c>
      <c r="N1102" s="265">
        <v>43362</v>
      </c>
      <c r="O1102" s="260"/>
      <c r="P1102" s="106" t="s">
        <v>183</v>
      </c>
      <c r="Q1102" s="107" t="s">
        <v>3009</v>
      </c>
      <c r="R1102" s="267">
        <v>0.99299999999999999</v>
      </c>
      <c r="S1102" s="37"/>
      <c r="T1102" s="36" t="str">
        <f t="shared" ca="1" si="88"/>
        <v/>
      </c>
      <c r="U1102" s="37"/>
      <c r="V1102" s="37"/>
      <c r="W1102" s="38"/>
      <c r="X1102" s="39"/>
      <c r="Y1102" s="150"/>
      <c r="Z1102" s="40"/>
      <c r="AA1102" s="136" t="str">
        <f t="shared" ca="1" si="89"/>
        <v/>
      </c>
      <c r="AB1102" s="40"/>
      <c r="AC1102" s="116"/>
      <c r="AD1102" s="116"/>
      <c r="AE1102" s="40"/>
      <c r="AF1102" s="136" t="str">
        <f t="shared" ca="1" si="90"/>
        <v/>
      </c>
      <c r="AG1102" s="127"/>
      <c r="AH1102" s="127"/>
      <c r="AI1102" s="127"/>
      <c r="AJ1102" s="128"/>
      <c r="AK1102" s="128"/>
      <c r="AL1102" s="129"/>
    </row>
    <row r="1103" spans="1:38" ht="30" x14ac:dyDescent="0.25">
      <c r="A1103" s="486" t="str">
        <f t="shared" si="93"/>
        <v>18REF240</v>
      </c>
      <c r="B1103" s="487">
        <v>240</v>
      </c>
      <c r="C1103" s="486" t="s">
        <v>39</v>
      </c>
      <c r="D1103" s="488" t="s">
        <v>40</v>
      </c>
      <c r="E1103" s="124" t="s">
        <v>701</v>
      </c>
      <c r="F1103" s="124" t="s">
        <v>3578</v>
      </c>
      <c r="G1103" s="251" t="s">
        <v>3579</v>
      </c>
      <c r="H1103" s="443" t="s">
        <v>330</v>
      </c>
      <c r="I1103" s="126" t="s">
        <v>3581</v>
      </c>
      <c r="J1103" s="443" t="s">
        <v>45</v>
      </c>
      <c r="K1103" s="126">
        <v>160.1</v>
      </c>
      <c r="L1103" s="126" t="s">
        <v>3580</v>
      </c>
      <c r="M1103" s="104" t="s">
        <v>3582</v>
      </c>
      <c r="N1103" s="265">
        <v>43368</v>
      </c>
      <c r="O1103" s="260"/>
      <c r="P1103" s="106" t="s">
        <v>56</v>
      </c>
      <c r="Q1103" s="107" t="s">
        <v>3009</v>
      </c>
      <c r="R1103" s="266">
        <v>1</v>
      </c>
      <c r="S1103" s="37"/>
      <c r="T1103" s="36" t="str">
        <f t="shared" ca="1" si="88"/>
        <v/>
      </c>
      <c r="U1103" s="37"/>
      <c r="V1103" s="37"/>
      <c r="W1103" s="38"/>
      <c r="X1103" s="39"/>
      <c r="Y1103" s="150"/>
      <c r="Z1103" s="40"/>
      <c r="AA1103" s="136" t="str">
        <f t="shared" ca="1" si="89"/>
        <v/>
      </c>
      <c r="AB1103" s="40"/>
      <c r="AC1103" s="116"/>
      <c r="AD1103" s="116"/>
      <c r="AE1103" s="40"/>
      <c r="AF1103" s="136" t="str">
        <f t="shared" ca="1" si="90"/>
        <v/>
      </c>
      <c r="AG1103" s="127"/>
      <c r="AH1103" s="127"/>
      <c r="AI1103" s="127"/>
      <c r="AJ1103" s="128"/>
      <c r="AK1103" s="128"/>
      <c r="AL1103" s="129"/>
    </row>
    <row r="1104" spans="1:38" ht="23.25" x14ac:dyDescent="0.25">
      <c r="A1104" s="486" t="str">
        <f t="shared" si="93"/>
        <v>18REF241</v>
      </c>
      <c r="B1104" s="487">
        <v>241</v>
      </c>
      <c r="C1104" s="486" t="s">
        <v>39</v>
      </c>
      <c r="D1104" s="488" t="s">
        <v>40</v>
      </c>
      <c r="E1104" s="124" t="s">
        <v>701</v>
      </c>
      <c r="F1104" s="124" t="s">
        <v>243</v>
      </c>
      <c r="G1104" s="251" t="s">
        <v>244</v>
      </c>
      <c r="H1104" s="443" t="s">
        <v>330</v>
      </c>
      <c r="I1104" s="126" t="s">
        <v>3587</v>
      </c>
      <c r="J1104" s="47" t="s">
        <v>180</v>
      </c>
      <c r="K1104" s="126">
        <v>217.74</v>
      </c>
      <c r="L1104" s="126" t="s">
        <v>709</v>
      </c>
      <c r="M1104" s="104" t="s">
        <v>627</v>
      </c>
      <c r="N1104" s="265">
        <v>43371</v>
      </c>
      <c r="O1104" s="260"/>
      <c r="P1104" s="106" t="s">
        <v>86</v>
      </c>
      <c r="Q1104" s="107" t="s">
        <v>3588</v>
      </c>
      <c r="R1104" s="266">
        <v>1</v>
      </c>
      <c r="S1104" s="37"/>
      <c r="T1104" s="36" t="str">
        <f t="shared" ref="T1104:T1167" ca="1" si="94">IF(S1104="","",IF(S1104=0,"Empty",IF(O1104="","",IF(O1104,DAYS360(O1104,TODAY())))))</f>
        <v/>
      </c>
      <c r="U1104" s="37"/>
      <c r="V1104" s="37"/>
      <c r="W1104" s="38"/>
      <c r="X1104" s="39"/>
      <c r="Y1104" s="150"/>
      <c r="Z1104" s="40"/>
      <c r="AA1104" s="136" t="str">
        <f t="shared" ref="AA1104:AA1167" ca="1" si="95">IF(W1104="","",IF(W1104,DAYS360(W1104,TODAY())))</f>
        <v/>
      </c>
      <c r="AB1104" s="40"/>
      <c r="AC1104" s="116"/>
      <c r="AD1104" s="116"/>
      <c r="AE1104" s="40"/>
      <c r="AF1104" s="136" t="str">
        <f t="shared" ref="AF1104:AF1167" ca="1" si="96">IF(AB1104="","",IF(AB1104,DAYS360(AB1104,TODAY())))</f>
        <v/>
      </c>
      <c r="AG1104" s="127"/>
      <c r="AH1104" s="127"/>
      <c r="AI1104" s="127"/>
      <c r="AJ1104" s="128"/>
      <c r="AK1104" s="128"/>
      <c r="AL1104" s="129"/>
    </row>
    <row r="1105" spans="1:38" ht="23.25" x14ac:dyDescent="0.25">
      <c r="A1105" s="489" t="str">
        <f t="shared" si="93"/>
        <v>18SAM242</v>
      </c>
      <c r="B1105" s="490">
        <v>242</v>
      </c>
      <c r="C1105" s="489" t="s">
        <v>57</v>
      </c>
      <c r="D1105" s="491" t="s">
        <v>40</v>
      </c>
      <c r="E1105" s="124" t="s">
        <v>1041</v>
      </c>
      <c r="F1105" s="124" t="s">
        <v>981</v>
      </c>
      <c r="G1105" s="251" t="s">
        <v>1094</v>
      </c>
      <c r="H1105" s="443" t="s">
        <v>112</v>
      </c>
      <c r="I1105" s="126" t="s">
        <v>3589</v>
      </c>
      <c r="J1105" s="47" t="s">
        <v>105</v>
      </c>
      <c r="K1105" s="126">
        <v>599.55999999999995</v>
      </c>
      <c r="L1105" s="126">
        <v>1979</v>
      </c>
      <c r="M1105" s="104" t="s">
        <v>1754</v>
      </c>
      <c r="N1105" s="265">
        <v>43368</v>
      </c>
      <c r="O1105" s="260"/>
      <c r="P1105" s="106" t="s">
        <v>86</v>
      </c>
      <c r="Q1105" s="107" t="s">
        <v>2905</v>
      </c>
      <c r="R1105" s="267">
        <v>0.98799999999999999</v>
      </c>
      <c r="S1105" s="37"/>
      <c r="T1105" s="36" t="str">
        <f t="shared" ca="1" si="94"/>
        <v/>
      </c>
      <c r="U1105" s="37" t="s">
        <v>3590</v>
      </c>
      <c r="V1105" s="37"/>
      <c r="W1105" s="38"/>
      <c r="X1105" s="39"/>
      <c r="Y1105" s="150"/>
      <c r="Z1105" s="40"/>
      <c r="AA1105" s="136" t="str">
        <f t="shared" ca="1" si="95"/>
        <v/>
      </c>
      <c r="AB1105" s="40"/>
      <c r="AC1105" s="116"/>
      <c r="AD1105" s="116"/>
      <c r="AE1105" s="40"/>
      <c r="AF1105" s="136" t="str">
        <f t="shared" ca="1" si="96"/>
        <v/>
      </c>
      <c r="AG1105" s="127"/>
      <c r="AH1105" s="127"/>
      <c r="AI1105" s="127"/>
      <c r="AJ1105" s="128"/>
      <c r="AK1105" s="128"/>
      <c r="AL1105" s="129"/>
    </row>
    <row r="1106" spans="1:38" ht="23.25" x14ac:dyDescent="0.25">
      <c r="A1106" s="489" t="str">
        <f t="shared" si="93"/>
        <v>18SAM243</v>
      </c>
      <c r="B1106" s="490">
        <v>243</v>
      </c>
      <c r="C1106" s="489" t="s">
        <v>57</v>
      </c>
      <c r="D1106" s="491" t="s">
        <v>40</v>
      </c>
      <c r="E1106" s="124" t="s">
        <v>1041</v>
      </c>
      <c r="F1106" s="124" t="s">
        <v>981</v>
      </c>
      <c r="G1106" s="251" t="s">
        <v>1094</v>
      </c>
      <c r="H1106" s="443" t="s">
        <v>112</v>
      </c>
      <c r="I1106" s="126" t="s">
        <v>3589</v>
      </c>
      <c r="J1106" s="47" t="s">
        <v>105</v>
      </c>
      <c r="K1106" s="126">
        <v>599.55999999999995</v>
      </c>
      <c r="L1106" s="126">
        <v>1979</v>
      </c>
      <c r="M1106" s="104" t="s">
        <v>1754</v>
      </c>
      <c r="N1106" s="265">
        <v>43371</v>
      </c>
      <c r="O1106" s="260"/>
      <c r="P1106" s="106" t="s">
        <v>86</v>
      </c>
      <c r="Q1106" s="107" t="s">
        <v>2905</v>
      </c>
      <c r="R1106" s="267">
        <v>0.98799999999999999</v>
      </c>
      <c r="S1106" s="37"/>
      <c r="T1106" s="36" t="str">
        <f t="shared" ca="1" si="94"/>
        <v/>
      </c>
      <c r="U1106" s="37" t="s">
        <v>3590</v>
      </c>
      <c r="V1106" s="37"/>
      <c r="W1106" s="38"/>
      <c r="X1106" s="39"/>
      <c r="Y1106" s="150"/>
      <c r="Z1106" s="40"/>
      <c r="AA1106" s="136" t="str">
        <f t="shared" ca="1" si="95"/>
        <v/>
      </c>
      <c r="AB1106" s="40"/>
      <c r="AC1106" s="116"/>
      <c r="AD1106" s="116"/>
      <c r="AE1106" s="40"/>
      <c r="AF1106" s="136" t="str">
        <f t="shared" ca="1" si="96"/>
        <v/>
      </c>
      <c r="AG1106" s="127"/>
      <c r="AH1106" s="127"/>
      <c r="AI1106" s="127"/>
      <c r="AJ1106" s="128"/>
      <c r="AK1106" s="128"/>
      <c r="AL1106" s="129"/>
    </row>
    <row r="1107" spans="1:38" ht="23.25" x14ac:dyDescent="0.25">
      <c r="A1107" s="489" t="str">
        <f t="shared" si="93"/>
        <v>18SAM244</v>
      </c>
      <c r="B1107" s="490">
        <v>244</v>
      </c>
      <c r="C1107" s="489" t="s">
        <v>57</v>
      </c>
      <c r="D1107" s="491" t="s">
        <v>40</v>
      </c>
      <c r="E1107" s="124" t="s">
        <v>1041</v>
      </c>
      <c r="F1107" s="124" t="s">
        <v>981</v>
      </c>
      <c r="G1107" s="251" t="s">
        <v>1094</v>
      </c>
      <c r="H1107" s="443" t="s">
        <v>112</v>
      </c>
      <c r="I1107" s="126" t="s">
        <v>3589</v>
      </c>
      <c r="J1107" s="47" t="s">
        <v>105</v>
      </c>
      <c r="K1107" s="126">
        <v>599.55999999999995</v>
      </c>
      <c r="L1107" s="126">
        <v>1979</v>
      </c>
      <c r="M1107" s="104" t="s">
        <v>1754</v>
      </c>
      <c r="N1107" s="265">
        <v>43371</v>
      </c>
      <c r="O1107" s="260"/>
      <c r="P1107" s="106" t="s">
        <v>86</v>
      </c>
      <c r="Q1107" s="107" t="s">
        <v>2905</v>
      </c>
      <c r="R1107" s="267">
        <v>0.98799999999999999</v>
      </c>
      <c r="S1107" s="37"/>
      <c r="T1107" s="36" t="str">
        <f t="shared" ca="1" si="94"/>
        <v/>
      </c>
      <c r="U1107" s="37" t="s">
        <v>3590</v>
      </c>
      <c r="V1107" s="37"/>
      <c r="W1107" s="38"/>
      <c r="X1107" s="39"/>
      <c r="Y1107" s="150"/>
      <c r="Z1107" s="40"/>
      <c r="AA1107" s="136" t="str">
        <f t="shared" ca="1" si="95"/>
        <v/>
      </c>
      <c r="AB1107" s="40"/>
      <c r="AC1107" s="116"/>
      <c r="AD1107" s="116"/>
      <c r="AE1107" s="40"/>
      <c r="AF1107" s="136" t="str">
        <f t="shared" ca="1" si="96"/>
        <v/>
      </c>
      <c r="AG1107" s="127"/>
      <c r="AH1107" s="127"/>
      <c r="AI1107" s="127"/>
      <c r="AJ1107" s="128"/>
      <c r="AK1107" s="128"/>
      <c r="AL1107" s="129"/>
    </row>
    <row r="1108" spans="1:38" ht="23.25" x14ac:dyDescent="0.25">
      <c r="A1108" s="489" t="str">
        <f t="shared" si="93"/>
        <v>18SAM245</v>
      </c>
      <c r="B1108" s="490">
        <v>245</v>
      </c>
      <c r="C1108" s="489" t="s">
        <v>57</v>
      </c>
      <c r="D1108" s="491" t="s">
        <v>40</v>
      </c>
      <c r="E1108" s="124" t="s">
        <v>1041</v>
      </c>
      <c r="F1108" s="124" t="s">
        <v>981</v>
      </c>
      <c r="G1108" s="251" t="s">
        <v>1094</v>
      </c>
      <c r="H1108" s="443" t="s">
        <v>112</v>
      </c>
      <c r="I1108" s="126" t="s">
        <v>3589</v>
      </c>
      <c r="J1108" s="47" t="s">
        <v>105</v>
      </c>
      <c r="K1108" s="126">
        <v>599.55999999999995</v>
      </c>
      <c r="L1108" s="126">
        <v>1979</v>
      </c>
      <c r="M1108" s="104" t="s">
        <v>1754</v>
      </c>
      <c r="N1108" s="265">
        <v>43371</v>
      </c>
      <c r="O1108" s="260"/>
      <c r="P1108" s="106" t="s">
        <v>86</v>
      </c>
      <c r="Q1108" s="107" t="s">
        <v>2905</v>
      </c>
      <c r="R1108" s="267">
        <v>0.98799999999999999</v>
      </c>
      <c r="S1108" s="37"/>
      <c r="T1108" s="36" t="str">
        <f t="shared" ca="1" si="94"/>
        <v/>
      </c>
      <c r="U1108" s="37" t="s">
        <v>3590</v>
      </c>
      <c r="V1108" s="37"/>
      <c r="W1108" s="38"/>
      <c r="X1108" s="39"/>
      <c r="Y1108" s="150"/>
      <c r="Z1108" s="40"/>
      <c r="AA1108" s="136" t="str">
        <f t="shared" ca="1" si="95"/>
        <v/>
      </c>
      <c r="AB1108" s="40"/>
      <c r="AC1108" s="116"/>
      <c r="AD1108" s="116"/>
      <c r="AE1108" s="40"/>
      <c r="AF1108" s="136" t="str">
        <f t="shared" ca="1" si="96"/>
        <v/>
      </c>
      <c r="AG1108" s="127"/>
      <c r="AH1108" s="127"/>
      <c r="AI1108" s="127"/>
      <c r="AJ1108" s="128"/>
      <c r="AK1108" s="128"/>
      <c r="AL1108" s="129"/>
    </row>
    <row r="1109" spans="1:38" ht="23.25" x14ac:dyDescent="0.25">
      <c r="A1109" s="489" t="str">
        <f t="shared" si="93"/>
        <v>18SAM246</v>
      </c>
      <c r="B1109" s="490">
        <v>246</v>
      </c>
      <c r="C1109" s="489" t="s">
        <v>57</v>
      </c>
      <c r="D1109" s="491" t="s">
        <v>40</v>
      </c>
      <c r="E1109" s="124" t="s">
        <v>1041</v>
      </c>
      <c r="F1109" s="124" t="s">
        <v>981</v>
      </c>
      <c r="G1109" s="251" t="s">
        <v>1094</v>
      </c>
      <c r="H1109" s="443" t="s">
        <v>112</v>
      </c>
      <c r="I1109" s="126" t="s">
        <v>3589</v>
      </c>
      <c r="J1109" s="47" t="s">
        <v>105</v>
      </c>
      <c r="K1109" s="126">
        <v>599.55999999999995</v>
      </c>
      <c r="L1109" s="126">
        <v>1979</v>
      </c>
      <c r="M1109" s="104" t="s">
        <v>1754</v>
      </c>
      <c r="N1109" s="265">
        <v>43371</v>
      </c>
      <c r="O1109" s="260"/>
      <c r="P1109" s="106" t="s">
        <v>86</v>
      </c>
      <c r="Q1109" s="107" t="s">
        <v>2905</v>
      </c>
      <c r="R1109" s="267">
        <v>0.98799999999999999</v>
      </c>
      <c r="S1109" s="37"/>
      <c r="T1109" s="36" t="str">
        <f t="shared" ca="1" si="94"/>
        <v/>
      </c>
      <c r="U1109" s="37" t="s">
        <v>3590</v>
      </c>
      <c r="V1109" s="37"/>
      <c r="W1109" s="38"/>
      <c r="X1109" s="39"/>
      <c r="Y1109" s="150"/>
      <c r="Z1109" s="40"/>
      <c r="AA1109" s="136" t="str">
        <f t="shared" ca="1" si="95"/>
        <v/>
      </c>
      <c r="AB1109" s="40"/>
      <c r="AC1109" s="116"/>
      <c r="AD1109" s="116"/>
      <c r="AE1109" s="40"/>
      <c r="AF1109" s="136" t="str">
        <f t="shared" ca="1" si="96"/>
        <v/>
      </c>
      <c r="AG1109" s="127"/>
      <c r="AH1109" s="127"/>
      <c r="AI1109" s="127"/>
      <c r="AJ1109" s="128"/>
      <c r="AK1109" s="128"/>
      <c r="AL1109" s="129"/>
    </row>
    <row r="1110" spans="1:38" ht="23.25" x14ac:dyDescent="0.25">
      <c r="A1110" s="489" t="str">
        <f t="shared" si="93"/>
        <v>18SAM247</v>
      </c>
      <c r="B1110" s="490">
        <v>247</v>
      </c>
      <c r="C1110" s="489" t="s">
        <v>57</v>
      </c>
      <c r="D1110" s="491" t="s">
        <v>40</v>
      </c>
      <c r="E1110" s="124" t="s">
        <v>1041</v>
      </c>
      <c r="F1110" s="124" t="s">
        <v>981</v>
      </c>
      <c r="G1110" s="251" t="s">
        <v>1094</v>
      </c>
      <c r="H1110" s="443" t="s">
        <v>112</v>
      </c>
      <c r="I1110" s="126" t="s">
        <v>3589</v>
      </c>
      <c r="J1110" s="47" t="s">
        <v>105</v>
      </c>
      <c r="K1110" s="126">
        <v>599.55999999999995</v>
      </c>
      <c r="L1110" s="126">
        <v>1979</v>
      </c>
      <c r="M1110" s="104" t="s">
        <v>1754</v>
      </c>
      <c r="N1110" s="265">
        <v>43371</v>
      </c>
      <c r="O1110" s="260"/>
      <c r="P1110" s="106" t="s">
        <v>86</v>
      </c>
      <c r="Q1110" s="107" t="s">
        <v>2905</v>
      </c>
      <c r="R1110" s="267">
        <v>0.98799999999999999</v>
      </c>
      <c r="S1110" s="37"/>
      <c r="T1110" s="36" t="str">
        <f t="shared" ca="1" si="94"/>
        <v/>
      </c>
      <c r="U1110" s="37" t="s">
        <v>3590</v>
      </c>
      <c r="V1110" s="37"/>
      <c r="W1110" s="38"/>
      <c r="X1110" s="39"/>
      <c r="Y1110" s="150"/>
      <c r="Z1110" s="40"/>
      <c r="AA1110" s="136" t="str">
        <f t="shared" ca="1" si="95"/>
        <v/>
      </c>
      <c r="AB1110" s="40"/>
      <c r="AC1110" s="116"/>
      <c r="AD1110" s="116"/>
      <c r="AE1110" s="40"/>
      <c r="AF1110" s="136" t="str">
        <f t="shared" ca="1" si="96"/>
        <v/>
      </c>
      <c r="AG1110" s="127"/>
      <c r="AH1110" s="127"/>
      <c r="AI1110" s="127"/>
      <c r="AJ1110" s="128"/>
      <c r="AK1110" s="128"/>
      <c r="AL1110" s="129"/>
    </row>
    <row r="1111" spans="1:38" ht="23.25" x14ac:dyDescent="0.25">
      <c r="A1111" s="489" t="str">
        <f t="shared" si="93"/>
        <v>18SAM248</v>
      </c>
      <c r="B1111" s="490">
        <v>248</v>
      </c>
      <c r="C1111" s="489" t="s">
        <v>57</v>
      </c>
      <c r="D1111" s="491" t="s">
        <v>40</v>
      </c>
      <c r="E1111" s="124" t="s">
        <v>1041</v>
      </c>
      <c r="F1111" s="124" t="s">
        <v>981</v>
      </c>
      <c r="G1111" s="251" t="s">
        <v>1094</v>
      </c>
      <c r="H1111" s="443" t="s">
        <v>112</v>
      </c>
      <c r="I1111" s="126" t="s">
        <v>3589</v>
      </c>
      <c r="J1111" s="47" t="s">
        <v>105</v>
      </c>
      <c r="K1111" s="126">
        <v>599.55999999999995</v>
      </c>
      <c r="L1111" s="126">
        <v>1979</v>
      </c>
      <c r="M1111" s="104" t="s">
        <v>1754</v>
      </c>
      <c r="N1111" s="265">
        <v>43371</v>
      </c>
      <c r="O1111" s="260"/>
      <c r="P1111" s="106" t="s">
        <v>86</v>
      </c>
      <c r="Q1111" s="107" t="s">
        <v>2905</v>
      </c>
      <c r="R1111" s="267">
        <v>0.98799999999999999</v>
      </c>
      <c r="S1111" s="37"/>
      <c r="T1111" s="36" t="str">
        <f t="shared" ca="1" si="94"/>
        <v/>
      </c>
      <c r="U1111" s="37" t="s">
        <v>3590</v>
      </c>
      <c r="V1111" s="37"/>
      <c r="W1111" s="38"/>
      <c r="X1111" s="39"/>
      <c r="Y1111" s="150"/>
      <c r="Z1111" s="40"/>
      <c r="AA1111" s="136" t="str">
        <f t="shared" ca="1" si="95"/>
        <v/>
      </c>
      <c r="AB1111" s="40"/>
      <c r="AC1111" s="116"/>
      <c r="AD1111" s="116"/>
      <c r="AE1111" s="40"/>
      <c r="AF1111" s="136" t="str">
        <f t="shared" ca="1" si="96"/>
        <v/>
      </c>
      <c r="AG1111" s="127"/>
      <c r="AH1111" s="127"/>
      <c r="AI1111" s="127"/>
      <c r="AJ1111" s="128"/>
      <c r="AK1111" s="128"/>
      <c r="AL1111" s="129"/>
    </row>
    <row r="1112" spans="1:38" ht="23.25" x14ac:dyDescent="0.25">
      <c r="A1112" s="489" t="str">
        <f t="shared" si="93"/>
        <v>18SAM249</v>
      </c>
      <c r="B1112" s="490">
        <v>249</v>
      </c>
      <c r="C1112" s="489" t="s">
        <v>57</v>
      </c>
      <c r="D1112" s="491" t="s">
        <v>40</v>
      </c>
      <c r="E1112" s="124" t="s">
        <v>1041</v>
      </c>
      <c r="F1112" s="124" t="s">
        <v>981</v>
      </c>
      <c r="G1112" s="251" t="s">
        <v>1094</v>
      </c>
      <c r="H1112" s="443" t="s">
        <v>112</v>
      </c>
      <c r="I1112" s="126" t="s">
        <v>3589</v>
      </c>
      <c r="J1112" s="47" t="s">
        <v>105</v>
      </c>
      <c r="K1112" s="126">
        <v>599.55999999999995</v>
      </c>
      <c r="L1112" s="126">
        <v>1979</v>
      </c>
      <c r="M1112" s="104" t="s">
        <v>1754</v>
      </c>
      <c r="N1112" s="265">
        <v>43371</v>
      </c>
      <c r="O1112" s="260"/>
      <c r="P1112" s="106" t="s">
        <v>86</v>
      </c>
      <c r="Q1112" s="107" t="s">
        <v>2905</v>
      </c>
      <c r="R1112" s="267">
        <v>0.98799999999999999</v>
      </c>
      <c r="S1112" s="37"/>
      <c r="T1112" s="36" t="str">
        <f t="shared" ca="1" si="94"/>
        <v/>
      </c>
      <c r="U1112" s="37" t="s">
        <v>3590</v>
      </c>
      <c r="V1112" s="37"/>
      <c r="W1112" s="38"/>
      <c r="X1112" s="39"/>
      <c r="Y1112" s="150"/>
      <c r="Z1112" s="40"/>
      <c r="AA1112" s="136" t="str">
        <f t="shared" ca="1" si="95"/>
        <v/>
      </c>
      <c r="AB1112" s="40"/>
      <c r="AC1112" s="116"/>
      <c r="AD1112" s="116"/>
      <c r="AE1112" s="40"/>
      <c r="AF1112" s="136" t="str">
        <f t="shared" ca="1" si="96"/>
        <v/>
      </c>
      <c r="AG1112" s="127"/>
      <c r="AH1112" s="127"/>
      <c r="AI1112" s="127"/>
      <c r="AJ1112" s="128"/>
      <c r="AK1112" s="128"/>
      <c r="AL1112" s="129"/>
    </row>
    <row r="1113" spans="1:38" ht="23.25" x14ac:dyDescent="0.25">
      <c r="A1113" s="489" t="str">
        <f t="shared" si="93"/>
        <v>18SAM250</v>
      </c>
      <c r="B1113" s="490">
        <v>250</v>
      </c>
      <c r="C1113" s="489" t="s">
        <v>57</v>
      </c>
      <c r="D1113" s="491" t="s">
        <v>40</v>
      </c>
      <c r="E1113" s="124" t="s">
        <v>1041</v>
      </c>
      <c r="F1113" s="124" t="s">
        <v>981</v>
      </c>
      <c r="G1113" s="251" t="s">
        <v>1094</v>
      </c>
      <c r="H1113" s="443" t="s">
        <v>112</v>
      </c>
      <c r="I1113" s="126" t="s">
        <v>3589</v>
      </c>
      <c r="J1113" s="47" t="s">
        <v>105</v>
      </c>
      <c r="K1113" s="126">
        <v>599.55999999999995</v>
      </c>
      <c r="L1113" s="126">
        <v>1979</v>
      </c>
      <c r="M1113" s="104" t="s">
        <v>1754</v>
      </c>
      <c r="N1113" s="265">
        <v>43371</v>
      </c>
      <c r="O1113" s="260"/>
      <c r="P1113" s="106" t="s">
        <v>86</v>
      </c>
      <c r="Q1113" s="107" t="s">
        <v>2905</v>
      </c>
      <c r="R1113" s="267">
        <v>0.98799999999999999</v>
      </c>
      <c r="S1113" s="37"/>
      <c r="T1113" s="36" t="str">
        <f t="shared" ca="1" si="94"/>
        <v/>
      </c>
      <c r="U1113" s="37" t="s">
        <v>3590</v>
      </c>
      <c r="V1113" s="37"/>
      <c r="W1113" s="38"/>
      <c r="X1113" s="39"/>
      <c r="Y1113" s="150"/>
      <c r="Z1113" s="40"/>
      <c r="AA1113" s="136" t="str">
        <f t="shared" ca="1" si="95"/>
        <v/>
      </c>
      <c r="AB1113" s="40"/>
      <c r="AC1113" s="116"/>
      <c r="AD1113" s="116"/>
      <c r="AE1113" s="40"/>
      <c r="AF1113" s="136" t="str">
        <f t="shared" ca="1" si="96"/>
        <v/>
      </c>
      <c r="AG1113" s="127"/>
      <c r="AH1113" s="127"/>
      <c r="AI1113" s="127"/>
      <c r="AJ1113" s="128"/>
      <c r="AK1113" s="128"/>
      <c r="AL1113" s="129"/>
    </row>
    <row r="1114" spans="1:38" ht="30.75" customHeight="1" x14ac:dyDescent="0.25">
      <c r="A1114" s="489" t="str">
        <f t="shared" si="93"/>
        <v>18SAM251</v>
      </c>
      <c r="B1114" s="490">
        <v>251</v>
      </c>
      <c r="C1114" s="489" t="s">
        <v>57</v>
      </c>
      <c r="D1114" s="491" t="s">
        <v>40</v>
      </c>
      <c r="E1114" s="124" t="s">
        <v>1041</v>
      </c>
      <c r="F1114" s="124" t="s">
        <v>981</v>
      </c>
      <c r="G1114" s="251" t="s">
        <v>1094</v>
      </c>
      <c r="H1114" s="443" t="s">
        <v>112</v>
      </c>
      <c r="I1114" s="126" t="s">
        <v>3589</v>
      </c>
      <c r="J1114" s="47" t="s">
        <v>105</v>
      </c>
      <c r="K1114" s="126">
        <v>599.55999999999995</v>
      </c>
      <c r="L1114" s="126">
        <v>1979</v>
      </c>
      <c r="M1114" s="104" t="s">
        <v>1754</v>
      </c>
      <c r="N1114" s="265">
        <v>43371</v>
      </c>
      <c r="O1114" s="260"/>
      <c r="P1114" s="106" t="s">
        <v>86</v>
      </c>
      <c r="Q1114" s="107" t="s">
        <v>2905</v>
      </c>
      <c r="R1114" s="267">
        <v>0.98799999999999999</v>
      </c>
      <c r="S1114" s="37"/>
      <c r="T1114" s="36" t="str">
        <f t="shared" ca="1" si="94"/>
        <v/>
      </c>
      <c r="U1114" s="37" t="s">
        <v>3590</v>
      </c>
      <c r="V1114" s="37"/>
      <c r="W1114" s="38"/>
      <c r="X1114" s="39"/>
      <c r="Y1114" s="150"/>
      <c r="Z1114" s="40"/>
      <c r="AA1114" s="136" t="str">
        <f t="shared" ca="1" si="95"/>
        <v/>
      </c>
      <c r="AB1114" s="40"/>
      <c r="AC1114" s="116"/>
      <c r="AD1114" s="116"/>
      <c r="AE1114" s="40"/>
      <c r="AF1114" s="136" t="str">
        <f t="shared" ca="1" si="96"/>
        <v/>
      </c>
      <c r="AG1114" s="127"/>
      <c r="AH1114" s="127"/>
      <c r="AI1114" s="127"/>
      <c r="AJ1114" s="128"/>
      <c r="AK1114" s="128"/>
      <c r="AL1114" s="129"/>
    </row>
    <row r="1115" spans="1:38" ht="23.25" x14ac:dyDescent="0.25">
      <c r="A1115" s="486" t="str">
        <f t="shared" si="93"/>
        <v>18REF252</v>
      </c>
      <c r="B1115" s="487">
        <v>252</v>
      </c>
      <c r="C1115" s="486" t="s">
        <v>39</v>
      </c>
      <c r="D1115" s="488" t="s">
        <v>3317</v>
      </c>
      <c r="E1115" s="124" t="s">
        <v>701</v>
      </c>
      <c r="F1115" s="124" t="s">
        <v>3597</v>
      </c>
      <c r="G1115" s="251" t="s">
        <v>3612</v>
      </c>
      <c r="H1115" s="443" t="s">
        <v>43</v>
      </c>
      <c r="I1115" s="126" t="s">
        <v>3598</v>
      </c>
      <c r="J1115" s="443" t="s">
        <v>45</v>
      </c>
      <c r="K1115" s="126" t="s">
        <v>61</v>
      </c>
      <c r="L1115" s="126" t="s">
        <v>3599</v>
      </c>
      <c r="M1115" s="104" t="s">
        <v>3600</v>
      </c>
      <c r="N1115" s="265">
        <v>43371</v>
      </c>
      <c r="O1115" s="260"/>
      <c r="P1115" s="106" t="s">
        <v>48</v>
      </c>
      <c r="Q1115" s="107" t="s">
        <v>3601</v>
      </c>
      <c r="R1115" s="244" t="s">
        <v>61</v>
      </c>
      <c r="S1115" s="37"/>
      <c r="T1115" s="36" t="str">
        <f t="shared" ca="1" si="94"/>
        <v/>
      </c>
      <c r="U1115" s="37"/>
      <c r="V1115" s="37"/>
      <c r="W1115" s="38"/>
      <c r="X1115" s="39"/>
      <c r="Y1115" s="150"/>
      <c r="Z1115" s="40"/>
      <c r="AA1115" s="136" t="str">
        <f t="shared" ca="1" si="95"/>
        <v/>
      </c>
      <c r="AB1115" s="40"/>
      <c r="AC1115" s="116"/>
      <c r="AD1115" s="116"/>
      <c r="AE1115" s="40"/>
      <c r="AF1115" s="136" t="str">
        <f t="shared" ca="1" si="96"/>
        <v/>
      </c>
      <c r="AG1115" s="127"/>
      <c r="AH1115" s="127"/>
      <c r="AI1115" s="127"/>
      <c r="AJ1115" s="128"/>
      <c r="AK1115" s="128"/>
      <c r="AL1115" s="129"/>
    </row>
    <row r="1116" spans="1:38" ht="23.25" x14ac:dyDescent="0.25">
      <c r="A1116" s="489" t="str">
        <f t="shared" si="93"/>
        <v>18SAM253</v>
      </c>
      <c r="B1116" s="490">
        <v>253</v>
      </c>
      <c r="C1116" s="489" t="s">
        <v>57</v>
      </c>
      <c r="D1116" s="491" t="s">
        <v>40</v>
      </c>
      <c r="E1116" s="124" t="s">
        <v>1041</v>
      </c>
      <c r="F1116" s="124" t="s">
        <v>3608</v>
      </c>
      <c r="G1116" s="251" t="s">
        <v>3613</v>
      </c>
      <c r="H1116" s="443" t="s">
        <v>60</v>
      </c>
      <c r="I1116" s="190" t="s">
        <v>3609</v>
      </c>
      <c r="J1116" s="443" t="s">
        <v>45</v>
      </c>
      <c r="K1116" s="126" t="s">
        <v>61</v>
      </c>
      <c r="L1116" s="126" t="s">
        <v>61</v>
      </c>
      <c r="M1116" s="104" t="s">
        <v>61</v>
      </c>
      <c r="N1116" s="265">
        <v>43376</v>
      </c>
      <c r="O1116" s="260"/>
      <c r="P1116" s="106" t="s">
        <v>3610</v>
      </c>
      <c r="Q1116" s="107"/>
      <c r="R1116" s="266">
        <v>1</v>
      </c>
      <c r="S1116" s="37"/>
      <c r="T1116" s="36" t="str">
        <f t="shared" ca="1" si="94"/>
        <v/>
      </c>
      <c r="U1116" s="37" t="s">
        <v>3611</v>
      </c>
      <c r="V1116" s="37"/>
      <c r="W1116" s="38"/>
      <c r="X1116" s="39"/>
      <c r="Y1116" s="150"/>
      <c r="Z1116" s="40"/>
      <c r="AA1116" s="136" t="str">
        <f t="shared" ca="1" si="95"/>
        <v/>
      </c>
      <c r="AB1116" s="40"/>
      <c r="AC1116" s="116"/>
      <c r="AD1116" s="116"/>
      <c r="AE1116" s="40"/>
      <c r="AF1116" s="136" t="str">
        <f t="shared" ca="1" si="96"/>
        <v/>
      </c>
      <c r="AG1116" s="127"/>
      <c r="AH1116" s="127"/>
      <c r="AI1116" s="127"/>
      <c r="AJ1116" s="128"/>
      <c r="AK1116" s="128"/>
      <c r="AL1116" s="129"/>
    </row>
    <row r="1117" spans="1:38" ht="23.25" x14ac:dyDescent="0.25">
      <c r="A1117" s="489" t="str">
        <f t="shared" si="93"/>
        <v/>
      </c>
      <c r="B1117" s="490">
        <v>254</v>
      </c>
      <c r="C1117" s="489"/>
      <c r="D1117" s="491"/>
      <c r="E1117" s="124"/>
      <c r="F1117" s="124"/>
      <c r="G1117" s="251"/>
      <c r="H1117" s="443"/>
      <c r="I1117" s="126"/>
      <c r="J1117" s="47"/>
      <c r="K1117" s="126"/>
      <c r="L1117" s="126"/>
      <c r="M1117" s="104"/>
      <c r="N1117" s="265"/>
      <c r="O1117" s="260"/>
      <c r="P1117" s="106"/>
      <c r="Q1117" s="107"/>
      <c r="R1117" s="244"/>
      <c r="S1117" s="37"/>
      <c r="T1117" s="36" t="str">
        <f t="shared" ca="1" si="94"/>
        <v/>
      </c>
      <c r="U1117" s="37"/>
      <c r="V1117" s="37"/>
      <c r="W1117" s="38"/>
      <c r="X1117" s="39"/>
      <c r="Y1117" s="150"/>
      <c r="Z1117" s="40"/>
      <c r="AA1117" s="136" t="str">
        <f t="shared" ca="1" si="95"/>
        <v/>
      </c>
      <c r="AB1117" s="40"/>
      <c r="AC1117" s="116"/>
      <c r="AD1117" s="116"/>
      <c r="AE1117" s="40"/>
      <c r="AF1117" s="136" t="str">
        <f t="shared" ca="1" si="96"/>
        <v/>
      </c>
      <c r="AG1117" s="127"/>
      <c r="AH1117" s="127"/>
      <c r="AI1117" s="127"/>
      <c r="AJ1117" s="128"/>
      <c r="AK1117" s="128"/>
      <c r="AL1117" s="129"/>
    </row>
    <row r="1118" spans="1:38" ht="23.25" x14ac:dyDescent="0.25">
      <c r="A1118" s="489" t="str">
        <f t="shared" si="93"/>
        <v/>
      </c>
      <c r="B1118" s="490">
        <v>255</v>
      </c>
      <c r="C1118" s="489"/>
      <c r="D1118" s="491"/>
      <c r="E1118" s="124"/>
      <c r="F1118" s="124"/>
      <c r="G1118" s="251"/>
      <c r="H1118" s="443"/>
      <c r="I1118" s="126"/>
      <c r="J1118" s="47"/>
      <c r="K1118" s="126"/>
      <c r="L1118" s="126"/>
      <c r="M1118" s="104"/>
      <c r="N1118" s="265"/>
      <c r="O1118" s="260"/>
      <c r="P1118" s="106"/>
      <c r="Q1118" s="107"/>
      <c r="R1118" s="244"/>
      <c r="S1118" s="37"/>
      <c r="T1118" s="36" t="str">
        <f t="shared" ca="1" si="94"/>
        <v/>
      </c>
      <c r="U1118" s="37"/>
      <c r="V1118" s="37"/>
      <c r="W1118" s="38"/>
      <c r="X1118" s="39"/>
      <c r="Y1118" s="150"/>
      <c r="Z1118" s="40"/>
      <c r="AA1118" s="136" t="str">
        <f t="shared" ca="1" si="95"/>
        <v/>
      </c>
      <c r="AB1118" s="40"/>
      <c r="AC1118" s="116"/>
      <c r="AD1118" s="116"/>
      <c r="AE1118" s="40"/>
      <c r="AF1118" s="136" t="str">
        <f t="shared" ca="1" si="96"/>
        <v/>
      </c>
      <c r="AG1118" s="127"/>
      <c r="AH1118" s="127"/>
      <c r="AI1118" s="127"/>
      <c r="AJ1118" s="128"/>
      <c r="AK1118" s="128"/>
      <c r="AL1118" s="129"/>
    </row>
    <row r="1119" spans="1:38" ht="23.25" x14ac:dyDescent="0.25">
      <c r="A1119" s="489" t="str">
        <f t="shared" si="93"/>
        <v/>
      </c>
      <c r="B1119" s="490">
        <v>256</v>
      </c>
      <c r="C1119" s="489"/>
      <c r="D1119" s="491"/>
      <c r="E1119" s="124"/>
      <c r="F1119" s="124"/>
      <c r="G1119" s="251"/>
      <c r="H1119" s="443"/>
      <c r="I1119" s="126"/>
      <c r="J1119" s="47"/>
      <c r="K1119" s="126"/>
      <c r="L1119" s="126"/>
      <c r="M1119" s="104"/>
      <c r="N1119" s="265"/>
      <c r="O1119" s="260"/>
      <c r="P1119" s="106"/>
      <c r="Q1119" s="107"/>
      <c r="R1119" s="244"/>
      <c r="S1119" s="37"/>
      <c r="T1119" s="36" t="str">
        <f t="shared" ca="1" si="94"/>
        <v/>
      </c>
      <c r="U1119" s="37"/>
      <c r="V1119" s="37"/>
      <c r="W1119" s="38"/>
      <c r="X1119" s="39"/>
      <c r="Y1119" s="150"/>
      <c r="Z1119" s="40"/>
      <c r="AA1119" s="136" t="str">
        <f t="shared" ca="1" si="95"/>
        <v/>
      </c>
      <c r="AB1119" s="40"/>
      <c r="AC1119" s="116"/>
      <c r="AD1119" s="116"/>
      <c r="AE1119" s="40"/>
      <c r="AF1119" s="136" t="str">
        <f t="shared" ca="1" si="96"/>
        <v/>
      </c>
      <c r="AG1119" s="127"/>
      <c r="AH1119" s="127"/>
      <c r="AI1119" s="127"/>
      <c r="AJ1119" s="128"/>
      <c r="AK1119" s="128"/>
      <c r="AL1119" s="129"/>
    </row>
    <row r="1120" spans="1:38" ht="23.25" x14ac:dyDescent="0.25">
      <c r="A1120" s="489" t="str">
        <f t="shared" si="93"/>
        <v/>
      </c>
      <c r="B1120" s="490">
        <v>257</v>
      </c>
      <c r="C1120" s="489"/>
      <c r="D1120" s="491"/>
      <c r="E1120" s="124"/>
      <c r="F1120" s="124"/>
      <c r="G1120" s="251"/>
      <c r="H1120" s="443"/>
      <c r="I1120" s="126"/>
      <c r="J1120" s="47"/>
      <c r="K1120" s="126"/>
      <c r="L1120" s="126"/>
      <c r="M1120" s="104"/>
      <c r="N1120" s="265"/>
      <c r="O1120" s="260"/>
      <c r="P1120" s="106"/>
      <c r="Q1120" s="107"/>
      <c r="R1120" s="244"/>
      <c r="S1120" s="37"/>
      <c r="T1120" s="36" t="str">
        <f t="shared" ca="1" si="94"/>
        <v/>
      </c>
      <c r="U1120" s="37"/>
      <c r="V1120" s="37"/>
      <c r="W1120" s="38"/>
      <c r="X1120" s="39"/>
      <c r="Y1120" s="150"/>
      <c r="Z1120" s="40"/>
      <c r="AA1120" s="136" t="str">
        <f t="shared" ca="1" si="95"/>
        <v/>
      </c>
      <c r="AB1120" s="40"/>
      <c r="AC1120" s="116"/>
      <c r="AD1120" s="116"/>
      <c r="AE1120" s="40"/>
      <c r="AF1120" s="136" t="str">
        <f t="shared" ca="1" si="96"/>
        <v/>
      </c>
      <c r="AG1120" s="127"/>
      <c r="AH1120" s="127"/>
      <c r="AI1120" s="127"/>
      <c r="AJ1120" s="128"/>
      <c r="AK1120" s="128"/>
      <c r="AL1120" s="129"/>
    </row>
    <row r="1121" spans="1:38" ht="23.25" x14ac:dyDescent="0.25">
      <c r="A1121" s="489" t="str">
        <f t="shared" si="93"/>
        <v/>
      </c>
      <c r="B1121" s="490">
        <v>258</v>
      </c>
      <c r="C1121" s="489"/>
      <c r="D1121" s="491"/>
      <c r="E1121" s="124"/>
      <c r="F1121" s="124"/>
      <c r="G1121" s="251"/>
      <c r="H1121" s="443"/>
      <c r="I1121" s="126"/>
      <c r="J1121" s="47"/>
      <c r="K1121" s="126"/>
      <c r="L1121" s="126"/>
      <c r="M1121" s="104"/>
      <c r="N1121" s="265"/>
      <c r="O1121" s="260"/>
      <c r="P1121" s="106"/>
      <c r="Q1121" s="107"/>
      <c r="R1121" s="244"/>
      <c r="S1121" s="37"/>
      <c r="T1121" s="36" t="str">
        <f t="shared" ca="1" si="94"/>
        <v/>
      </c>
      <c r="U1121" s="37"/>
      <c r="V1121" s="37"/>
      <c r="W1121" s="38"/>
      <c r="X1121" s="39"/>
      <c r="Y1121" s="150"/>
      <c r="Z1121" s="40"/>
      <c r="AA1121" s="136" t="str">
        <f t="shared" ca="1" si="95"/>
        <v/>
      </c>
      <c r="AB1121" s="40"/>
      <c r="AC1121" s="116"/>
      <c r="AD1121" s="116"/>
      <c r="AE1121" s="40"/>
      <c r="AF1121" s="136" t="str">
        <f t="shared" ca="1" si="96"/>
        <v/>
      </c>
      <c r="AG1121" s="127"/>
      <c r="AH1121" s="127"/>
      <c r="AI1121" s="127"/>
      <c r="AJ1121" s="128"/>
      <c r="AK1121" s="128"/>
      <c r="AL1121" s="129"/>
    </row>
    <row r="1122" spans="1:38" ht="23.25" x14ac:dyDescent="0.25">
      <c r="A1122" s="489" t="str">
        <f t="shared" si="93"/>
        <v/>
      </c>
      <c r="B1122" s="490">
        <v>259</v>
      </c>
      <c r="C1122" s="489"/>
      <c r="D1122" s="491"/>
      <c r="E1122" s="124"/>
      <c r="F1122" s="124"/>
      <c r="G1122" s="251"/>
      <c r="H1122" s="443"/>
      <c r="I1122" s="126"/>
      <c r="J1122" s="47"/>
      <c r="K1122" s="126"/>
      <c r="L1122" s="126"/>
      <c r="M1122" s="104"/>
      <c r="N1122" s="265"/>
      <c r="O1122" s="260"/>
      <c r="P1122" s="106"/>
      <c r="Q1122" s="107"/>
      <c r="R1122" s="244"/>
      <c r="S1122" s="37"/>
      <c r="T1122" s="36" t="str">
        <f t="shared" ca="1" si="94"/>
        <v/>
      </c>
      <c r="U1122" s="37"/>
      <c r="V1122" s="37"/>
      <c r="W1122" s="38"/>
      <c r="X1122" s="39"/>
      <c r="Y1122" s="150"/>
      <c r="Z1122" s="40"/>
      <c r="AA1122" s="136" t="str">
        <f t="shared" ca="1" si="95"/>
        <v/>
      </c>
      <c r="AB1122" s="40"/>
      <c r="AC1122" s="116"/>
      <c r="AD1122" s="116"/>
      <c r="AE1122" s="40"/>
      <c r="AF1122" s="136" t="str">
        <f t="shared" ca="1" si="96"/>
        <v/>
      </c>
      <c r="AG1122" s="127"/>
      <c r="AH1122" s="127"/>
      <c r="AI1122" s="127"/>
      <c r="AJ1122" s="128"/>
      <c r="AK1122" s="128"/>
      <c r="AL1122" s="129"/>
    </row>
    <row r="1123" spans="1:38" ht="23.25" x14ac:dyDescent="0.25">
      <c r="A1123" s="489" t="str">
        <f t="shared" si="93"/>
        <v/>
      </c>
      <c r="B1123" s="490">
        <v>260</v>
      </c>
      <c r="C1123" s="489"/>
      <c r="D1123" s="491"/>
      <c r="E1123" s="124"/>
      <c r="F1123" s="124"/>
      <c r="G1123" s="251"/>
      <c r="H1123" s="443"/>
      <c r="I1123" s="126"/>
      <c r="J1123" s="47"/>
      <c r="K1123" s="126"/>
      <c r="L1123" s="126"/>
      <c r="M1123" s="104"/>
      <c r="N1123" s="265"/>
      <c r="O1123" s="260"/>
      <c r="P1123" s="106"/>
      <c r="Q1123" s="107"/>
      <c r="R1123" s="244"/>
      <c r="S1123" s="37"/>
      <c r="T1123" s="36" t="str">
        <f t="shared" ca="1" si="94"/>
        <v/>
      </c>
      <c r="U1123" s="37"/>
      <c r="V1123" s="37"/>
      <c r="W1123" s="38"/>
      <c r="X1123" s="39"/>
      <c r="Y1123" s="150"/>
      <c r="Z1123" s="40"/>
      <c r="AA1123" s="136" t="str">
        <f t="shared" ca="1" si="95"/>
        <v/>
      </c>
      <c r="AB1123" s="40"/>
      <c r="AC1123" s="116"/>
      <c r="AD1123" s="116"/>
      <c r="AE1123" s="40"/>
      <c r="AF1123" s="136" t="str">
        <f t="shared" ca="1" si="96"/>
        <v/>
      </c>
      <c r="AG1123" s="127"/>
      <c r="AH1123" s="127"/>
      <c r="AI1123" s="127"/>
      <c r="AJ1123" s="128"/>
      <c r="AK1123" s="128"/>
      <c r="AL1123" s="129"/>
    </row>
    <row r="1124" spans="1:38" ht="23.25" x14ac:dyDescent="0.25">
      <c r="A1124" s="489" t="str">
        <f t="shared" si="93"/>
        <v/>
      </c>
      <c r="B1124" s="490">
        <v>261</v>
      </c>
      <c r="C1124" s="489"/>
      <c r="D1124" s="491"/>
      <c r="E1124" s="124"/>
      <c r="F1124" s="124"/>
      <c r="G1124" s="251"/>
      <c r="H1124" s="443"/>
      <c r="I1124" s="126"/>
      <c r="J1124" s="47"/>
      <c r="K1124" s="126"/>
      <c r="L1124" s="126"/>
      <c r="M1124" s="104"/>
      <c r="N1124" s="265"/>
      <c r="O1124" s="260"/>
      <c r="P1124" s="106"/>
      <c r="Q1124" s="107"/>
      <c r="R1124" s="244"/>
      <c r="S1124" s="37"/>
      <c r="T1124" s="36" t="str">
        <f t="shared" ca="1" si="94"/>
        <v/>
      </c>
      <c r="U1124" s="37"/>
      <c r="V1124" s="37"/>
      <c r="W1124" s="38"/>
      <c r="X1124" s="39"/>
      <c r="Y1124" s="150"/>
      <c r="Z1124" s="40"/>
      <c r="AA1124" s="136" t="str">
        <f t="shared" ca="1" si="95"/>
        <v/>
      </c>
      <c r="AB1124" s="40"/>
      <c r="AC1124" s="116"/>
      <c r="AD1124" s="116"/>
      <c r="AE1124" s="40"/>
      <c r="AF1124" s="136" t="str">
        <f t="shared" ca="1" si="96"/>
        <v/>
      </c>
      <c r="AG1124" s="127"/>
      <c r="AH1124" s="127"/>
      <c r="AI1124" s="127"/>
      <c r="AJ1124" s="128"/>
      <c r="AK1124" s="128"/>
      <c r="AL1124" s="129"/>
    </row>
    <row r="1125" spans="1:38" ht="23.25" x14ac:dyDescent="0.25">
      <c r="A1125" s="489" t="str">
        <f t="shared" si="93"/>
        <v/>
      </c>
      <c r="B1125" s="490">
        <v>262</v>
      </c>
      <c r="C1125" s="489"/>
      <c r="D1125" s="491"/>
      <c r="E1125" s="124"/>
      <c r="F1125" s="124"/>
      <c r="G1125" s="251"/>
      <c r="H1125" s="443"/>
      <c r="I1125" s="126"/>
      <c r="J1125" s="47"/>
      <c r="K1125" s="126"/>
      <c r="L1125" s="126"/>
      <c r="M1125" s="104"/>
      <c r="N1125" s="265"/>
      <c r="O1125" s="260"/>
      <c r="P1125" s="106"/>
      <c r="Q1125" s="107"/>
      <c r="R1125" s="244"/>
      <c r="S1125" s="37"/>
      <c r="T1125" s="36" t="str">
        <f t="shared" ca="1" si="94"/>
        <v/>
      </c>
      <c r="U1125" s="37"/>
      <c r="V1125" s="37"/>
      <c r="W1125" s="38"/>
      <c r="X1125" s="39"/>
      <c r="Y1125" s="150"/>
      <c r="Z1125" s="40"/>
      <c r="AA1125" s="136" t="str">
        <f t="shared" ca="1" si="95"/>
        <v/>
      </c>
      <c r="AB1125" s="40"/>
      <c r="AC1125" s="116"/>
      <c r="AD1125" s="116"/>
      <c r="AE1125" s="40"/>
      <c r="AF1125" s="136" t="str">
        <f t="shared" ca="1" si="96"/>
        <v/>
      </c>
      <c r="AG1125" s="127"/>
      <c r="AH1125" s="127"/>
      <c r="AI1125" s="127"/>
      <c r="AJ1125" s="128"/>
      <c r="AK1125" s="128"/>
      <c r="AL1125" s="129"/>
    </row>
    <row r="1126" spans="1:38" ht="23.25" x14ac:dyDescent="0.25">
      <c r="A1126" s="489" t="str">
        <f t="shared" si="93"/>
        <v/>
      </c>
      <c r="B1126" s="490">
        <v>263</v>
      </c>
      <c r="C1126" s="489"/>
      <c r="D1126" s="491"/>
      <c r="E1126" s="124"/>
      <c r="F1126" s="124"/>
      <c r="G1126" s="251"/>
      <c r="H1126" s="443"/>
      <c r="I1126" s="126"/>
      <c r="J1126" s="47"/>
      <c r="K1126" s="126"/>
      <c r="L1126" s="126"/>
      <c r="M1126" s="104"/>
      <c r="N1126" s="265"/>
      <c r="O1126" s="260"/>
      <c r="P1126" s="106"/>
      <c r="Q1126" s="107"/>
      <c r="R1126" s="244"/>
      <c r="S1126" s="37"/>
      <c r="T1126" s="36" t="str">
        <f t="shared" ca="1" si="94"/>
        <v/>
      </c>
      <c r="U1126" s="37"/>
      <c r="V1126" s="37"/>
      <c r="W1126" s="38"/>
      <c r="X1126" s="39"/>
      <c r="Y1126" s="150"/>
      <c r="Z1126" s="40"/>
      <c r="AA1126" s="136" t="str">
        <f t="shared" ca="1" si="95"/>
        <v/>
      </c>
      <c r="AB1126" s="40"/>
      <c r="AC1126" s="116"/>
      <c r="AD1126" s="116"/>
      <c r="AE1126" s="40"/>
      <c r="AF1126" s="136" t="str">
        <f t="shared" ca="1" si="96"/>
        <v/>
      </c>
      <c r="AG1126" s="127"/>
      <c r="AH1126" s="127"/>
      <c r="AI1126" s="127"/>
      <c r="AJ1126" s="128"/>
      <c r="AK1126" s="128"/>
      <c r="AL1126" s="129"/>
    </row>
    <row r="1127" spans="1:38" ht="23.25" x14ac:dyDescent="0.25">
      <c r="A1127" s="489" t="str">
        <f t="shared" si="93"/>
        <v/>
      </c>
      <c r="B1127" s="490">
        <v>264</v>
      </c>
      <c r="C1127" s="489"/>
      <c r="D1127" s="491"/>
      <c r="E1127" s="124"/>
      <c r="F1127" s="124"/>
      <c r="G1127" s="251"/>
      <c r="H1127" s="443"/>
      <c r="I1127" s="126"/>
      <c r="J1127" s="47"/>
      <c r="K1127" s="126"/>
      <c r="L1127" s="126"/>
      <c r="M1127" s="104"/>
      <c r="N1127" s="265"/>
      <c r="O1127" s="260"/>
      <c r="P1127" s="106"/>
      <c r="Q1127" s="107"/>
      <c r="R1127" s="244"/>
      <c r="S1127" s="37"/>
      <c r="T1127" s="36" t="str">
        <f t="shared" ca="1" si="94"/>
        <v/>
      </c>
      <c r="U1127" s="37"/>
      <c r="V1127" s="37"/>
      <c r="W1127" s="38"/>
      <c r="X1127" s="39"/>
      <c r="Y1127" s="150"/>
      <c r="Z1127" s="40"/>
      <c r="AA1127" s="136" t="str">
        <f t="shared" ca="1" si="95"/>
        <v/>
      </c>
      <c r="AB1127" s="40"/>
      <c r="AC1127" s="116"/>
      <c r="AD1127" s="116"/>
      <c r="AE1127" s="40"/>
      <c r="AF1127" s="136" t="str">
        <f t="shared" ca="1" si="96"/>
        <v/>
      </c>
      <c r="AG1127" s="127"/>
      <c r="AH1127" s="127"/>
      <c r="AI1127" s="127"/>
      <c r="AJ1127" s="128"/>
      <c r="AK1127" s="128"/>
      <c r="AL1127" s="129"/>
    </row>
    <row r="1128" spans="1:38" ht="23.25" x14ac:dyDescent="0.25">
      <c r="A1128" s="489" t="str">
        <f t="shared" si="93"/>
        <v/>
      </c>
      <c r="B1128" s="490">
        <v>265</v>
      </c>
      <c r="C1128" s="489"/>
      <c r="D1128" s="491"/>
      <c r="E1128" s="124"/>
      <c r="F1128" s="124"/>
      <c r="G1128" s="251"/>
      <c r="H1128" s="443"/>
      <c r="I1128" s="126"/>
      <c r="J1128" s="47"/>
      <c r="K1128" s="126"/>
      <c r="L1128" s="126"/>
      <c r="M1128" s="104"/>
      <c r="N1128" s="265"/>
      <c r="O1128" s="260"/>
      <c r="P1128" s="106"/>
      <c r="Q1128" s="107"/>
      <c r="R1128" s="244"/>
      <c r="S1128" s="37"/>
      <c r="T1128" s="36" t="str">
        <f t="shared" ca="1" si="94"/>
        <v/>
      </c>
      <c r="U1128" s="37"/>
      <c r="V1128" s="37"/>
      <c r="W1128" s="38"/>
      <c r="X1128" s="39"/>
      <c r="Y1128" s="150"/>
      <c r="Z1128" s="40"/>
      <c r="AA1128" s="136" t="str">
        <f t="shared" ca="1" si="95"/>
        <v/>
      </c>
      <c r="AB1128" s="40"/>
      <c r="AC1128" s="116"/>
      <c r="AD1128" s="116"/>
      <c r="AE1128" s="40"/>
      <c r="AF1128" s="136" t="str">
        <f t="shared" ca="1" si="96"/>
        <v/>
      </c>
      <c r="AG1128" s="127"/>
      <c r="AH1128" s="127"/>
      <c r="AI1128" s="127"/>
      <c r="AJ1128" s="128"/>
      <c r="AK1128" s="128"/>
      <c r="AL1128" s="129"/>
    </row>
    <row r="1129" spans="1:38" ht="23.25" x14ac:dyDescent="0.25">
      <c r="A1129" s="489" t="str">
        <f t="shared" si="93"/>
        <v/>
      </c>
      <c r="B1129" s="490">
        <v>266</v>
      </c>
      <c r="C1129" s="489"/>
      <c r="D1129" s="491"/>
      <c r="E1129" s="124"/>
      <c r="F1129" s="124"/>
      <c r="G1129" s="251"/>
      <c r="H1129" s="443"/>
      <c r="I1129" s="126"/>
      <c r="J1129" s="47"/>
      <c r="K1129" s="126"/>
      <c r="L1129" s="126"/>
      <c r="M1129" s="104"/>
      <c r="N1129" s="265"/>
      <c r="O1129" s="260"/>
      <c r="P1129" s="106"/>
      <c r="Q1129" s="107"/>
      <c r="R1129" s="244"/>
      <c r="S1129" s="37"/>
      <c r="T1129" s="36" t="str">
        <f t="shared" ca="1" si="94"/>
        <v/>
      </c>
      <c r="U1129" s="37"/>
      <c r="V1129" s="37"/>
      <c r="W1129" s="38"/>
      <c r="X1129" s="39"/>
      <c r="Y1129" s="150"/>
      <c r="Z1129" s="40"/>
      <c r="AA1129" s="136" t="str">
        <f t="shared" ca="1" si="95"/>
        <v/>
      </c>
      <c r="AB1129" s="40"/>
      <c r="AC1129" s="116"/>
      <c r="AD1129" s="116"/>
      <c r="AE1129" s="40"/>
      <c r="AF1129" s="136" t="str">
        <f t="shared" ca="1" si="96"/>
        <v/>
      </c>
      <c r="AG1129" s="127"/>
      <c r="AH1129" s="127"/>
      <c r="AI1129" s="127"/>
      <c r="AJ1129" s="128"/>
      <c r="AK1129" s="128"/>
      <c r="AL1129" s="129"/>
    </row>
    <row r="1130" spans="1:38" ht="23.25" x14ac:dyDescent="0.25">
      <c r="A1130" s="489" t="str">
        <f t="shared" si="93"/>
        <v/>
      </c>
      <c r="B1130" s="490">
        <v>267</v>
      </c>
      <c r="C1130" s="489"/>
      <c r="D1130" s="491"/>
      <c r="E1130" s="124"/>
      <c r="F1130" s="124"/>
      <c r="G1130" s="251"/>
      <c r="H1130" s="443"/>
      <c r="I1130" s="126"/>
      <c r="J1130" s="47"/>
      <c r="K1130" s="126"/>
      <c r="L1130" s="126"/>
      <c r="M1130" s="104"/>
      <c r="N1130" s="265"/>
      <c r="O1130" s="260"/>
      <c r="P1130" s="106"/>
      <c r="Q1130" s="107"/>
      <c r="R1130" s="244"/>
      <c r="S1130" s="37"/>
      <c r="T1130" s="36" t="str">
        <f t="shared" ca="1" si="94"/>
        <v/>
      </c>
      <c r="U1130" s="37"/>
      <c r="V1130" s="37"/>
      <c r="W1130" s="38"/>
      <c r="X1130" s="39"/>
      <c r="Y1130" s="150"/>
      <c r="Z1130" s="40"/>
      <c r="AA1130" s="136" t="str">
        <f t="shared" ca="1" si="95"/>
        <v/>
      </c>
      <c r="AB1130" s="40"/>
      <c r="AC1130" s="116"/>
      <c r="AD1130" s="116"/>
      <c r="AE1130" s="40"/>
      <c r="AF1130" s="136" t="str">
        <f t="shared" ca="1" si="96"/>
        <v/>
      </c>
      <c r="AG1130" s="127"/>
      <c r="AH1130" s="127"/>
      <c r="AI1130" s="127"/>
      <c r="AJ1130" s="128"/>
      <c r="AK1130" s="128"/>
      <c r="AL1130" s="129"/>
    </row>
    <row r="1131" spans="1:38" ht="23.25" x14ac:dyDescent="0.25">
      <c r="A1131" s="489" t="str">
        <f t="shared" si="93"/>
        <v/>
      </c>
      <c r="B1131" s="490">
        <v>268</v>
      </c>
      <c r="C1131" s="489"/>
      <c r="D1131" s="491"/>
      <c r="E1131" s="124"/>
      <c r="F1131" s="124"/>
      <c r="G1131" s="251"/>
      <c r="H1131" s="443"/>
      <c r="I1131" s="126"/>
      <c r="J1131" s="47"/>
      <c r="K1131" s="126"/>
      <c r="L1131" s="126"/>
      <c r="M1131" s="104"/>
      <c r="N1131" s="265"/>
      <c r="O1131" s="260"/>
      <c r="P1131" s="106"/>
      <c r="Q1131" s="107"/>
      <c r="R1131" s="244"/>
      <c r="S1131" s="37"/>
      <c r="T1131" s="36" t="str">
        <f t="shared" ca="1" si="94"/>
        <v/>
      </c>
      <c r="U1131" s="37"/>
      <c r="V1131" s="37"/>
      <c r="W1131" s="38"/>
      <c r="X1131" s="39"/>
      <c r="Y1131" s="150"/>
      <c r="Z1131" s="40"/>
      <c r="AA1131" s="136" t="str">
        <f t="shared" ca="1" si="95"/>
        <v/>
      </c>
      <c r="AB1131" s="40"/>
      <c r="AC1131" s="116"/>
      <c r="AD1131" s="116"/>
      <c r="AE1131" s="40"/>
      <c r="AF1131" s="136" t="str">
        <f t="shared" ca="1" si="96"/>
        <v/>
      </c>
      <c r="AG1131" s="127"/>
      <c r="AH1131" s="127"/>
      <c r="AI1131" s="127"/>
      <c r="AJ1131" s="128"/>
      <c r="AK1131" s="128"/>
      <c r="AL1131" s="129"/>
    </row>
    <row r="1132" spans="1:38" ht="23.25" x14ac:dyDescent="0.25">
      <c r="A1132" s="489" t="str">
        <f t="shared" si="93"/>
        <v/>
      </c>
      <c r="B1132" s="490">
        <v>269</v>
      </c>
      <c r="C1132" s="489"/>
      <c r="D1132" s="491"/>
      <c r="E1132" s="124"/>
      <c r="F1132" s="124"/>
      <c r="G1132" s="251"/>
      <c r="H1132" s="443"/>
      <c r="I1132" s="126"/>
      <c r="J1132" s="47"/>
      <c r="K1132" s="126"/>
      <c r="L1132" s="126"/>
      <c r="M1132" s="104"/>
      <c r="N1132" s="265"/>
      <c r="O1132" s="260"/>
      <c r="P1132" s="106"/>
      <c r="Q1132" s="107"/>
      <c r="R1132" s="244"/>
      <c r="S1132" s="37"/>
      <c r="T1132" s="36" t="str">
        <f t="shared" ca="1" si="94"/>
        <v/>
      </c>
      <c r="U1132" s="37"/>
      <c r="V1132" s="37"/>
      <c r="W1132" s="38"/>
      <c r="X1132" s="39"/>
      <c r="Y1132" s="150"/>
      <c r="Z1132" s="40"/>
      <c r="AA1132" s="136" t="str">
        <f t="shared" ca="1" si="95"/>
        <v/>
      </c>
      <c r="AB1132" s="40"/>
      <c r="AC1132" s="116"/>
      <c r="AD1132" s="116"/>
      <c r="AE1132" s="40"/>
      <c r="AF1132" s="136" t="str">
        <f t="shared" ca="1" si="96"/>
        <v/>
      </c>
      <c r="AG1132" s="127"/>
      <c r="AH1132" s="127"/>
      <c r="AI1132" s="127"/>
      <c r="AJ1132" s="128"/>
      <c r="AK1132" s="128"/>
      <c r="AL1132" s="129"/>
    </row>
    <row r="1133" spans="1:38" ht="23.25" x14ac:dyDescent="0.25">
      <c r="A1133" s="489" t="str">
        <f t="shared" si="93"/>
        <v/>
      </c>
      <c r="B1133" s="490">
        <v>270</v>
      </c>
      <c r="C1133" s="489"/>
      <c r="D1133" s="491"/>
      <c r="E1133" s="124"/>
      <c r="F1133" s="124"/>
      <c r="G1133" s="251"/>
      <c r="H1133" s="443"/>
      <c r="I1133" s="126"/>
      <c r="J1133" s="47"/>
      <c r="K1133" s="126"/>
      <c r="L1133" s="126"/>
      <c r="M1133" s="104"/>
      <c r="N1133" s="265"/>
      <c r="O1133" s="260"/>
      <c r="P1133" s="106"/>
      <c r="Q1133" s="107"/>
      <c r="R1133" s="244"/>
      <c r="S1133" s="37"/>
      <c r="T1133" s="36" t="str">
        <f t="shared" ca="1" si="94"/>
        <v/>
      </c>
      <c r="U1133" s="37"/>
      <c r="V1133" s="37"/>
      <c r="W1133" s="38"/>
      <c r="X1133" s="39"/>
      <c r="Y1133" s="150"/>
      <c r="Z1133" s="40"/>
      <c r="AA1133" s="136" t="str">
        <f t="shared" ca="1" si="95"/>
        <v/>
      </c>
      <c r="AB1133" s="40"/>
      <c r="AC1133" s="116"/>
      <c r="AD1133" s="116"/>
      <c r="AE1133" s="40"/>
      <c r="AF1133" s="136" t="str">
        <f t="shared" ca="1" si="96"/>
        <v/>
      </c>
      <c r="AG1133" s="127"/>
      <c r="AH1133" s="127"/>
      <c r="AI1133" s="127"/>
      <c r="AJ1133" s="128"/>
      <c r="AK1133" s="128"/>
      <c r="AL1133" s="129"/>
    </row>
    <row r="1134" spans="1:38" ht="23.25" x14ac:dyDescent="0.25">
      <c r="A1134" s="489" t="str">
        <f t="shared" si="93"/>
        <v/>
      </c>
      <c r="B1134" s="490">
        <v>271</v>
      </c>
      <c r="C1134" s="489"/>
      <c r="D1134" s="491"/>
      <c r="E1134" s="124"/>
      <c r="F1134" s="124"/>
      <c r="G1134" s="251"/>
      <c r="H1134" s="443"/>
      <c r="I1134" s="126"/>
      <c r="J1134" s="47"/>
      <c r="K1134" s="126"/>
      <c r="L1134" s="126"/>
      <c r="M1134" s="104"/>
      <c r="N1134" s="265"/>
      <c r="O1134" s="260"/>
      <c r="P1134" s="106"/>
      <c r="Q1134" s="107"/>
      <c r="R1134" s="244"/>
      <c r="S1134" s="37"/>
      <c r="T1134" s="36" t="str">
        <f t="shared" ca="1" si="94"/>
        <v/>
      </c>
      <c r="U1134" s="37"/>
      <c r="V1134" s="37"/>
      <c r="W1134" s="38"/>
      <c r="X1134" s="39"/>
      <c r="Y1134" s="150"/>
      <c r="Z1134" s="40"/>
      <c r="AA1134" s="136" t="str">
        <f t="shared" ca="1" si="95"/>
        <v/>
      </c>
      <c r="AB1134" s="40"/>
      <c r="AC1134" s="116"/>
      <c r="AD1134" s="116"/>
      <c r="AE1134" s="40"/>
      <c r="AF1134" s="136" t="str">
        <f t="shared" ca="1" si="96"/>
        <v/>
      </c>
      <c r="AG1134" s="127"/>
      <c r="AH1134" s="127"/>
      <c r="AI1134" s="127"/>
      <c r="AJ1134" s="128"/>
      <c r="AK1134" s="128"/>
      <c r="AL1134" s="129"/>
    </row>
    <row r="1135" spans="1:38" ht="23.25" x14ac:dyDescent="0.25">
      <c r="A1135" s="489" t="str">
        <f t="shared" si="93"/>
        <v/>
      </c>
      <c r="B1135" s="490">
        <v>272</v>
      </c>
      <c r="C1135" s="489"/>
      <c r="D1135" s="491"/>
      <c r="E1135" s="124"/>
      <c r="F1135" s="124"/>
      <c r="G1135" s="251"/>
      <c r="H1135" s="443"/>
      <c r="I1135" s="126"/>
      <c r="J1135" s="47"/>
      <c r="K1135" s="126"/>
      <c r="L1135" s="126"/>
      <c r="M1135" s="104"/>
      <c r="N1135" s="265"/>
      <c r="O1135" s="260"/>
      <c r="P1135" s="106"/>
      <c r="Q1135" s="107"/>
      <c r="R1135" s="244"/>
      <c r="S1135" s="37"/>
      <c r="T1135" s="36" t="str">
        <f t="shared" ca="1" si="94"/>
        <v/>
      </c>
      <c r="U1135" s="37"/>
      <c r="V1135" s="37"/>
      <c r="W1135" s="38"/>
      <c r="X1135" s="39"/>
      <c r="Y1135" s="150"/>
      <c r="Z1135" s="40"/>
      <c r="AA1135" s="136" t="str">
        <f t="shared" ca="1" si="95"/>
        <v/>
      </c>
      <c r="AB1135" s="40"/>
      <c r="AC1135" s="116"/>
      <c r="AD1135" s="116"/>
      <c r="AE1135" s="40"/>
      <c r="AF1135" s="136" t="str">
        <f t="shared" ca="1" si="96"/>
        <v/>
      </c>
      <c r="AG1135" s="127"/>
      <c r="AH1135" s="127"/>
      <c r="AI1135" s="127"/>
      <c r="AJ1135" s="128"/>
      <c r="AK1135" s="128"/>
      <c r="AL1135" s="129"/>
    </row>
    <row r="1136" spans="1:38" ht="23.25" x14ac:dyDescent="0.25">
      <c r="A1136" s="489" t="str">
        <f t="shared" si="93"/>
        <v/>
      </c>
      <c r="B1136" s="490">
        <v>273</v>
      </c>
      <c r="C1136" s="489"/>
      <c r="D1136" s="491"/>
      <c r="E1136" s="124"/>
      <c r="F1136" s="124"/>
      <c r="G1136" s="251"/>
      <c r="H1136" s="443"/>
      <c r="I1136" s="126"/>
      <c r="J1136" s="47"/>
      <c r="K1136" s="126"/>
      <c r="L1136" s="126"/>
      <c r="M1136" s="104"/>
      <c r="N1136" s="265"/>
      <c r="O1136" s="260"/>
      <c r="P1136" s="106"/>
      <c r="Q1136" s="107"/>
      <c r="R1136" s="244"/>
      <c r="S1136" s="37"/>
      <c r="T1136" s="36" t="str">
        <f t="shared" ca="1" si="94"/>
        <v/>
      </c>
      <c r="U1136" s="37"/>
      <c r="V1136" s="37"/>
      <c r="W1136" s="38"/>
      <c r="X1136" s="39"/>
      <c r="Y1136" s="150"/>
      <c r="Z1136" s="40"/>
      <c r="AA1136" s="136" t="str">
        <f t="shared" ca="1" si="95"/>
        <v/>
      </c>
      <c r="AB1136" s="40"/>
      <c r="AC1136" s="116"/>
      <c r="AD1136" s="116"/>
      <c r="AE1136" s="40"/>
      <c r="AF1136" s="136" t="str">
        <f t="shared" ca="1" si="96"/>
        <v/>
      </c>
      <c r="AG1136" s="127"/>
      <c r="AH1136" s="127"/>
      <c r="AI1136" s="127"/>
      <c r="AJ1136" s="128"/>
      <c r="AK1136" s="128"/>
      <c r="AL1136" s="129"/>
    </row>
    <row r="1137" spans="1:38" ht="23.25" x14ac:dyDescent="0.25">
      <c r="A1137" s="489" t="str">
        <f t="shared" si="93"/>
        <v/>
      </c>
      <c r="B1137" s="490">
        <v>274</v>
      </c>
      <c r="C1137" s="489"/>
      <c r="D1137" s="491"/>
      <c r="E1137" s="124"/>
      <c r="F1137" s="124"/>
      <c r="G1137" s="251"/>
      <c r="H1137" s="443"/>
      <c r="I1137" s="126"/>
      <c r="J1137" s="47"/>
      <c r="K1137" s="126"/>
      <c r="L1137" s="126"/>
      <c r="M1137" s="104"/>
      <c r="N1137" s="265"/>
      <c r="O1137" s="260"/>
      <c r="P1137" s="106"/>
      <c r="Q1137" s="107"/>
      <c r="R1137" s="244"/>
      <c r="S1137" s="37"/>
      <c r="T1137" s="36" t="str">
        <f t="shared" ca="1" si="94"/>
        <v/>
      </c>
      <c r="U1137" s="37"/>
      <c r="V1137" s="37"/>
      <c r="W1137" s="38"/>
      <c r="X1137" s="39"/>
      <c r="Y1137" s="150"/>
      <c r="Z1137" s="40"/>
      <c r="AA1137" s="136" t="str">
        <f t="shared" ca="1" si="95"/>
        <v/>
      </c>
      <c r="AB1137" s="40"/>
      <c r="AC1137" s="116"/>
      <c r="AD1137" s="116"/>
      <c r="AE1137" s="40"/>
      <c r="AF1137" s="136" t="str">
        <f t="shared" ca="1" si="96"/>
        <v/>
      </c>
      <c r="AG1137" s="127"/>
      <c r="AH1137" s="127"/>
      <c r="AI1137" s="127"/>
      <c r="AJ1137" s="128"/>
      <c r="AK1137" s="128"/>
      <c r="AL1137" s="129"/>
    </row>
    <row r="1138" spans="1:38" ht="23.25" x14ac:dyDescent="0.25">
      <c r="A1138" s="489" t="str">
        <f t="shared" si="93"/>
        <v/>
      </c>
      <c r="B1138" s="490">
        <v>275</v>
      </c>
      <c r="C1138" s="489"/>
      <c r="D1138" s="491"/>
      <c r="E1138" s="124"/>
      <c r="F1138" s="124"/>
      <c r="G1138" s="251"/>
      <c r="H1138" s="443"/>
      <c r="I1138" s="126"/>
      <c r="J1138" s="47"/>
      <c r="K1138" s="126"/>
      <c r="L1138" s="126"/>
      <c r="M1138" s="104"/>
      <c r="N1138" s="265"/>
      <c r="O1138" s="260"/>
      <c r="P1138" s="106"/>
      <c r="Q1138" s="107"/>
      <c r="R1138" s="244"/>
      <c r="S1138" s="37"/>
      <c r="T1138" s="36" t="str">
        <f t="shared" ca="1" si="94"/>
        <v/>
      </c>
      <c r="U1138" s="37"/>
      <c r="V1138" s="37"/>
      <c r="W1138" s="38"/>
      <c r="X1138" s="39"/>
      <c r="Y1138" s="150"/>
      <c r="Z1138" s="40"/>
      <c r="AA1138" s="136" t="str">
        <f t="shared" ca="1" si="95"/>
        <v/>
      </c>
      <c r="AB1138" s="40"/>
      <c r="AC1138" s="116"/>
      <c r="AD1138" s="116"/>
      <c r="AE1138" s="40"/>
      <c r="AF1138" s="136" t="str">
        <f t="shared" ca="1" si="96"/>
        <v/>
      </c>
      <c r="AG1138" s="127"/>
      <c r="AH1138" s="127"/>
      <c r="AI1138" s="127"/>
      <c r="AJ1138" s="128"/>
      <c r="AK1138" s="128"/>
      <c r="AL1138" s="129"/>
    </row>
    <row r="1139" spans="1:38" ht="23.25" x14ac:dyDescent="0.25">
      <c r="A1139" s="489" t="str">
        <f t="shared" si="93"/>
        <v/>
      </c>
      <c r="B1139" s="490">
        <v>276</v>
      </c>
      <c r="C1139" s="489"/>
      <c r="D1139" s="491"/>
      <c r="E1139" s="124"/>
      <c r="F1139" s="124"/>
      <c r="G1139" s="251"/>
      <c r="H1139" s="443"/>
      <c r="I1139" s="126"/>
      <c r="J1139" s="47"/>
      <c r="K1139" s="126"/>
      <c r="L1139" s="126"/>
      <c r="M1139" s="104"/>
      <c r="N1139" s="265"/>
      <c r="O1139" s="260"/>
      <c r="P1139" s="106"/>
      <c r="Q1139" s="107"/>
      <c r="R1139" s="244"/>
      <c r="S1139" s="37"/>
      <c r="T1139" s="36" t="str">
        <f t="shared" ca="1" si="94"/>
        <v/>
      </c>
      <c r="U1139" s="37"/>
      <c r="V1139" s="37"/>
      <c r="W1139" s="38"/>
      <c r="X1139" s="39"/>
      <c r="Y1139" s="150"/>
      <c r="Z1139" s="40"/>
      <c r="AA1139" s="136" t="str">
        <f t="shared" ca="1" si="95"/>
        <v/>
      </c>
      <c r="AB1139" s="40"/>
      <c r="AC1139" s="116"/>
      <c r="AD1139" s="116"/>
      <c r="AE1139" s="40"/>
      <c r="AF1139" s="136" t="str">
        <f t="shared" ca="1" si="96"/>
        <v/>
      </c>
      <c r="AG1139" s="127"/>
      <c r="AH1139" s="127"/>
      <c r="AI1139" s="127"/>
      <c r="AJ1139" s="128"/>
      <c r="AK1139" s="128"/>
      <c r="AL1139" s="129"/>
    </row>
    <row r="1140" spans="1:38" ht="23.25" x14ac:dyDescent="0.25">
      <c r="A1140" s="489" t="str">
        <f t="shared" si="93"/>
        <v/>
      </c>
      <c r="B1140" s="490">
        <v>277</v>
      </c>
      <c r="C1140" s="489"/>
      <c r="D1140" s="491"/>
      <c r="E1140" s="124"/>
      <c r="F1140" s="124"/>
      <c r="G1140" s="251"/>
      <c r="H1140" s="443"/>
      <c r="I1140" s="126"/>
      <c r="J1140" s="47"/>
      <c r="K1140" s="126"/>
      <c r="L1140" s="126"/>
      <c r="M1140" s="104"/>
      <c r="N1140" s="265"/>
      <c r="O1140" s="260"/>
      <c r="P1140" s="106"/>
      <c r="Q1140" s="107"/>
      <c r="R1140" s="244"/>
      <c r="S1140" s="37"/>
      <c r="T1140" s="36" t="str">
        <f t="shared" ca="1" si="94"/>
        <v/>
      </c>
      <c r="U1140" s="37"/>
      <c r="V1140" s="37"/>
      <c r="W1140" s="38"/>
      <c r="X1140" s="39"/>
      <c r="Y1140" s="150"/>
      <c r="Z1140" s="40"/>
      <c r="AA1140" s="136" t="str">
        <f t="shared" ca="1" si="95"/>
        <v/>
      </c>
      <c r="AB1140" s="40"/>
      <c r="AC1140" s="116"/>
      <c r="AD1140" s="116"/>
      <c r="AE1140" s="40"/>
      <c r="AF1140" s="136" t="str">
        <f t="shared" ca="1" si="96"/>
        <v/>
      </c>
      <c r="AG1140" s="127"/>
      <c r="AH1140" s="127"/>
      <c r="AI1140" s="127"/>
      <c r="AJ1140" s="128"/>
      <c r="AK1140" s="128"/>
      <c r="AL1140" s="129"/>
    </row>
    <row r="1141" spans="1:38" ht="23.25" x14ac:dyDescent="0.25">
      <c r="A1141" s="489" t="str">
        <f t="shared" si="93"/>
        <v/>
      </c>
      <c r="B1141" s="490">
        <v>278</v>
      </c>
      <c r="C1141" s="489"/>
      <c r="D1141" s="491"/>
      <c r="E1141" s="124"/>
      <c r="F1141" s="124"/>
      <c r="G1141" s="251"/>
      <c r="H1141" s="443"/>
      <c r="I1141" s="126"/>
      <c r="J1141" s="47"/>
      <c r="K1141" s="126"/>
      <c r="L1141" s="126"/>
      <c r="M1141" s="104"/>
      <c r="N1141" s="265"/>
      <c r="O1141" s="260"/>
      <c r="P1141" s="106"/>
      <c r="Q1141" s="107"/>
      <c r="R1141" s="244"/>
      <c r="S1141" s="37"/>
      <c r="T1141" s="36" t="str">
        <f t="shared" ca="1" si="94"/>
        <v/>
      </c>
      <c r="U1141" s="37"/>
      <c r="V1141" s="37"/>
      <c r="W1141" s="38"/>
      <c r="X1141" s="39"/>
      <c r="Y1141" s="150"/>
      <c r="Z1141" s="40"/>
      <c r="AA1141" s="136" t="str">
        <f t="shared" ca="1" si="95"/>
        <v/>
      </c>
      <c r="AB1141" s="40"/>
      <c r="AC1141" s="116"/>
      <c r="AD1141" s="116"/>
      <c r="AE1141" s="40"/>
      <c r="AF1141" s="136" t="str">
        <f t="shared" ca="1" si="96"/>
        <v/>
      </c>
      <c r="AG1141" s="127"/>
      <c r="AH1141" s="127"/>
      <c r="AI1141" s="127"/>
      <c r="AJ1141" s="128"/>
      <c r="AK1141" s="128"/>
      <c r="AL1141" s="129"/>
    </row>
    <row r="1142" spans="1:38" ht="23.25" x14ac:dyDescent="0.25">
      <c r="A1142" s="489" t="str">
        <f t="shared" si="93"/>
        <v/>
      </c>
      <c r="B1142" s="490">
        <v>279</v>
      </c>
      <c r="C1142" s="489"/>
      <c r="D1142" s="491"/>
      <c r="E1142" s="124"/>
      <c r="F1142" s="124"/>
      <c r="G1142" s="251"/>
      <c r="H1142" s="443"/>
      <c r="I1142" s="126"/>
      <c r="J1142" s="47"/>
      <c r="K1142" s="126"/>
      <c r="L1142" s="126"/>
      <c r="M1142" s="104"/>
      <c r="N1142" s="265"/>
      <c r="O1142" s="260"/>
      <c r="P1142" s="106"/>
      <c r="Q1142" s="107"/>
      <c r="R1142" s="244"/>
      <c r="S1142" s="37"/>
      <c r="T1142" s="36" t="str">
        <f t="shared" ca="1" si="94"/>
        <v/>
      </c>
      <c r="U1142" s="37"/>
      <c r="V1142" s="37"/>
      <c r="W1142" s="38"/>
      <c r="X1142" s="39"/>
      <c r="Y1142" s="150"/>
      <c r="Z1142" s="40"/>
      <c r="AA1142" s="136" t="str">
        <f t="shared" ca="1" si="95"/>
        <v/>
      </c>
      <c r="AB1142" s="40"/>
      <c r="AC1142" s="116"/>
      <c r="AD1142" s="116"/>
      <c r="AE1142" s="40"/>
      <c r="AF1142" s="136" t="str">
        <f t="shared" ca="1" si="96"/>
        <v/>
      </c>
      <c r="AG1142" s="127"/>
      <c r="AH1142" s="127"/>
      <c r="AI1142" s="127"/>
      <c r="AJ1142" s="128"/>
      <c r="AK1142" s="128"/>
      <c r="AL1142" s="129"/>
    </row>
    <row r="1143" spans="1:38" ht="23.25" x14ac:dyDescent="0.25">
      <c r="A1143" s="489" t="str">
        <f t="shared" si="93"/>
        <v/>
      </c>
      <c r="B1143" s="490">
        <v>280</v>
      </c>
      <c r="C1143" s="489"/>
      <c r="D1143" s="491"/>
      <c r="E1143" s="124"/>
      <c r="F1143" s="124"/>
      <c r="G1143" s="251"/>
      <c r="H1143" s="443"/>
      <c r="I1143" s="126"/>
      <c r="J1143" s="47"/>
      <c r="K1143" s="126"/>
      <c r="L1143" s="126"/>
      <c r="M1143" s="104"/>
      <c r="N1143" s="265"/>
      <c r="O1143" s="260"/>
      <c r="P1143" s="106"/>
      <c r="Q1143" s="107"/>
      <c r="R1143" s="244"/>
      <c r="S1143" s="37"/>
      <c r="T1143" s="36" t="str">
        <f t="shared" ca="1" si="94"/>
        <v/>
      </c>
      <c r="U1143" s="37"/>
      <c r="V1143" s="37"/>
      <c r="W1143" s="38"/>
      <c r="X1143" s="39"/>
      <c r="Y1143" s="150"/>
      <c r="Z1143" s="40"/>
      <c r="AA1143" s="136" t="str">
        <f t="shared" ca="1" si="95"/>
        <v/>
      </c>
      <c r="AB1143" s="40"/>
      <c r="AC1143" s="116"/>
      <c r="AD1143" s="116"/>
      <c r="AE1143" s="40"/>
      <c r="AF1143" s="136" t="str">
        <f t="shared" ca="1" si="96"/>
        <v/>
      </c>
      <c r="AG1143" s="127"/>
      <c r="AH1143" s="127"/>
      <c r="AI1143" s="127"/>
      <c r="AJ1143" s="128"/>
      <c r="AK1143" s="128"/>
      <c r="AL1143" s="129"/>
    </row>
    <row r="1144" spans="1:38" ht="23.25" x14ac:dyDescent="0.25">
      <c r="A1144" s="489" t="str">
        <f t="shared" si="93"/>
        <v/>
      </c>
      <c r="B1144" s="490">
        <v>281</v>
      </c>
      <c r="C1144" s="489"/>
      <c r="D1144" s="491"/>
      <c r="E1144" s="124"/>
      <c r="F1144" s="124"/>
      <c r="G1144" s="251"/>
      <c r="H1144" s="443"/>
      <c r="I1144" s="126"/>
      <c r="J1144" s="47"/>
      <c r="K1144" s="126"/>
      <c r="L1144" s="126"/>
      <c r="M1144" s="104"/>
      <c r="N1144" s="265"/>
      <c r="O1144" s="260"/>
      <c r="P1144" s="106"/>
      <c r="Q1144" s="107"/>
      <c r="R1144" s="244"/>
      <c r="S1144" s="37"/>
      <c r="T1144" s="36" t="str">
        <f t="shared" ca="1" si="94"/>
        <v/>
      </c>
      <c r="U1144" s="37"/>
      <c r="V1144" s="37"/>
      <c r="W1144" s="38"/>
      <c r="X1144" s="39"/>
      <c r="Y1144" s="150"/>
      <c r="Z1144" s="40"/>
      <c r="AA1144" s="136" t="str">
        <f t="shared" ca="1" si="95"/>
        <v/>
      </c>
      <c r="AB1144" s="40"/>
      <c r="AC1144" s="116"/>
      <c r="AD1144" s="116"/>
      <c r="AE1144" s="40"/>
      <c r="AF1144" s="136" t="str">
        <f t="shared" ca="1" si="96"/>
        <v/>
      </c>
      <c r="AG1144" s="127"/>
      <c r="AH1144" s="127"/>
      <c r="AI1144" s="127"/>
      <c r="AJ1144" s="128"/>
      <c r="AK1144" s="128"/>
      <c r="AL1144" s="129"/>
    </row>
    <row r="1145" spans="1:38" ht="23.25" x14ac:dyDescent="0.25">
      <c r="A1145" s="489" t="str">
        <f t="shared" si="93"/>
        <v/>
      </c>
      <c r="B1145" s="490">
        <v>282</v>
      </c>
      <c r="C1145" s="489"/>
      <c r="D1145" s="491"/>
      <c r="E1145" s="124"/>
      <c r="F1145" s="124"/>
      <c r="G1145" s="251"/>
      <c r="H1145" s="443"/>
      <c r="I1145" s="126"/>
      <c r="J1145" s="47"/>
      <c r="K1145" s="126"/>
      <c r="L1145" s="126"/>
      <c r="M1145" s="104"/>
      <c r="N1145" s="265"/>
      <c r="O1145" s="260"/>
      <c r="P1145" s="106"/>
      <c r="Q1145" s="107"/>
      <c r="R1145" s="244"/>
      <c r="S1145" s="37"/>
      <c r="T1145" s="36" t="str">
        <f t="shared" ca="1" si="94"/>
        <v/>
      </c>
      <c r="U1145" s="37"/>
      <c r="V1145" s="37"/>
      <c r="W1145" s="38"/>
      <c r="X1145" s="39"/>
      <c r="Y1145" s="150"/>
      <c r="Z1145" s="40"/>
      <c r="AA1145" s="136" t="str">
        <f t="shared" ca="1" si="95"/>
        <v/>
      </c>
      <c r="AB1145" s="40"/>
      <c r="AC1145" s="116"/>
      <c r="AD1145" s="116"/>
      <c r="AE1145" s="40"/>
      <c r="AF1145" s="136" t="str">
        <f t="shared" ca="1" si="96"/>
        <v/>
      </c>
      <c r="AG1145" s="127"/>
      <c r="AH1145" s="127"/>
      <c r="AI1145" s="127"/>
      <c r="AJ1145" s="128"/>
      <c r="AK1145" s="128"/>
      <c r="AL1145" s="129"/>
    </row>
    <row r="1146" spans="1:38" ht="23.25" x14ac:dyDescent="0.25">
      <c r="A1146" s="489" t="str">
        <f t="shared" si="93"/>
        <v/>
      </c>
      <c r="B1146" s="490">
        <v>283</v>
      </c>
      <c r="C1146" s="489"/>
      <c r="D1146" s="491"/>
      <c r="E1146" s="124"/>
      <c r="F1146" s="124"/>
      <c r="G1146" s="251"/>
      <c r="H1146" s="443"/>
      <c r="I1146" s="126"/>
      <c r="J1146" s="47"/>
      <c r="K1146" s="126"/>
      <c r="L1146" s="126"/>
      <c r="M1146" s="104"/>
      <c r="N1146" s="265"/>
      <c r="O1146" s="260"/>
      <c r="P1146" s="106"/>
      <c r="Q1146" s="107"/>
      <c r="R1146" s="244"/>
      <c r="S1146" s="37"/>
      <c r="T1146" s="36" t="str">
        <f t="shared" ca="1" si="94"/>
        <v/>
      </c>
      <c r="U1146" s="37"/>
      <c r="V1146" s="37"/>
      <c r="W1146" s="38"/>
      <c r="X1146" s="39"/>
      <c r="Y1146" s="150"/>
      <c r="Z1146" s="40"/>
      <c r="AA1146" s="136" t="str">
        <f t="shared" ca="1" si="95"/>
        <v/>
      </c>
      <c r="AB1146" s="40"/>
      <c r="AC1146" s="116"/>
      <c r="AD1146" s="116"/>
      <c r="AE1146" s="40"/>
      <c r="AF1146" s="136" t="str">
        <f t="shared" ca="1" si="96"/>
        <v/>
      </c>
      <c r="AG1146" s="127"/>
      <c r="AH1146" s="127"/>
      <c r="AI1146" s="127"/>
      <c r="AJ1146" s="128"/>
      <c r="AK1146" s="128"/>
      <c r="AL1146" s="129"/>
    </row>
    <row r="1147" spans="1:38" ht="23.25" x14ac:dyDescent="0.25">
      <c r="A1147" s="489" t="str">
        <f t="shared" si="93"/>
        <v/>
      </c>
      <c r="B1147" s="490">
        <v>284</v>
      </c>
      <c r="C1147" s="489"/>
      <c r="D1147" s="491"/>
      <c r="E1147" s="124"/>
      <c r="F1147" s="124"/>
      <c r="G1147" s="251"/>
      <c r="H1147" s="443"/>
      <c r="I1147" s="126"/>
      <c r="J1147" s="47"/>
      <c r="K1147" s="126"/>
      <c r="L1147" s="126"/>
      <c r="M1147" s="104"/>
      <c r="N1147" s="265"/>
      <c r="O1147" s="260"/>
      <c r="P1147" s="106"/>
      <c r="Q1147" s="107"/>
      <c r="R1147" s="244"/>
      <c r="S1147" s="37"/>
      <c r="T1147" s="36" t="str">
        <f t="shared" ca="1" si="94"/>
        <v/>
      </c>
      <c r="U1147" s="37"/>
      <c r="V1147" s="37"/>
      <c r="W1147" s="38"/>
      <c r="X1147" s="39"/>
      <c r="Y1147" s="150"/>
      <c r="Z1147" s="40"/>
      <c r="AA1147" s="136" t="str">
        <f t="shared" ca="1" si="95"/>
        <v/>
      </c>
      <c r="AB1147" s="40"/>
      <c r="AC1147" s="116"/>
      <c r="AD1147" s="116"/>
      <c r="AE1147" s="40"/>
      <c r="AF1147" s="136" t="str">
        <f t="shared" ca="1" si="96"/>
        <v/>
      </c>
      <c r="AG1147" s="127"/>
      <c r="AH1147" s="127"/>
      <c r="AI1147" s="127"/>
      <c r="AJ1147" s="128"/>
      <c r="AK1147" s="128"/>
      <c r="AL1147" s="129"/>
    </row>
    <row r="1148" spans="1:38" ht="23.25" x14ac:dyDescent="0.25">
      <c r="A1148" s="489" t="str">
        <f t="shared" si="93"/>
        <v/>
      </c>
      <c r="B1148" s="490">
        <v>285</v>
      </c>
      <c r="C1148" s="489"/>
      <c r="D1148" s="491"/>
      <c r="E1148" s="124"/>
      <c r="F1148" s="124"/>
      <c r="G1148" s="251"/>
      <c r="H1148" s="443"/>
      <c r="I1148" s="126"/>
      <c r="J1148" s="47"/>
      <c r="K1148" s="126"/>
      <c r="L1148" s="126"/>
      <c r="M1148" s="104"/>
      <c r="N1148" s="265"/>
      <c r="O1148" s="260"/>
      <c r="P1148" s="106"/>
      <c r="Q1148" s="107"/>
      <c r="R1148" s="244"/>
      <c r="S1148" s="37"/>
      <c r="T1148" s="36" t="str">
        <f t="shared" ca="1" si="94"/>
        <v/>
      </c>
      <c r="U1148" s="37"/>
      <c r="V1148" s="37"/>
      <c r="W1148" s="38"/>
      <c r="X1148" s="39"/>
      <c r="Y1148" s="150"/>
      <c r="Z1148" s="40"/>
      <c r="AA1148" s="136" t="str">
        <f t="shared" ca="1" si="95"/>
        <v/>
      </c>
      <c r="AB1148" s="40"/>
      <c r="AC1148" s="116"/>
      <c r="AD1148" s="116"/>
      <c r="AE1148" s="40"/>
      <c r="AF1148" s="136" t="str">
        <f t="shared" ca="1" si="96"/>
        <v/>
      </c>
      <c r="AG1148" s="127"/>
      <c r="AH1148" s="127"/>
      <c r="AI1148" s="127"/>
      <c r="AJ1148" s="128"/>
      <c r="AK1148" s="128"/>
      <c r="AL1148" s="129"/>
    </row>
    <row r="1149" spans="1:38" ht="23.25" x14ac:dyDescent="0.25">
      <c r="A1149" s="489" t="str">
        <f t="shared" si="93"/>
        <v/>
      </c>
      <c r="B1149" s="490">
        <v>286</v>
      </c>
      <c r="C1149" s="489"/>
      <c r="D1149" s="491"/>
      <c r="E1149" s="124"/>
      <c r="F1149" s="124"/>
      <c r="G1149" s="251"/>
      <c r="H1149" s="443"/>
      <c r="I1149" s="126"/>
      <c r="J1149" s="47"/>
      <c r="K1149" s="126"/>
      <c r="L1149" s="126"/>
      <c r="M1149" s="104"/>
      <c r="N1149" s="265"/>
      <c r="O1149" s="260"/>
      <c r="P1149" s="106"/>
      <c r="Q1149" s="107"/>
      <c r="R1149" s="244"/>
      <c r="S1149" s="37"/>
      <c r="T1149" s="36" t="str">
        <f t="shared" ca="1" si="94"/>
        <v/>
      </c>
      <c r="U1149" s="37"/>
      <c r="V1149" s="37"/>
      <c r="W1149" s="38"/>
      <c r="X1149" s="39"/>
      <c r="Y1149" s="150"/>
      <c r="Z1149" s="40"/>
      <c r="AA1149" s="136" t="str">
        <f t="shared" ca="1" si="95"/>
        <v/>
      </c>
      <c r="AB1149" s="40"/>
      <c r="AC1149" s="116"/>
      <c r="AD1149" s="116"/>
      <c r="AE1149" s="40"/>
      <c r="AF1149" s="136" t="str">
        <f t="shared" ca="1" si="96"/>
        <v/>
      </c>
      <c r="AG1149" s="127"/>
      <c r="AH1149" s="127"/>
      <c r="AI1149" s="127"/>
      <c r="AJ1149" s="128"/>
      <c r="AK1149" s="128"/>
      <c r="AL1149" s="129"/>
    </row>
    <row r="1150" spans="1:38" ht="23.25" x14ac:dyDescent="0.25">
      <c r="A1150" s="489" t="str">
        <f t="shared" si="93"/>
        <v/>
      </c>
      <c r="B1150" s="490">
        <v>287</v>
      </c>
      <c r="C1150" s="489"/>
      <c r="D1150" s="491"/>
      <c r="E1150" s="124"/>
      <c r="F1150" s="124"/>
      <c r="G1150" s="251"/>
      <c r="H1150" s="443"/>
      <c r="I1150" s="126"/>
      <c r="J1150" s="47"/>
      <c r="K1150" s="126"/>
      <c r="L1150" s="126"/>
      <c r="M1150" s="104"/>
      <c r="N1150" s="265"/>
      <c r="O1150" s="260"/>
      <c r="P1150" s="106"/>
      <c r="Q1150" s="107"/>
      <c r="R1150" s="244"/>
      <c r="S1150" s="37"/>
      <c r="T1150" s="36" t="str">
        <f t="shared" ca="1" si="94"/>
        <v/>
      </c>
      <c r="U1150" s="37"/>
      <c r="V1150" s="37"/>
      <c r="W1150" s="38"/>
      <c r="X1150" s="39"/>
      <c r="Y1150" s="150"/>
      <c r="Z1150" s="40"/>
      <c r="AA1150" s="136" t="str">
        <f t="shared" ca="1" si="95"/>
        <v/>
      </c>
      <c r="AB1150" s="40"/>
      <c r="AC1150" s="116"/>
      <c r="AD1150" s="116"/>
      <c r="AE1150" s="40"/>
      <c r="AF1150" s="136" t="str">
        <f t="shared" ca="1" si="96"/>
        <v/>
      </c>
      <c r="AG1150" s="127"/>
      <c r="AH1150" s="127"/>
      <c r="AI1150" s="127"/>
      <c r="AJ1150" s="128"/>
      <c r="AK1150" s="128"/>
      <c r="AL1150" s="129"/>
    </row>
    <row r="1151" spans="1:38" ht="23.25" x14ac:dyDescent="0.25">
      <c r="A1151" s="489" t="str">
        <f t="shared" si="93"/>
        <v/>
      </c>
      <c r="B1151" s="490">
        <v>288</v>
      </c>
      <c r="C1151" s="489"/>
      <c r="D1151" s="491"/>
      <c r="E1151" s="124"/>
      <c r="F1151" s="124"/>
      <c r="G1151" s="251"/>
      <c r="H1151" s="443"/>
      <c r="I1151" s="126"/>
      <c r="J1151" s="47"/>
      <c r="K1151" s="126"/>
      <c r="L1151" s="126"/>
      <c r="M1151" s="104"/>
      <c r="N1151" s="265"/>
      <c r="O1151" s="260"/>
      <c r="P1151" s="106"/>
      <c r="Q1151" s="107"/>
      <c r="R1151" s="244"/>
      <c r="S1151" s="37"/>
      <c r="T1151" s="36" t="str">
        <f t="shared" ca="1" si="94"/>
        <v/>
      </c>
      <c r="U1151" s="37"/>
      <c r="V1151" s="37"/>
      <c r="W1151" s="38"/>
      <c r="X1151" s="39"/>
      <c r="Y1151" s="150"/>
      <c r="Z1151" s="40"/>
      <c r="AA1151" s="136" t="str">
        <f t="shared" ca="1" si="95"/>
        <v/>
      </c>
      <c r="AB1151" s="40"/>
      <c r="AC1151" s="116"/>
      <c r="AD1151" s="116"/>
      <c r="AE1151" s="40"/>
      <c r="AF1151" s="136" t="str">
        <f t="shared" ca="1" si="96"/>
        <v/>
      </c>
      <c r="AG1151" s="127"/>
      <c r="AH1151" s="127"/>
      <c r="AI1151" s="127"/>
      <c r="AJ1151" s="128"/>
      <c r="AK1151" s="128"/>
      <c r="AL1151" s="129"/>
    </row>
    <row r="1152" spans="1:38" ht="23.25" x14ac:dyDescent="0.25">
      <c r="A1152" s="489" t="str">
        <f t="shared" si="93"/>
        <v/>
      </c>
      <c r="B1152" s="490">
        <v>289</v>
      </c>
      <c r="C1152" s="489"/>
      <c r="D1152" s="491"/>
      <c r="E1152" s="124"/>
      <c r="F1152" s="124"/>
      <c r="G1152" s="251"/>
      <c r="H1152" s="443"/>
      <c r="I1152" s="126"/>
      <c r="J1152" s="47"/>
      <c r="K1152" s="126"/>
      <c r="L1152" s="126"/>
      <c r="M1152" s="104"/>
      <c r="N1152" s="265"/>
      <c r="O1152" s="260"/>
      <c r="P1152" s="106"/>
      <c r="Q1152" s="107"/>
      <c r="R1152" s="244"/>
      <c r="S1152" s="37"/>
      <c r="T1152" s="36" t="str">
        <f t="shared" ca="1" si="94"/>
        <v/>
      </c>
      <c r="U1152" s="37"/>
      <c r="V1152" s="37"/>
      <c r="W1152" s="38"/>
      <c r="X1152" s="39"/>
      <c r="Y1152" s="150"/>
      <c r="Z1152" s="40"/>
      <c r="AA1152" s="136" t="str">
        <f t="shared" ca="1" si="95"/>
        <v/>
      </c>
      <c r="AB1152" s="40"/>
      <c r="AC1152" s="116"/>
      <c r="AD1152" s="116"/>
      <c r="AE1152" s="40"/>
      <c r="AF1152" s="136" t="str">
        <f t="shared" ca="1" si="96"/>
        <v/>
      </c>
      <c r="AG1152" s="127"/>
      <c r="AH1152" s="127"/>
      <c r="AI1152" s="127"/>
      <c r="AJ1152" s="128"/>
      <c r="AK1152" s="128"/>
      <c r="AL1152" s="129"/>
    </row>
    <row r="1153" spans="1:38" ht="23.25" x14ac:dyDescent="0.25">
      <c r="A1153" s="489" t="str">
        <f t="shared" si="93"/>
        <v/>
      </c>
      <c r="B1153" s="490">
        <v>290</v>
      </c>
      <c r="C1153" s="489"/>
      <c r="D1153" s="491"/>
      <c r="E1153" s="124"/>
      <c r="F1153" s="124"/>
      <c r="G1153" s="251"/>
      <c r="H1153" s="443"/>
      <c r="I1153" s="126"/>
      <c r="J1153" s="47"/>
      <c r="K1153" s="126"/>
      <c r="L1153" s="126"/>
      <c r="M1153" s="104"/>
      <c r="N1153" s="265"/>
      <c r="O1153" s="260"/>
      <c r="P1153" s="106"/>
      <c r="Q1153" s="107"/>
      <c r="R1153" s="244"/>
      <c r="S1153" s="37"/>
      <c r="T1153" s="36" t="str">
        <f t="shared" ca="1" si="94"/>
        <v/>
      </c>
      <c r="U1153" s="37"/>
      <c r="V1153" s="37"/>
      <c r="W1153" s="38"/>
      <c r="X1153" s="39"/>
      <c r="Y1153" s="150"/>
      <c r="Z1153" s="40"/>
      <c r="AA1153" s="136" t="str">
        <f t="shared" ca="1" si="95"/>
        <v/>
      </c>
      <c r="AB1153" s="40"/>
      <c r="AC1153" s="116"/>
      <c r="AD1153" s="116"/>
      <c r="AE1153" s="40"/>
      <c r="AF1153" s="136" t="str">
        <f t="shared" ca="1" si="96"/>
        <v/>
      </c>
      <c r="AG1153" s="127"/>
      <c r="AH1153" s="127"/>
      <c r="AI1153" s="127"/>
      <c r="AJ1153" s="128"/>
      <c r="AK1153" s="128"/>
      <c r="AL1153" s="129"/>
    </row>
    <row r="1154" spans="1:38" ht="23.25" x14ac:dyDescent="0.25">
      <c r="A1154" s="489" t="str">
        <f t="shared" si="93"/>
        <v/>
      </c>
      <c r="B1154" s="490">
        <v>291</v>
      </c>
      <c r="C1154" s="489"/>
      <c r="D1154" s="491"/>
      <c r="E1154" s="124"/>
      <c r="F1154" s="124"/>
      <c r="G1154" s="251"/>
      <c r="H1154" s="443"/>
      <c r="I1154" s="126"/>
      <c r="J1154" s="47"/>
      <c r="K1154" s="126"/>
      <c r="L1154" s="126"/>
      <c r="M1154" s="104"/>
      <c r="N1154" s="265"/>
      <c r="O1154" s="260"/>
      <c r="P1154" s="106"/>
      <c r="Q1154" s="107"/>
      <c r="R1154" s="244"/>
      <c r="S1154" s="37"/>
      <c r="T1154" s="36" t="str">
        <f t="shared" ca="1" si="94"/>
        <v/>
      </c>
      <c r="U1154" s="37"/>
      <c r="V1154" s="37"/>
      <c r="W1154" s="38"/>
      <c r="X1154" s="39"/>
      <c r="Y1154" s="150"/>
      <c r="Z1154" s="40"/>
      <c r="AA1154" s="136" t="str">
        <f t="shared" ca="1" si="95"/>
        <v/>
      </c>
      <c r="AB1154" s="40"/>
      <c r="AC1154" s="116"/>
      <c r="AD1154" s="116"/>
      <c r="AE1154" s="40"/>
      <c r="AF1154" s="136" t="str">
        <f t="shared" ca="1" si="96"/>
        <v/>
      </c>
      <c r="AG1154" s="127"/>
      <c r="AH1154" s="127"/>
      <c r="AI1154" s="127"/>
      <c r="AJ1154" s="128"/>
      <c r="AK1154" s="128"/>
      <c r="AL1154" s="129"/>
    </row>
    <row r="1155" spans="1:38" ht="23.25" x14ac:dyDescent="0.25">
      <c r="A1155" s="489" t="str">
        <f t="shared" si="93"/>
        <v/>
      </c>
      <c r="B1155" s="490">
        <v>292</v>
      </c>
      <c r="C1155" s="489"/>
      <c r="D1155" s="491"/>
      <c r="E1155" s="124"/>
      <c r="F1155" s="124"/>
      <c r="G1155" s="251"/>
      <c r="H1155" s="443"/>
      <c r="I1155" s="126"/>
      <c r="J1155" s="47"/>
      <c r="K1155" s="126"/>
      <c r="L1155" s="126"/>
      <c r="M1155" s="104"/>
      <c r="N1155" s="265"/>
      <c r="O1155" s="260"/>
      <c r="P1155" s="106"/>
      <c r="Q1155" s="107"/>
      <c r="R1155" s="244"/>
      <c r="S1155" s="37"/>
      <c r="T1155" s="36" t="str">
        <f t="shared" ca="1" si="94"/>
        <v/>
      </c>
      <c r="U1155" s="37"/>
      <c r="V1155" s="37"/>
      <c r="W1155" s="38"/>
      <c r="X1155" s="39"/>
      <c r="Y1155" s="150"/>
      <c r="Z1155" s="40"/>
      <c r="AA1155" s="136" t="str">
        <f t="shared" ca="1" si="95"/>
        <v/>
      </c>
      <c r="AB1155" s="40"/>
      <c r="AC1155" s="116"/>
      <c r="AD1155" s="116"/>
      <c r="AE1155" s="40"/>
      <c r="AF1155" s="136" t="str">
        <f t="shared" ca="1" si="96"/>
        <v/>
      </c>
      <c r="AG1155" s="127"/>
      <c r="AH1155" s="127"/>
      <c r="AI1155" s="127"/>
      <c r="AJ1155" s="128"/>
      <c r="AK1155" s="128"/>
      <c r="AL1155" s="129"/>
    </row>
    <row r="1156" spans="1:38" ht="23.25" x14ac:dyDescent="0.25">
      <c r="A1156" s="489" t="str">
        <f t="shared" ref="A1156:A1219" si="97">IF(C1156="","",CONCATENATE(18,MID(C1156,1,3),IF(B1156&lt;10,"00",),B1156))</f>
        <v/>
      </c>
      <c r="B1156" s="490">
        <v>293</v>
      </c>
      <c r="C1156" s="489"/>
      <c r="D1156" s="491"/>
      <c r="E1156" s="124"/>
      <c r="F1156" s="124"/>
      <c r="G1156" s="251"/>
      <c r="H1156" s="443"/>
      <c r="I1156" s="126"/>
      <c r="J1156" s="47"/>
      <c r="K1156" s="126"/>
      <c r="L1156" s="126"/>
      <c r="M1156" s="104"/>
      <c r="N1156" s="265"/>
      <c r="O1156" s="260"/>
      <c r="P1156" s="106"/>
      <c r="Q1156" s="107"/>
      <c r="R1156" s="244"/>
      <c r="S1156" s="37"/>
      <c r="T1156" s="36" t="str">
        <f t="shared" ca="1" si="94"/>
        <v/>
      </c>
      <c r="U1156" s="37"/>
      <c r="V1156" s="37"/>
      <c r="W1156" s="38"/>
      <c r="X1156" s="39"/>
      <c r="Y1156" s="150"/>
      <c r="Z1156" s="40"/>
      <c r="AA1156" s="136" t="str">
        <f t="shared" ca="1" si="95"/>
        <v/>
      </c>
      <c r="AB1156" s="40"/>
      <c r="AC1156" s="116"/>
      <c r="AD1156" s="116"/>
      <c r="AE1156" s="40"/>
      <c r="AF1156" s="136" t="str">
        <f t="shared" ca="1" si="96"/>
        <v/>
      </c>
      <c r="AG1156" s="127"/>
      <c r="AH1156" s="127"/>
      <c r="AI1156" s="127"/>
      <c r="AJ1156" s="128"/>
      <c r="AK1156" s="128"/>
      <c r="AL1156" s="129"/>
    </row>
    <row r="1157" spans="1:38" ht="23.25" x14ac:dyDescent="0.25">
      <c r="A1157" s="489" t="str">
        <f t="shared" si="97"/>
        <v/>
      </c>
      <c r="B1157" s="490">
        <v>294</v>
      </c>
      <c r="C1157" s="489"/>
      <c r="D1157" s="491"/>
      <c r="E1157" s="124"/>
      <c r="F1157" s="124"/>
      <c r="G1157" s="251"/>
      <c r="H1157" s="443"/>
      <c r="I1157" s="126"/>
      <c r="J1157" s="47"/>
      <c r="K1157" s="126"/>
      <c r="L1157" s="126"/>
      <c r="M1157" s="104"/>
      <c r="N1157" s="265"/>
      <c r="O1157" s="260"/>
      <c r="P1157" s="106"/>
      <c r="Q1157" s="107"/>
      <c r="R1157" s="244"/>
      <c r="S1157" s="37"/>
      <c r="T1157" s="36" t="str">
        <f t="shared" ca="1" si="94"/>
        <v/>
      </c>
      <c r="U1157" s="37"/>
      <c r="V1157" s="37"/>
      <c r="W1157" s="38"/>
      <c r="X1157" s="39"/>
      <c r="Y1157" s="150"/>
      <c r="Z1157" s="40"/>
      <c r="AA1157" s="136" t="str">
        <f t="shared" ca="1" si="95"/>
        <v/>
      </c>
      <c r="AB1157" s="40"/>
      <c r="AC1157" s="116"/>
      <c r="AD1157" s="116"/>
      <c r="AE1157" s="40"/>
      <c r="AF1157" s="136" t="str">
        <f t="shared" ca="1" si="96"/>
        <v/>
      </c>
      <c r="AG1157" s="127"/>
      <c r="AH1157" s="127"/>
      <c r="AI1157" s="127"/>
      <c r="AJ1157" s="128"/>
      <c r="AK1157" s="128"/>
      <c r="AL1157" s="129"/>
    </row>
    <row r="1158" spans="1:38" ht="23.25" x14ac:dyDescent="0.25">
      <c r="A1158" s="489" t="str">
        <f t="shared" si="97"/>
        <v/>
      </c>
      <c r="B1158" s="490">
        <v>295</v>
      </c>
      <c r="C1158" s="489"/>
      <c r="D1158" s="491"/>
      <c r="E1158" s="124"/>
      <c r="F1158" s="124"/>
      <c r="G1158" s="251"/>
      <c r="H1158" s="443"/>
      <c r="I1158" s="126"/>
      <c r="J1158" s="47"/>
      <c r="K1158" s="126"/>
      <c r="L1158" s="126"/>
      <c r="M1158" s="104"/>
      <c r="N1158" s="265"/>
      <c r="O1158" s="260"/>
      <c r="P1158" s="106"/>
      <c r="Q1158" s="107"/>
      <c r="R1158" s="244"/>
      <c r="S1158" s="37"/>
      <c r="T1158" s="36" t="str">
        <f t="shared" ca="1" si="94"/>
        <v/>
      </c>
      <c r="U1158" s="37"/>
      <c r="V1158" s="37"/>
      <c r="W1158" s="38"/>
      <c r="X1158" s="39"/>
      <c r="Y1158" s="150"/>
      <c r="Z1158" s="40"/>
      <c r="AA1158" s="136" t="str">
        <f t="shared" ca="1" si="95"/>
        <v/>
      </c>
      <c r="AB1158" s="40"/>
      <c r="AC1158" s="116"/>
      <c r="AD1158" s="116"/>
      <c r="AE1158" s="40"/>
      <c r="AF1158" s="136" t="str">
        <f t="shared" ca="1" si="96"/>
        <v/>
      </c>
      <c r="AG1158" s="127"/>
      <c r="AH1158" s="127"/>
      <c r="AI1158" s="127"/>
      <c r="AJ1158" s="128"/>
      <c r="AK1158" s="128"/>
      <c r="AL1158" s="129"/>
    </row>
    <row r="1159" spans="1:38" ht="23.25" x14ac:dyDescent="0.25">
      <c r="A1159" s="489" t="str">
        <f t="shared" si="97"/>
        <v/>
      </c>
      <c r="B1159" s="490">
        <v>296</v>
      </c>
      <c r="C1159" s="489"/>
      <c r="D1159" s="491"/>
      <c r="E1159" s="124"/>
      <c r="F1159" s="124"/>
      <c r="G1159" s="251"/>
      <c r="H1159" s="443"/>
      <c r="I1159" s="126"/>
      <c r="J1159" s="47"/>
      <c r="K1159" s="126"/>
      <c r="L1159" s="126"/>
      <c r="M1159" s="104"/>
      <c r="N1159" s="265"/>
      <c r="O1159" s="260"/>
      <c r="P1159" s="106"/>
      <c r="Q1159" s="107"/>
      <c r="R1159" s="244"/>
      <c r="S1159" s="37"/>
      <c r="T1159" s="36" t="str">
        <f t="shared" ca="1" si="94"/>
        <v/>
      </c>
      <c r="U1159" s="37"/>
      <c r="V1159" s="37"/>
      <c r="W1159" s="38"/>
      <c r="X1159" s="39"/>
      <c r="Y1159" s="150"/>
      <c r="Z1159" s="40"/>
      <c r="AA1159" s="136" t="str">
        <f t="shared" ca="1" si="95"/>
        <v/>
      </c>
      <c r="AB1159" s="40"/>
      <c r="AC1159" s="116"/>
      <c r="AD1159" s="116"/>
      <c r="AE1159" s="40"/>
      <c r="AF1159" s="136" t="str">
        <f t="shared" ca="1" si="96"/>
        <v/>
      </c>
      <c r="AG1159" s="127"/>
      <c r="AH1159" s="127"/>
      <c r="AI1159" s="127"/>
      <c r="AJ1159" s="128"/>
      <c r="AK1159" s="128"/>
      <c r="AL1159" s="129"/>
    </row>
    <row r="1160" spans="1:38" ht="23.25" x14ac:dyDescent="0.25">
      <c r="A1160" s="489" t="str">
        <f t="shared" si="97"/>
        <v/>
      </c>
      <c r="B1160" s="490">
        <v>297</v>
      </c>
      <c r="C1160" s="489"/>
      <c r="D1160" s="491"/>
      <c r="E1160" s="124"/>
      <c r="F1160" s="124"/>
      <c r="G1160" s="251"/>
      <c r="H1160" s="443"/>
      <c r="I1160" s="126"/>
      <c r="J1160" s="47"/>
      <c r="K1160" s="126"/>
      <c r="L1160" s="126"/>
      <c r="M1160" s="104"/>
      <c r="N1160" s="265"/>
      <c r="O1160" s="260"/>
      <c r="P1160" s="106"/>
      <c r="Q1160" s="107"/>
      <c r="R1160" s="244"/>
      <c r="S1160" s="37"/>
      <c r="T1160" s="36" t="str">
        <f t="shared" ca="1" si="94"/>
        <v/>
      </c>
      <c r="U1160" s="37"/>
      <c r="V1160" s="37"/>
      <c r="W1160" s="38"/>
      <c r="X1160" s="39"/>
      <c r="Y1160" s="150"/>
      <c r="Z1160" s="40"/>
      <c r="AA1160" s="136" t="str">
        <f t="shared" ca="1" si="95"/>
        <v/>
      </c>
      <c r="AB1160" s="40"/>
      <c r="AC1160" s="116"/>
      <c r="AD1160" s="116"/>
      <c r="AE1160" s="40"/>
      <c r="AF1160" s="136" t="str">
        <f t="shared" ca="1" si="96"/>
        <v/>
      </c>
      <c r="AG1160" s="127"/>
      <c r="AH1160" s="127"/>
      <c r="AI1160" s="127"/>
      <c r="AJ1160" s="128"/>
      <c r="AK1160" s="128"/>
      <c r="AL1160" s="129"/>
    </row>
    <row r="1161" spans="1:38" ht="23.25" x14ac:dyDescent="0.25">
      <c r="A1161" s="489" t="str">
        <f t="shared" si="97"/>
        <v/>
      </c>
      <c r="B1161" s="490">
        <v>298</v>
      </c>
      <c r="C1161" s="489"/>
      <c r="D1161" s="491"/>
      <c r="E1161" s="124"/>
      <c r="F1161" s="124"/>
      <c r="G1161" s="251"/>
      <c r="H1161" s="443"/>
      <c r="I1161" s="126"/>
      <c r="J1161" s="47"/>
      <c r="K1161" s="126"/>
      <c r="L1161" s="126"/>
      <c r="M1161" s="104"/>
      <c r="N1161" s="265"/>
      <c r="O1161" s="260"/>
      <c r="P1161" s="106"/>
      <c r="Q1161" s="107"/>
      <c r="R1161" s="244"/>
      <c r="S1161" s="37"/>
      <c r="T1161" s="36" t="str">
        <f t="shared" ca="1" si="94"/>
        <v/>
      </c>
      <c r="U1161" s="37"/>
      <c r="V1161" s="37"/>
      <c r="W1161" s="38"/>
      <c r="X1161" s="39"/>
      <c r="Y1161" s="150"/>
      <c r="Z1161" s="40"/>
      <c r="AA1161" s="136" t="str">
        <f t="shared" ca="1" si="95"/>
        <v/>
      </c>
      <c r="AB1161" s="40"/>
      <c r="AC1161" s="116"/>
      <c r="AD1161" s="116"/>
      <c r="AE1161" s="40"/>
      <c r="AF1161" s="136" t="str">
        <f t="shared" ca="1" si="96"/>
        <v/>
      </c>
      <c r="AG1161" s="127"/>
      <c r="AH1161" s="127"/>
      <c r="AI1161" s="127"/>
      <c r="AJ1161" s="128"/>
      <c r="AK1161" s="128"/>
      <c r="AL1161" s="129"/>
    </row>
    <row r="1162" spans="1:38" ht="23.25" x14ac:dyDescent="0.25">
      <c r="A1162" s="489" t="str">
        <f t="shared" si="97"/>
        <v/>
      </c>
      <c r="B1162" s="490">
        <v>299</v>
      </c>
      <c r="C1162" s="489"/>
      <c r="D1162" s="491"/>
      <c r="E1162" s="124"/>
      <c r="F1162" s="124"/>
      <c r="G1162" s="251"/>
      <c r="H1162" s="443"/>
      <c r="I1162" s="126"/>
      <c r="J1162" s="47"/>
      <c r="K1162" s="126"/>
      <c r="L1162" s="126"/>
      <c r="M1162" s="104"/>
      <c r="N1162" s="265"/>
      <c r="O1162" s="260"/>
      <c r="P1162" s="106"/>
      <c r="Q1162" s="107"/>
      <c r="R1162" s="244"/>
      <c r="S1162" s="37"/>
      <c r="T1162" s="36" t="str">
        <f t="shared" ca="1" si="94"/>
        <v/>
      </c>
      <c r="U1162" s="37"/>
      <c r="V1162" s="37"/>
      <c r="W1162" s="38"/>
      <c r="X1162" s="39"/>
      <c r="Y1162" s="150"/>
      <c r="Z1162" s="40"/>
      <c r="AA1162" s="136" t="str">
        <f t="shared" ca="1" si="95"/>
        <v/>
      </c>
      <c r="AB1162" s="40"/>
      <c r="AC1162" s="116"/>
      <c r="AD1162" s="116"/>
      <c r="AE1162" s="40"/>
      <c r="AF1162" s="136" t="str">
        <f t="shared" ca="1" si="96"/>
        <v/>
      </c>
      <c r="AG1162" s="127"/>
      <c r="AH1162" s="127"/>
      <c r="AI1162" s="127"/>
      <c r="AJ1162" s="128"/>
      <c r="AK1162" s="128"/>
      <c r="AL1162" s="129"/>
    </row>
    <row r="1163" spans="1:38" ht="23.25" x14ac:dyDescent="0.25">
      <c r="A1163" s="489" t="str">
        <f t="shared" si="97"/>
        <v/>
      </c>
      <c r="B1163" s="490">
        <v>300</v>
      </c>
      <c r="C1163" s="489"/>
      <c r="D1163" s="491"/>
      <c r="E1163" s="124"/>
      <c r="F1163" s="124"/>
      <c r="G1163" s="251"/>
      <c r="H1163" s="443"/>
      <c r="I1163" s="126"/>
      <c r="J1163" s="47"/>
      <c r="K1163" s="126"/>
      <c r="L1163" s="126"/>
      <c r="M1163" s="104"/>
      <c r="N1163" s="265"/>
      <c r="O1163" s="260"/>
      <c r="P1163" s="106"/>
      <c r="Q1163" s="107"/>
      <c r="R1163" s="244"/>
      <c r="S1163" s="37"/>
      <c r="T1163" s="36" t="str">
        <f t="shared" ca="1" si="94"/>
        <v/>
      </c>
      <c r="U1163" s="37"/>
      <c r="V1163" s="37"/>
      <c r="W1163" s="38"/>
      <c r="X1163" s="39"/>
      <c r="Y1163" s="150"/>
      <c r="Z1163" s="40"/>
      <c r="AA1163" s="136" t="str">
        <f t="shared" ca="1" si="95"/>
        <v/>
      </c>
      <c r="AB1163" s="40"/>
      <c r="AC1163" s="116"/>
      <c r="AD1163" s="116"/>
      <c r="AE1163" s="40"/>
      <c r="AF1163" s="136" t="str">
        <f t="shared" ca="1" si="96"/>
        <v/>
      </c>
      <c r="AG1163" s="127"/>
      <c r="AH1163" s="127"/>
      <c r="AI1163" s="127"/>
      <c r="AJ1163" s="128"/>
      <c r="AK1163" s="128"/>
      <c r="AL1163" s="129"/>
    </row>
    <row r="1164" spans="1:38" ht="23.25" x14ac:dyDescent="0.25">
      <c r="A1164" s="489" t="str">
        <f t="shared" si="97"/>
        <v/>
      </c>
      <c r="B1164" s="490">
        <v>301</v>
      </c>
      <c r="C1164" s="489"/>
      <c r="D1164" s="491"/>
      <c r="E1164" s="124"/>
      <c r="F1164" s="124"/>
      <c r="G1164" s="251"/>
      <c r="H1164" s="443"/>
      <c r="I1164" s="126"/>
      <c r="J1164" s="47"/>
      <c r="K1164" s="126"/>
      <c r="L1164" s="126"/>
      <c r="M1164" s="104"/>
      <c r="N1164" s="265"/>
      <c r="O1164" s="260"/>
      <c r="P1164" s="106"/>
      <c r="Q1164" s="107"/>
      <c r="R1164" s="244"/>
      <c r="S1164" s="37"/>
      <c r="T1164" s="36" t="str">
        <f t="shared" ca="1" si="94"/>
        <v/>
      </c>
      <c r="U1164" s="37"/>
      <c r="V1164" s="37"/>
      <c r="W1164" s="38"/>
      <c r="X1164" s="39"/>
      <c r="Y1164" s="150"/>
      <c r="Z1164" s="40"/>
      <c r="AA1164" s="136" t="str">
        <f t="shared" ca="1" si="95"/>
        <v/>
      </c>
      <c r="AB1164" s="40"/>
      <c r="AC1164" s="116"/>
      <c r="AD1164" s="116"/>
      <c r="AE1164" s="40"/>
      <c r="AF1164" s="136" t="str">
        <f t="shared" ca="1" si="96"/>
        <v/>
      </c>
      <c r="AG1164" s="127"/>
      <c r="AH1164" s="127"/>
      <c r="AI1164" s="127"/>
      <c r="AJ1164" s="128"/>
      <c r="AK1164" s="128"/>
      <c r="AL1164" s="129"/>
    </row>
    <row r="1165" spans="1:38" ht="23.25" x14ac:dyDescent="0.25">
      <c r="A1165" s="489" t="str">
        <f t="shared" si="97"/>
        <v/>
      </c>
      <c r="B1165" s="490">
        <v>302</v>
      </c>
      <c r="C1165" s="489"/>
      <c r="D1165" s="491"/>
      <c r="E1165" s="124"/>
      <c r="F1165" s="124"/>
      <c r="G1165" s="251"/>
      <c r="H1165" s="443"/>
      <c r="I1165" s="126"/>
      <c r="J1165" s="47"/>
      <c r="K1165" s="126"/>
      <c r="L1165" s="126"/>
      <c r="M1165" s="104"/>
      <c r="N1165" s="265"/>
      <c r="O1165" s="260"/>
      <c r="P1165" s="106"/>
      <c r="Q1165" s="107"/>
      <c r="R1165" s="244"/>
      <c r="S1165" s="37"/>
      <c r="T1165" s="36" t="str">
        <f t="shared" ca="1" si="94"/>
        <v/>
      </c>
      <c r="U1165" s="37"/>
      <c r="V1165" s="37"/>
      <c r="W1165" s="38"/>
      <c r="X1165" s="39"/>
      <c r="Y1165" s="150"/>
      <c r="Z1165" s="40"/>
      <c r="AA1165" s="136" t="str">
        <f t="shared" ca="1" si="95"/>
        <v/>
      </c>
      <c r="AB1165" s="40"/>
      <c r="AC1165" s="116"/>
      <c r="AD1165" s="116"/>
      <c r="AE1165" s="40"/>
      <c r="AF1165" s="136" t="str">
        <f t="shared" ca="1" si="96"/>
        <v/>
      </c>
      <c r="AG1165" s="127"/>
      <c r="AH1165" s="127"/>
      <c r="AI1165" s="127"/>
      <c r="AJ1165" s="128"/>
      <c r="AK1165" s="128"/>
      <c r="AL1165" s="129"/>
    </row>
    <row r="1166" spans="1:38" ht="23.25" x14ac:dyDescent="0.25">
      <c r="A1166" s="489" t="str">
        <f t="shared" si="97"/>
        <v/>
      </c>
      <c r="B1166" s="490">
        <v>303</v>
      </c>
      <c r="C1166" s="489"/>
      <c r="D1166" s="491"/>
      <c r="E1166" s="124"/>
      <c r="F1166" s="124"/>
      <c r="G1166" s="251"/>
      <c r="H1166" s="443"/>
      <c r="I1166" s="126"/>
      <c r="J1166" s="47"/>
      <c r="K1166" s="126"/>
      <c r="L1166" s="126"/>
      <c r="M1166" s="104"/>
      <c r="N1166" s="265"/>
      <c r="O1166" s="260"/>
      <c r="P1166" s="106"/>
      <c r="Q1166" s="107"/>
      <c r="R1166" s="244"/>
      <c r="S1166" s="37"/>
      <c r="T1166" s="36" t="str">
        <f t="shared" ca="1" si="94"/>
        <v/>
      </c>
      <c r="U1166" s="37"/>
      <c r="V1166" s="37"/>
      <c r="W1166" s="38"/>
      <c r="X1166" s="39"/>
      <c r="Y1166" s="150"/>
      <c r="Z1166" s="40"/>
      <c r="AA1166" s="136" t="str">
        <f t="shared" ca="1" si="95"/>
        <v/>
      </c>
      <c r="AB1166" s="40"/>
      <c r="AC1166" s="116"/>
      <c r="AD1166" s="116"/>
      <c r="AE1166" s="40"/>
      <c r="AF1166" s="136" t="str">
        <f t="shared" ca="1" si="96"/>
        <v/>
      </c>
      <c r="AG1166" s="127"/>
      <c r="AH1166" s="127"/>
      <c r="AI1166" s="127"/>
      <c r="AJ1166" s="128"/>
      <c r="AK1166" s="128"/>
      <c r="AL1166" s="129"/>
    </row>
    <row r="1167" spans="1:38" ht="23.25" x14ac:dyDescent="0.25">
      <c r="A1167" s="489" t="str">
        <f t="shared" si="97"/>
        <v/>
      </c>
      <c r="B1167" s="490">
        <v>304</v>
      </c>
      <c r="C1167" s="489"/>
      <c r="D1167" s="491"/>
      <c r="E1167" s="124"/>
      <c r="F1167" s="124"/>
      <c r="G1167" s="251"/>
      <c r="H1167" s="443"/>
      <c r="I1167" s="126"/>
      <c r="J1167" s="47"/>
      <c r="K1167" s="126"/>
      <c r="L1167" s="126"/>
      <c r="M1167" s="104"/>
      <c r="N1167" s="265"/>
      <c r="O1167" s="260"/>
      <c r="P1167" s="106"/>
      <c r="Q1167" s="107"/>
      <c r="R1167" s="244"/>
      <c r="S1167" s="37"/>
      <c r="T1167" s="36" t="str">
        <f t="shared" ca="1" si="94"/>
        <v/>
      </c>
      <c r="U1167" s="37"/>
      <c r="V1167" s="37"/>
      <c r="W1167" s="38"/>
      <c r="X1167" s="39"/>
      <c r="Y1167" s="150"/>
      <c r="Z1167" s="40"/>
      <c r="AA1167" s="136" t="str">
        <f t="shared" ca="1" si="95"/>
        <v/>
      </c>
      <c r="AB1167" s="40"/>
      <c r="AC1167" s="116"/>
      <c r="AD1167" s="116"/>
      <c r="AE1167" s="40"/>
      <c r="AF1167" s="136" t="str">
        <f t="shared" ca="1" si="96"/>
        <v/>
      </c>
      <c r="AG1167" s="127"/>
      <c r="AH1167" s="127"/>
      <c r="AI1167" s="127"/>
      <c r="AJ1167" s="128"/>
      <c r="AK1167" s="128"/>
      <c r="AL1167" s="129"/>
    </row>
    <row r="1168" spans="1:38" ht="23.25" x14ac:dyDescent="0.25">
      <c r="A1168" s="489" t="str">
        <f t="shared" si="97"/>
        <v/>
      </c>
      <c r="B1168" s="490">
        <v>305</v>
      </c>
      <c r="C1168" s="489"/>
      <c r="D1168" s="491"/>
      <c r="E1168" s="124"/>
      <c r="F1168" s="124"/>
      <c r="G1168" s="251"/>
      <c r="H1168" s="443"/>
      <c r="I1168" s="126"/>
      <c r="J1168" s="47"/>
      <c r="K1168" s="126"/>
      <c r="L1168" s="126"/>
      <c r="M1168" s="104"/>
      <c r="N1168" s="265"/>
      <c r="O1168" s="260"/>
      <c r="P1168" s="106"/>
      <c r="Q1168" s="107"/>
      <c r="R1168" s="244"/>
      <c r="S1168" s="37"/>
      <c r="T1168" s="36" t="str">
        <f t="shared" ref="T1168:T1231" ca="1" si="98">IF(S1168="","",IF(S1168=0,"Empty",IF(O1168="","",IF(O1168,DAYS360(O1168,TODAY())))))</f>
        <v/>
      </c>
      <c r="U1168" s="37"/>
      <c r="V1168" s="37"/>
      <c r="W1168" s="38"/>
      <c r="X1168" s="39"/>
      <c r="Y1168" s="150"/>
      <c r="Z1168" s="40"/>
      <c r="AA1168" s="136" t="str">
        <f t="shared" ref="AA1168:AA1231" ca="1" si="99">IF(W1168="","",IF(W1168,DAYS360(W1168,TODAY())))</f>
        <v/>
      </c>
      <c r="AB1168" s="40"/>
      <c r="AC1168" s="116"/>
      <c r="AD1168" s="116"/>
      <c r="AE1168" s="40"/>
      <c r="AF1168" s="136" t="str">
        <f t="shared" ref="AF1168:AF1231" ca="1" si="100">IF(AB1168="","",IF(AB1168,DAYS360(AB1168,TODAY())))</f>
        <v/>
      </c>
      <c r="AG1168" s="127"/>
      <c r="AH1168" s="127"/>
      <c r="AI1168" s="127"/>
      <c r="AJ1168" s="128"/>
      <c r="AK1168" s="128"/>
      <c r="AL1168" s="129"/>
    </row>
    <row r="1169" spans="1:38" ht="23.25" x14ac:dyDescent="0.25">
      <c r="A1169" s="489" t="str">
        <f t="shared" si="97"/>
        <v/>
      </c>
      <c r="B1169" s="490">
        <v>306</v>
      </c>
      <c r="C1169" s="489"/>
      <c r="D1169" s="491"/>
      <c r="E1169" s="124"/>
      <c r="F1169" s="124"/>
      <c r="G1169" s="251"/>
      <c r="H1169" s="443"/>
      <c r="I1169" s="126"/>
      <c r="J1169" s="47"/>
      <c r="K1169" s="126"/>
      <c r="L1169" s="126"/>
      <c r="M1169" s="104"/>
      <c r="N1169" s="265"/>
      <c r="O1169" s="260"/>
      <c r="P1169" s="106"/>
      <c r="Q1169" s="107"/>
      <c r="R1169" s="244"/>
      <c r="S1169" s="37"/>
      <c r="T1169" s="36" t="str">
        <f t="shared" ca="1" si="98"/>
        <v/>
      </c>
      <c r="U1169" s="37"/>
      <c r="V1169" s="37"/>
      <c r="W1169" s="38"/>
      <c r="X1169" s="39"/>
      <c r="Y1169" s="150"/>
      <c r="Z1169" s="40"/>
      <c r="AA1169" s="136" t="str">
        <f t="shared" ca="1" si="99"/>
        <v/>
      </c>
      <c r="AB1169" s="40"/>
      <c r="AC1169" s="116"/>
      <c r="AD1169" s="116"/>
      <c r="AE1169" s="40"/>
      <c r="AF1169" s="136" t="str">
        <f t="shared" ca="1" si="100"/>
        <v/>
      </c>
      <c r="AG1169" s="127"/>
      <c r="AH1169" s="127"/>
      <c r="AI1169" s="127"/>
      <c r="AJ1169" s="128"/>
      <c r="AK1169" s="128"/>
      <c r="AL1169" s="129"/>
    </row>
    <row r="1170" spans="1:38" ht="23.25" x14ac:dyDescent="0.25">
      <c r="A1170" s="489" t="str">
        <f t="shared" si="97"/>
        <v/>
      </c>
      <c r="B1170" s="490">
        <v>307</v>
      </c>
      <c r="C1170" s="489"/>
      <c r="D1170" s="491"/>
      <c r="E1170" s="124"/>
      <c r="F1170" s="124"/>
      <c r="G1170" s="251"/>
      <c r="H1170" s="443"/>
      <c r="I1170" s="126"/>
      <c r="J1170" s="47"/>
      <c r="K1170" s="126"/>
      <c r="L1170" s="126"/>
      <c r="M1170" s="104"/>
      <c r="N1170" s="265"/>
      <c r="O1170" s="260"/>
      <c r="P1170" s="106"/>
      <c r="Q1170" s="107"/>
      <c r="R1170" s="244"/>
      <c r="S1170" s="37"/>
      <c r="T1170" s="36" t="str">
        <f t="shared" ca="1" si="98"/>
        <v/>
      </c>
      <c r="U1170" s="37"/>
      <c r="V1170" s="37"/>
      <c r="W1170" s="38"/>
      <c r="X1170" s="39"/>
      <c r="Y1170" s="150"/>
      <c r="Z1170" s="40"/>
      <c r="AA1170" s="136" t="str">
        <f t="shared" ca="1" si="99"/>
        <v/>
      </c>
      <c r="AB1170" s="40"/>
      <c r="AC1170" s="116"/>
      <c r="AD1170" s="116"/>
      <c r="AE1170" s="40"/>
      <c r="AF1170" s="136" t="str">
        <f t="shared" ca="1" si="100"/>
        <v/>
      </c>
      <c r="AG1170" s="127"/>
      <c r="AH1170" s="127"/>
      <c r="AI1170" s="127"/>
      <c r="AJ1170" s="128"/>
      <c r="AK1170" s="128"/>
      <c r="AL1170" s="129"/>
    </row>
    <row r="1171" spans="1:38" ht="23.25" x14ac:dyDescent="0.25">
      <c r="A1171" s="489" t="str">
        <f t="shared" si="97"/>
        <v/>
      </c>
      <c r="B1171" s="490">
        <v>308</v>
      </c>
      <c r="C1171" s="489"/>
      <c r="D1171" s="491"/>
      <c r="E1171" s="124"/>
      <c r="F1171" s="124"/>
      <c r="G1171" s="251"/>
      <c r="H1171" s="443"/>
      <c r="I1171" s="126"/>
      <c r="J1171" s="47"/>
      <c r="K1171" s="126"/>
      <c r="L1171" s="126"/>
      <c r="M1171" s="104"/>
      <c r="N1171" s="265"/>
      <c r="O1171" s="260"/>
      <c r="P1171" s="106"/>
      <c r="Q1171" s="107"/>
      <c r="R1171" s="244"/>
      <c r="S1171" s="37"/>
      <c r="T1171" s="36" t="str">
        <f t="shared" ca="1" si="98"/>
        <v/>
      </c>
      <c r="U1171" s="37"/>
      <c r="V1171" s="37"/>
      <c r="W1171" s="38"/>
      <c r="X1171" s="39"/>
      <c r="Y1171" s="150"/>
      <c r="Z1171" s="40"/>
      <c r="AA1171" s="136" t="str">
        <f t="shared" ca="1" si="99"/>
        <v/>
      </c>
      <c r="AB1171" s="40"/>
      <c r="AC1171" s="116"/>
      <c r="AD1171" s="116"/>
      <c r="AE1171" s="40"/>
      <c r="AF1171" s="136" t="str">
        <f t="shared" ca="1" si="100"/>
        <v/>
      </c>
      <c r="AG1171" s="127"/>
      <c r="AH1171" s="127"/>
      <c r="AI1171" s="127"/>
      <c r="AJ1171" s="128"/>
      <c r="AK1171" s="128"/>
      <c r="AL1171" s="129"/>
    </row>
    <row r="1172" spans="1:38" ht="23.25" x14ac:dyDescent="0.25">
      <c r="A1172" s="489" t="str">
        <f t="shared" si="97"/>
        <v/>
      </c>
      <c r="B1172" s="490">
        <v>309</v>
      </c>
      <c r="C1172" s="489"/>
      <c r="D1172" s="491"/>
      <c r="E1172" s="124"/>
      <c r="F1172" s="124"/>
      <c r="G1172" s="251"/>
      <c r="H1172" s="443"/>
      <c r="I1172" s="126"/>
      <c r="J1172" s="47"/>
      <c r="K1172" s="126"/>
      <c r="L1172" s="126"/>
      <c r="M1172" s="104"/>
      <c r="N1172" s="265"/>
      <c r="O1172" s="260"/>
      <c r="P1172" s="106"/>
      <c r="Q1172" s="107"/>
      <c r="R1172" s="244"/>
      <c r="S1172" s="37"/>
      <c r="T1172" s="36" t="str">
        <f t="shared" ca="1" si="98"/>
        <v/>
      </c>
      <c r="U1172" s="37"/>
      <c r="V1172" s="37"/>
      <c r="W1172" s="38"/>
      <c r="X1172" s="39"/>
      <c r="Y1172" s="150"/>
      <c r="Z1172" s="40"/>
      <c r="AA1172" s="136" t="str">
        <f t="shared" ca="1" si="99"/>
        <v/>
      </c>
      <c r="AB1172" s="40"/>
      <c r="AC1172" s="116"/>
      <c r="AD1172" s="116"/>
      <c r="AE1172" s="40"/>
      <c r="AF1172" s="136" t="str">
        <f t="shared" ca="1" si="100"/>
        <v/>
      </c>
      <c r="AG1172" s="127"/>
      <c r="AH1172" s="127"/>
      <c r="AI1172" s="127"/>
      <c r="AJ1172" s="128"/>
      <c r="AK1172" s="128"/>
      <c r="AL1172" s="129"/>
    </row>
    <row r="1173" spans="1:38" ht="23.25" x14ac:dyDescent="0.25">
      <c r="A1173" s="489" t="str">
        <f t="shared" si="97"/>
        <v/>
      </c>
      <c r="B1173" s="490">
        <v>310</v>
      </c>
      <c r="C1173" s="489"/>
      <c r="D1173" s="491"/>
      <c r="E1173" s="124"/>
      <c r="F1173" s="124"/>
      <c r="G1173" s="251"/>
      <c r="H1173" s="443"/>
      <c r="I1173" s="126"/>
      <c r="J1173" s="47"/>
      <c r="K1173" s="126"/>
      <c r="L1173" s="126"/>
      <c r="M1173" s="104"/>
      <c r="N1173" s="265"/>
      <c r="O1173" s="260"/>
      <c r="P1173" s="106"/>
      <c r="Q1173" s="107"/>
      <c r="R1173" s="244"/>
      <c r="S1173" s="37"/>
      <c r="T1173" s="36" t="str">
        <f t="shared" ca="1" si="98"/>
        <v/>
      </c>
      <c r="U1173" s="37"/>
      <c r="V1173" s="37"/>
      <c r="W1173" s="38"/>
      <c r="X1173" s="39"/>
      <c r="Y1173" s="150"/>
      <c r="Z1173" s="40"/>
      <c r="AA1173" s="136" t="str">
        <f t="shared" ca="1" si="99"/>
        <v/>
      </c>
      <c r="AB1173" s="40"/>
      <c r="AC1173" s="116"/>
      <c r="AD1173" s="116"/>
      <c r="AE1173" s="40"/>
      <c r="AF1173" s="136" t="str">
        <f t="shared" ca="1" si="100"/>
        <v/>
      </c>
      <c r="AG1173" s="127"/>
      <c r="AH1173" s="127"/>
      <c r="AI1173" s="127"/>
      <c r="AJ1173" s="128"/>
      <c r="AK1173" s="128"/>
      <c r="AL1173" s="129"/>
    </row>
    <row r="1174" spans="1:38" ht="23.25" x14ac:dyDescent="0.25">
      <c r="A1174" s="489" t="str">
        <f t="shared" si="97"/>
        <v/>
      </c>
      <c r="B1174" s="490">
        <v>311</v>
      </c>
      <c r="C1174" s="489"/>
      <c r="D1174" s="491"/>
      <c r="E1174" s="124"/>
      <c r="F1174" s="124"/>
      <c r="G1174" s="251"/>
      <c r="H1174" s="443"/>
      <c r="I1174" s="126"/>
      <c r="J1174" s="47"/>
      <c r="K1174" s="126"/>
      <c r="L1174" s="126"/>
      <c r="M1174" s="104"/>
      <c r="N1174" s="265"/>
      <c r="O1174" s="260"/>
      <c r="P1174" s="106"/>
      <c r="Q1174" s="107"/>
      <c r="R1174" s="244"/>
      <c r="S1174" s="37"/>
      <c r="T1174" s="36" t="str">
        <f t="shared" ca="1" si="98"/>
        <v/>
      </c>
      <c r="U1174" s="37"/>
      <c r="V1174" s="37"/>
      <c r="W1174" s="38"/>
      <c r="X1174" s="39"/>
      <c r="Y1174" s="150"/>
      <c r="Z1174" s="40"/>
      <c r="AA1174" s="136" t="str">
        <f t="shared" ca="1" si="99"/>
        <v/>
      </c>
      <c r="AB1174" s="40"/>
      <c r="AC1174" s="116"/>
      <c r="AD1174" s="116"/>
      <c r="AE1174" s="40"/>
      <c r="AF1174" s="136" t="str">
        <f t="shared" ca="1" si="100"/>
        <v/>
      </c>
      <c r="AG1174" s="127"/>
      <c r="AH1174" s="127"/>
      <c r="AI1174" s="127"/>
      <c r="AJ1174" s="128"/>
      <c r="AK1174" s="128"/>
      <c r="AL1174" s="129"/>
    </row>
    <row r="1175" spans="1:38" ht="23.25" x14ac:dyDescent="0.25">
      <c r="A1175" s="489" t="str">
        <f t="shared" si="97"/>
        <v/>
      </c>
      <c r="B1175" s="490">
        <v>312</v>
      </c>
      <c r="C1175" s="489"/>
      <c r="D1175" s="491"/>
      <c r="E1175" s="124"/>
      <c r="F1175" s="124"/>
      <c r="G1175" s="251"/>
      <c r="H1175" s="443"/>
      <c r="I1175" s="126"/>
      <c r="J1175" s="47"/>
      <c r="K1175" s="126"/>
      <c r="L1175" s="126"/>
      <c r="M1175" s="104"/>
      <c r="N1175" s="265"/>
      <c r="O1175" s="260"/>
      <c r="P1175" s="106"/>
      <c r="Q1175" s="107"/>
      <c r="R1175" s="244"/>
      <c r="S1175" s="37"/>
      <c r="T1175" s="36" t="str">
        <f t="shared" ca="1" si="98"/>
        <v/>
      </c>
      <c r="U1175" s="37"/>
      <c r="V1175" s="37"/>
      <c r="W1175" s="38"/>
      <c r="X1175" s="39"/>
      <c r="Y1175" s="150"/>
      <c r="Z1175" s="40"/>
      <c r="AA1175" s="136" t="str">
        <f t="shared" ca="1" si="99"/>
        <v/>
      </c>
      <c r="AB1175" s="40"/>
      <c r="AC1175" s="116"/>
      <c r="AD1175" s="116"/>
      <c r="AE1175" s="40"/>
      <c r="AF1175" s="136" t="str">
        <f t="shared" ca="1" si="100"/>
        <v/>
      </c>
      <c r="AG1175" s="127"/>
      <c r="AH1175" s="127"/>
      <c r="AI1175" s="127"/>
      <c r="AJ1175" s="128"/>
      <c r="AK1175" s="128"/>
      <c r="AL1175" s="129"/>
    </row>
    <row r="1176" spans="1:38" ht="23.25" x14ac:dyDescent="0.25">
      <c r="A1176" s="489" t="str">
        <f t="shared" si="97"/>
        <v/>
      </c>
      <c r="B1176" s="490">
        <v>313</v>
      </c>
      <c r="C1176" s="489"/>
      <c r="D1176" s="491"/>
      <c r="E1176" s="124"/>
      <c r="F1176" s="124"/>
      <c r="G1176" s="251"/>
      <c r="H1176" s="443"/>
      <c r="I1176" s="126"/>
      <c r="J1176" s="47"/>
      <c r="K1176" s="126"/>
      <c r="L1176" s="126"/>
      <c r="M1176" s="104"/>
      <c r="N1176" s="265"/>
      <c r="O1176" s="260"/>
      <c r="P1176" s="106"/>
      <c r="Q1176" s="107"/>
      <c r="R1176" s="244"/>
      <c r="S1176" s="37"/>
      <c r="T1176" s="36" t="str">
        <f t="shared" ca="1" si="98"/>
        <v/>
      </c>
      <c r="U1176" s="37"/>
      <c r="V1176" s="37"/>
      <c r="W1176" s="38"/>
      <c r="X1176" s="39"/>
      <c r="Y1176" s="150"/>
      <c r="Z1176" s="40"/>
      <c r="AA1176" s="136" t="str">
        <f t="shared" ca="1" si="99"/>
        <v/>
      </c>
      <c r="AB1176" s="40"/>
      <c r="AC1176" s="116"/>
      <c r="AD1176" s="116"/>
      <c r="AE1176" s="40"/>
      <c r="AF1176" s="136" t="str">
        <f t="shared" ca="1" si="100"/>
        <v/>
      </c>
      <c r="AG1176" s="127"/>
      <c r="AH1176" s="127"/>
      <c r="AI1176" s="127"/>
      <c r="AJ1176" s="128"/>
      <c r="AK1176" s="128"/>
      <c r="AL1176" s="129"/>
    </row>
    <row r="1177" spans="1:38" ht="23.25" x14ac:dyDescent="0.25">
      <c r="A1177" s="489" t="str">
        <f t="shared" si="97"/>
        <v/>
      </c>
      <c r="B1177" s="490">
        <v>314</v>
      </c>
      <c r="C1177" s="489"/>
      <c r="D1177" s="491"/>
      <c r="E1177" s="124"/>
      <c r="F1177" s="124"/>
      <c r="G1177" s="251"/>
      <c r="H1177" s="443"/>
      <c r="I1177" s="126"/>
      <c r="J1177" s="47"/>
      <c r="K1177" s="126"/>
      <c r="L1177" s="126"/>
      <c r="M1177" s="104"/>
      <c r="N1177" s="265"/>
      <c r="O1177" s="260"/>
      <c r="P1177" s="106"/>
      <c r="Q1177" s="107"/>
      <c r="R1177" s="244"/>
      <c r="S1177" s="37"/>
      <c r="T1177" s="36" t="str">
        <f t="shared" ca="1" si="98"/>
        <v/>
      </c>
      <c r="U1177" s="37"/>
      <c r="V1177" s="37"/>
      <c r="W1177" s="38"/>
      <c r="X1177" s="39"/>
      <c r="Y1177" s="150"/>
      <c r="Z1177" s="40"/>
      <c r="AA1177" s="136" t="str">
        <f t="shared" ca="1" si="99"/>
        <v/>
      </c>
      <c r="AB1177" s="40"/>
      <c r="AC1177" s="116"/>
      <c r="AD1177" s="116"/>
      <c r="AE1177" s="40"/>
      <c r="AF1177" s="136" t="str">
        <f t="shared" ca="1" si="100"/>
        <v/>
      </c>
      <c r="AG1177" s="127"/>
      <c r="AH1177" s="127"/>
      <c r="AI1177" s="127"/>
      <c r="AJ1177" s="128"/>
      <c r="AK1177" s="128"/>
      <c r="AL1177" s="129"/>
    </row>
    <row r="1178" spans="1:38" ht="23.25" x14ac:dyDescent="0.25">
      <c r="A1178" s="489" t="str">
        <f t="shared" si="97"/>
        <v/>
      </c>
      <c r="B1178" s="490">
        <v>315</v>
      </c>
      <c r="C1178" s="489"/>
      <c r="D1178" s="491"/>
      <c r="E1178" s="124"/>
      <c r="F1178" s="124"/>
      <c r="G1178" s="251"/>
      <c r="H1178" s="443"/>
      <c r="I1178" s="126"/>
      <c r="J1178" s="47"/>
      <c r="K1178" s="126"/>
      <c r="L1178" s="126"/>
      <c r="M1178" s="104"/>
      <c r="N1178" s="265"/>
      <c r="O1178" s="260"/>
      <c r="P1178" s="106"/>
      <c r="Q1178" s="107"/>
      <c r="R1178" s="244"/>
      <c r="S1178" s="37"/>
      <c r="T1178" s="36" t="str">
        <f t="shared" ca="1" si="98"/>
        <v/>
      </c>
      <c r="U1178" s="37"/>
      <c r="V1178" s="37"/>
      <c r="W1178" s="38"/>
      <c r="X1178" s="39"/>
      <c r="Y1178" s="150"/>
      <c r="Z1178" s="40"/>
      <c r="AA1178" s="136" t="str">
        <f t="shared" ca="1" si="99"/>
        <v/>
      </c>
      <c r="AB1178" s="40"/>
      <c r="AC1178" s="116"/>
      <c r="AD1178" s="116"/>
      <c r="AE1178" s="40"/>
      <c r="AF1178" s="136" t="str">
        <f t="shared" ca="1" si="100"/>
        <v/>
      </c>
      <c r="AG1178" s="127"/>
      <c r="AH1178" s="127"/>
      <c r="AI1178" s="127"/>
      <c r="AJ1178" s="128"/>
      <c r="AK1178" s="128"/>
      <c r="AL1178" s="129"/>
    </row>
    <row r="1179" spans="1:38" ht="23.25" x14ac:dyDescent="0.25">
      <c r="A1179" s="489" t="str">
        <f t="shared" si="97"/>
        <v/>
      </c>
      <c r="B1179" s="490">
        <v>316</v>
      </c>
      <c r="C1179" s="489"/>
      <c r="D1179" s="491"/>
      <c r="E1179" s="124"/>
      <c r="F1179" s="124"/>
      <c r="G1179" s="251"/>
      <c r="H1179" s="443"/>
      <c r="I1179" s="126"/>
      <c r="J1179" s="47"/>
      <c r="K1179" s="126"/>
      <c r="L1179" s="126"/>
      <c r="M1179" s="104"/>
      <c r="N1179" s="265"/>
      <c r="O1179" s="260"/>
      <c r="P1179" s="106"/>
      <c r="Q1179" s="107"/>
      <c r="R1179" s="244"/>
      <c r="S1179" s="37"/>
      <c r="T1179" s="36" t="str">
        <f t="shared" ca="1" si="98"/>
        <v/>
      </c>
      <c r="U1179" s="37"/>
      <c r="V1179" s="37"/>
      <c r="W1179" s="38"/>
      <c r="X1179" s="39"/>
      <c r="Y1179" s="150"/>
      <c r="Z1179" s="40"/>
      <c r="AA1179" s="136" t="str">
        <f t="shared" ca="1" si="99"/>
        <v/>
      </c>
      <c r="AB1179" s="40"/>
      <c r="AC1179" s="116"/>
      <c r="AD1179" s="116"/>
      <c r="AE1179" s="40"/>
      <c r="AF1179" s="136" t="str">
        <f t="shared" ca="1" si="100"/>
        <v/>
      </c>
      <c r="AG1179" s="127"/>
      <c r="AH1179" s="127"/>
      <c r="AI1179" s="127"/>
      <c r="AJ1179" s="128"/>
      <c r="AK1179" s="128"/>
      <c r="AL1179" s="129"/>
    </row>
    <row r="1180" spans="1:38" ht="23.25" x14ac:dyDescent="0.25">
      <c r="A1180" s="489" t="str">
        <f t="shared" si="97"/>
        <v/>
      </c>
      <c r="B1180" s="490">
        <v>317</v>
      </c>
      <c r="C1180" s="489"/>
      <c r="D1180" s="491"/>
      <c r="E1180" s="124"/>
      <c r="F1180" s="124"/>
      <c r="G1180" s="251"/>
      <c r="H1180" s="443"/>
      <c r="I1180" s="126"/>
      <c r="J1180" s="47"/>
      <c r="K1180" s="126"/>
      <c r="L1180" s="126"/>
      <c r="M1180" s="104"/>
      <c r="N1180" s="265"/>
      <c r="O1180" s="260"/>
      <c r="P1180" s="106"/>
      <c r="Q1180" s="107"/>
      <c r="R1180" s="244"/>
      <c r="S1180" s="37"/>
      <c r="T1180" s="36" t="str">
        <f t="shared" ca="1" si="98"/>
        <v/>
      </c>
      <c r="U1180" s="37"/>
      <c r="V1180" s="37"/>
      <c r="W1180" s="38"/>
      <c r="X1180" s="39"/>
      <c r="Y1180" s="150"/>
      <c r="Z1180" s="40"/>
      <c r="AA1180" s="136" t="str">
        <f t="shared" ca="1" si="99"/>
        <v/>
      </c>
      <c r="AB1180" s="40"/>
      <c r="AC1180" s="116"/>
      <c r="AD1180" s="116"/>
      <c r="AE1180" s="40"/>
      <c r="AF1180" s="136" t="str">
        <f t="shared" ca="1" si="100"/>
        <v/>
      </c>
      <c r="AG1180" s="127"/>
      <c r="AH1180" s="127"/>
      <c r="AI1180" s="127"/>
      <c r="AJ1180" s="128"/>
      <c r="AK1180" s="128"/>
      <c r="AL1180" s="129"/>
    </row>
    <row r="1181" spans="1:38" ht="23.25" x14ac:dyDescent="0.25">
      <c r="A1181" s="489" t="str">
        <f t="shared" si="97"/>
        <v/>
      </c>
      <c r="B1181" s="490">
        <v>318</v>
      </c>
      <c r="C1181" s="489"/>
      <c r="D1181" s="491"/>
      <c r="E1181" s="124"/>
      <c r="F1181" s="124"/>
      <c r="G1181" s="251"/>
      <c r="H1181" s="443"/>
      <c r="I1181" s="126"/>
      <c r="J1181" s="47"/>
      <c r="K1181" s="126"/>
      <c r="L1181" s="126"/>
      <c r="M1181" s="104"/>
      <c r="N1181" s="265"/>
      <c r="O1181" s="260"/>
      <c r="P1181" s="106"/>
      <c r="Q1181" s="107"/>
      <c r="R1181" s="244"/>
      <c r="S1181" s="37"/>
      <c r="T1181" s="36" t="str">
        <f t="shared" ca="1" si="98"/>
        <v/>
      </c>
      <c r="U1181" s="37"/>
      <c r="V1181" s="37"/>
      <c r="W1181" s="38"/>
      <c r="X1181" s="39"/>
      <c r="Y1181" s="150"/>
      <c r="Z1181" s="40"/>
      <c r="AA1181" s="136" t="str">
        <f t="shared" ca="1" si="99"/>
        <v/>
      </c>
      <c r="AB1181" s="40"/>
      <c r="AC1181" s="116"/>
      <c r="AD1181" s="116"/>
      <c r="AE1181" s="40"/>
      <c r="AF1181" s="136" t="str">
        <f t="shared" ca="1" si="100"/>
        <v/>
      </c>
      <c r="AG1181" s="127"/>
      <c r="AH1181" s="127"/>
      <c r="AI1181" s="127"/>
      <c r="AJ1181" s="128"/>
      <c r="AK1181" s="128"/>
      <c r="AL1181" s="129"/>
    </row>
    <row r="1182" spans="1:38" ht="23.25" x14ac:dyDescent="0.25">
      <c r="A1182" s="489" t="str">
        <f t="shared" si="97"/>
        <v/>
      </c>
      <c r="B1182" s="490">
        <v>319</v>
      </c>
      <c r="C1182" s="489"/>
      <c r="D1182" s="491"/>
      <c r="E1182" s="124"/>
      <c r="F1182" s="124"/>
      <c r="G1182" s="251"/>
      <c r="H1182" s="443"/>
      <c r="I1182" s="126"/>
      <c r="J1182" s="47"/>
      <c r="K1182" s="126"/>
      <c r="L1182" s="126"/>
      <c r="M1182" s="104"/>
      <c r="N1182" s="265"/>
      <c r="O1182" s="260"/>
      <c r="P1182" s="106"/>
      <c r="Q1182" s="107"/>
      <c r="R1182" s="244"/>
      <c r="S1182" s="37"/>
      <c r="T1182" s="36" t="str">
        <f t="shared" ca="1" si="98"/>
        <v/>
      </c>
      <c r="U1182" s="37"/>
      <c r="V1182" s="37"/>
      <c r="W1182" s="38"/>
      <c r="X1182" s="39"/>
      <c r="Y1182" s="150"/>
      <c r="Z1182" s="40"/>
      <c r="AA1182" s="136" t="str">
        <f t="shared" ca="1" si="99"/>
        <v/>
      </c>
      <c r="AB1182" s="40"/>
      <c r="AC1182" s="116"/>
      <c r="AD1182" s="116"/>
      <c r="AE1182" s="40"/>
      <c r="AF1182" s="136" t="str">
        <f t="shared" ca="1" si="100"/>
        <v/>
      </c>
      <c r="AG1182" s="127"/>
      <c r="AH1182" s="127"/>
      <c r="AI1182" s="127"/>
      <c r="AJ1182" s="128"/>
      <c r="AK1182" s="128"/>
      <c r="AL1182" s="129"/>
    </row>
    <row r="1183" spans="1:38" ht="23.25" x14ac:dyDescent="0.25">
      <c r="A1183" s="489" t="str">
        <f t="shared" si="97"/>
        <v/>
      </c>
      <c r="B1183" s="490">
        <v>320</v>
      </c>
      <c r="C1183" s="489"/>
      <c r="D1183" s="491"/>
      <c r="E1183" s="124"/>
      <c r="F1183" s="124"/>
      <c r="G1183" s="251"/>
      <c r="H1183" s="443"/>
      <c r="I1183" s="126"/>
      <c r="J1183" s="47"/>
      <c r="K1183" s="126"/>
      <c r="L1183" s="126"/>
      <c r="M1183" s="104"/>
      <c r="N1183" s="265"/>
      <c r="O1183" s="260"/>
      <c r="P1183" s="106"/>
      <c r="Q1183" s="107"/>
      <c r="R1183" s="244"/>
      <c r="S1183" s="37"/>
      <c r="T1183" s="36" t="str">
        <f t="shared" ca="1" si="98"/>
        <v/>
      </c>
      <c r="U1183" s="37"/>
      <c r="V1183" s="37"/>
      <c r="W1183" s="38"/>
      <c r="X1183" s="39"/>
      <c r="Y1183" s="150"/>
      <c r="Z1183" s="40"/>
      <c r="AA1183" s="136" t="str">
        <f t="shared" ca="1" si="99"/>
        <v/>
      </c>
      <c r="AB1183" s="40"/>
      <c r="AC1183" s="116"/>
      <c r="AD1183" s="116"/>
      <c r="AE1183" s="40"/>
      <c r="AF1183" s="136" t="str">
        <f t="shared" ca="1" si="100"/>
        <v/>
      </c>
      <c r="AG1183" s="127"/>
      <c r="AH1183" s="127"/>
      <c r="AI1183" s="127"/>
      <c r="AJ1183" s="128"/>
      <c r="AK1183" s="128"/>
      <c r="AL1183" s="129"/>
    </row>
    <row r="1184" spans="1:38" ht="23.25" x14ac:dyDescent="0.25">
      <c r="A1184" s="489" t="str">
        <f t="shared" si="97"/>
        <v/>
      </c>
      <c r="B1184" s="490">
        <v>321</v>
      </c>
      <c r="C1184" s="489"/>
      <c r="D1184" s="491"/>
      <c r="E1184" s="124"/>
      <c r="F1184" s="124"/>
      <c r="G1184" s="251"/>
      <c r="H1184" s="443"/>
      <c r="I1184" s="126"/>
      <c r="J1184" s="47"/>
      <c r="K1184" s="126"/>
      <c r="L1184" s="126"/>
      <c r="M1184" s="104"/>
      <c r="N1184" s="265"/>
      <c r="O1184" s="260"/>
      <c r="P1184" s="106"/>
      <c r="Q1184" s="107"/>
      <c r="R1184" s="244"/>
      <c r="S1184" s="37"/>
      <c r="T1184" s="36" t="str">
        <f t="shared" ca="1" si="98"/>
        <v/>
      </c>
      <c r="U1184" s="37"/>
      <c r="V1184" s="37"/>
      <c r="W1184" s="38"/>
      <c r="X1184" s="39"/>
      <c r="Y1184" s="150"/>
      <c r="Z1184" s="40"/>
      <c r="AA1184" s="136" t="str">
        <f t="shared" ca="1" si="99"/>
        <v/>
      </c>
      <c r="AB1184" s="40"/>
      <c r="AC1184" s="116"/>
      <c r="AD1184" s="116"/>
      <c r="AE1184" s="40"/>
      <c r="AF1184" s="136" t="str">
        <f t="shared" ca="1" si="100"/>
        <v/>
      </c>
      <c r="AG1184" s="127"/>
      <c r="AH1184" s="127"/>
      <c r="AI1184" s="127"/>
      <c r="AJ1184" s="128"/>
      <c r="AK1184" s="128"/>
      <c r="AL1184" s="129"/>
    </row>
    <row r="1185" spans="1:38" ht="23.25" x14ac:dyDescent="0.25">
      <c r="A1185" s="489" t="str">
        <f t="shared" si="97"/>
        <v/>
      </c>
      <c r="B1185" s="490">
        <v>322</v>
      </c>
      <c r="C1185" s="489"/>
      <c r="D1185" s="491"/>
      <c r="E1185" s="124"/>
      <c r="F1185" s="124"/>
      <c r="G1185" s="251"/>
      <c r="H1185" s="443"/>
      <c r="I1185" s="126"/>
      <c r="J1185" s="47"/>
      <c r="K1185" s="126"/>
      <c r="L1185" s="126"/>
      <c r="M1185" s="104"/>
      <c r="N1185" s="265"/>
      <c r="O1185" s="260"/>
      <c r="P1185" s="106"/>
      <c r="Q1185" s="107"/>
      <c r="R1185" s="244"/>
      <c r="S1185" s="37"/>
      <c r="T1185" s="36" t="str">
        <f t="shared" ca="1" si="98"/>
        <v/>
      </c>
      <c r="U1185" s="37"/>
      <c r="V1185" s="37"/>
      <c r="W1185" s="38"/>
      <c r="X1185" s="39"/>
      <c r="Y1185" s="150"/>
      <c r="Z1185" s="40"/>
      <c r="AA1185" s="136" t="str">
        <f t="shared" ca="1" si="99"/>
        <v/>
      </c>
      <c r="AB1185" s="40"/>
      <c r="AC1185" s="116"/>
      <c r="AD1185" s="116"/>
      <c r="AE1185" s="40"/>
      <c r="AF1185" s="136" t="str">
        <f t="shared" ca="1" si="100"/>
        <v/>
      </c>
      <c r="AG1185" s="127"/>
      <c r="AH1185" s="127"/>
      <c r="AI1185" s="127"/>
      <c r="AJ1185" s="128"/>
      <c r="AK1185" s="128"/>
      <c r="AL1185" s="129"/>
    </row>
    <row r="1186" spans="1:38" ht="23.25" x14ac:dyDescent="0.25">
      <c r="A1186" s="489" t="str">
        <f t="shared" si="97"/>
        <v/>
      </c>
      <c r="B1186" s="490">
        <v>323</v>
      </c>
      <c r="C1186" s="489"/>
      <c r="D1186" s="491"/>
      <c r="E1186" s="124"/>
      <c r="F1186" s="124"/>
      <c r="G1186" s="251"/>
      <c r="H1186" s="443"/>
      <c r="I1186" s="126"/>
      <c r="J1186" s="47"/>
      <c r="K1186" s="126"/>
      <c r="L1186" s="126"/>
      <c r="M1186" s="104"/>
      <c r="N1186" s="265"/>
      <c r="O1186" s="260"/>
      <c r="P1186" s="106"/>
      <c r="Q1186" s="107"/>
      <c r="R1186" s="244"/>
      <c r="S1186" s="37"/>
      <c r="T1186" s="36" t="str">
        <f t="shared" ca="1" si="98"/>
        <v/>
      </c>
      <c r="U1186" s="37"/>
      <c r="V1186" s="37"/>
      <c r="W1186" s="38"/>
      <c r="X1186" s="39"/>
      <c r="Y1186" s="150"/>
      <c r="Z1186" s="40"/>
      <c r="AA1186" s="136" t="str">
        <f t="shared" ca="1" si="99"/>
        <v/>
      </c>
      <c r="AB1186" s="40"/>
      <c r="AC1186" s="116"/>
      <c r="AD1186" s="116"/>
      <c r="AE1186" s="40"/>
      <c r="AF1186" s="136" t="str">
        <f t="shared" ca="1" si="100"/>
        <v/>
      </c>
      <c r="AG1186" s="127"/>
      <c r="AH1186" s="127"/>
      <c r="AI1186" s="127"/>
      <c r="AJ1186" s="128"/>
      <c r="AK1186" s="128"/>
      <c r="AL1186" s="129"/>
    </row>
    <row r="1187" spans="1:38" ht="23.25" x14ac:dyDescent="0.25">
      <c r="A1187" s="489" t="str">
        <f t="shared" si="97"/>
        <v/>
      </c>
      <c r="B1187" s="490">
        <v>324</v>
      </c>
      <c r="C1187" s="489"/>
      <c r="D1187" s="491"/>
      <c r="E1187" s="124"/>
      <c r="F1187" s="124"/>
      <c r="G1187" s="251"/>
      <c r="H1187" s="443"/>
      <c r="I1187" s="126"/>
      <c r="J1187" s="47"/>
      <c r="K1187" s="126"/>
      <c r="L1187" s="126"/>
      <c r="M1187" s="104"/>
      <c r="N1187" s="265"/>
      <c r="O1187" s="260"/>
      <c r="P1187" s="106"/>
      <c r="Q1187" s="107"/>
      <c r="R1187" s="244"/>
      <c r="S1187" s="37"/>
      <c r="T1187" s="36" t="str">
        <f t="shared" ca="1" si="98"/>
        <v/>
      </c>
      <c r="U1187" s="37"/>
      <c r="V1187" s="37"/>
      <c r="W1187" s="38"/>
      <c r="X1187" s="39"/>
      <c r="Y1187" s="150"/>
      <c r="Z1187" s="40"/>
      <c r="AA1187" s="136" t="str">
        <f t="shared" ca="1" si="99"/>
        <v/>
      </c>
      <c r="AB1187" s="40"/>
      <c r="AC1187" s="116"/>
      <c r="AD1187" s="116"/>
      <c r="AE1187" s="40"/>
      <c r="AF1187" s="136" t="str">
        <f t="shared" ca="1" si="100"/>
        <v/>
      </c>
      <c r="AG1187" s="127"/>
      <c r="AH1187" s="127"/>
      <c r="AI1187" s="127"/>
      <c r="AJ1187" s="128"/>
      <c r="AK1187" s="128"/>
      <c r="AL1187" s="129"/>
    </row>
    <row r="1188" spans="1:38" ht="23.25" x14ac:dyDescent="0.25">
      <c r="A1188" s="489" t="str">
        <f t="shared" si="97"/>
        <v/>
      </c>
      <c r="B1188" s="490">
        <v>325</v>
      </c>
      <c r="C1188" s="489"/>
      <c r="D1188" s="491"/>
      <c r="E1188" s="124"/>
      <c r="F1188" s="124"/>
      <c r="G1188" s="251"/>
      <c r="H1188" s="443"/>
      <c r="I1188" s="126"/>
      <c r="J1188" s="47"/>
      <c r="K1188" s="126"/>
      <c r="L1188" s="126"/>
      <c r="M1188" s="104"/>
      <c r="N1188" s="265"/>
      <c r="O1188" s="260"/>
      <c r="P1188" s="106"/>
      <c r="Q1188" s="107"/>
      <c r="R1188" s="244"/>
      <c r="S1188" s="37"/>
      <c r="T1188" s="36" t="str">
        <f t="shared" ca="1" si="98"/>
        <v/>
      </c>
      <c r="U1188" s="37"/>
      <c r="V1188" s="37"/>
      <c r="W1188" s="38"/>
      <c r="X1188" s="39"/>
      <c r="Y1188" s="150"/>
      <c r="Z1188" s="40"/>
      <c r="AA1188" s="136" t="str">
        <f t="shared" ca="1" si="99"/>
        <v/>
      </c>
      <c r="AB1188" s="40"/>
      <c r="AC1188" s="116"/>
      <c r="AD1188" s="116"/>
      <c r="AE1188" s="40"/>
      <c r="AF1188" s="136" t="str">
        <f t="shared" ca="1" si="100"/>
        <v/>
      </c>
      <c r="AG1188" s="127"/>
      <c r="AH1188" s="127"/>
      <c r="AI1188" s="127"/>
      <c r="AJ1188" s="128"/>
      <c r="AK1188" s="128"/>
      <c r="AL1188" s="129"/>
    </row>
    <row r="1189" spans="1:38" ht="23.25" x14ac:dyDescent="0.25">
      <c r="A1189" s="489" t="str">
        <f t="shared" si="97"/>
        <v/>
      </c>
      <c r="B1189" s="490">
        <v>326</v>
      </c>
      <c r="C1189" s="489"/>
      <c r="D1189" s="491"/>
      <c r="E1189" s="124"/>
      <c r="F1189" s="124"/>
      <c r="G1189" s="251"/>
      <c r="H1189" s="443"/>
      <c r="I1189" s="126"/>
      <c r="J1189" s="47"/>
      <c r="K1189" s="126"/>
      <c r="L1189" s="126"/>
      <c r="M1189" s="104"/>
      <c r="N1189" s="265"/>
      <c r="O1189" s="260"/>
      <c r="P1189" s="106"/>
      <c r="Q1189" s="107"/>
      <c r="R1189" s="244"/>
      <c r="S1189" s="37"/>
      <c r="T1189" s="36" t="str">
        <f t="shared" ca="1" si="98"/>
        <v/>
      </c>
      <c r="U1189" s="37"/>
      <c r="V1189" s="37"/>
      <c r="W1189" s="38"/>
      <c r="X1189" s="39"/>
      <c r="Y1189" s="150"/>
      <c r="Z1189" s="40"/>
      <c r="AA1189" s="136" t="str">
        <f t="shared" ca="1" si="99"/>
        <v/>
      </c>
      <c r="AB1189" s="40"/>
      <c r="AC1189" s="116"/>
      <c r="AD1189" s="116"/>
      <c r="AE1189" s="40"/>
      <c r="AF1189" s="136" t="str">
        <f t="shared" ca="1" si="100"/>
        <v/>
      </c>
      <c r="AG1189" s="127"/>
      <c r="AH1189" s="127"/>
      <c r="AI1189" s="127"/>
      <c r="AJ1189" s="128"/>
      <c r="AK1189" s="128"/>
      <c r="AL1189" s="129"/>
    </row>
    <row r="1190" spans="1:38" ht="23.25" x14ac:dyDescent="0.25">
      <c r="A1190" s="489" t="str">
        <f t="shared" si="97"/>
        <v/>
      </c>
      <c r="B1190" s="490">
        <v>327</v>
      </c>
      <c r="C1190" s="489"/>
      <c r="D1190" s="491"/>
      <c r="E1190" s="124"/>
      <c r="F1190" s="124"/>
      <c r="G1190" s="251"/>
      <c r="H1190" s="443"/>
      <c r="I1190" s="126"/>
      <c r="J1190" s="47"/>
      <c r="K1190" s="126"/>
      <c r="L1190" s="126"/>
      <c r="M1190" s="104"/>
      <c r="N1190" s="265"/>
      <c r="O1190" s="260"/>
      <c r="P1190" s="106"/>
      <c r="Q1190" s="107"/>
      <c r="R1190" s="244"/>
      <c r="S1190" s="37"/>
      <c r="T1190" s="36" t="str">
        <f t="shared" ca="1" si="98"/>
        <v/>
      </c>
      <c r="U1190" s="37"/>
      <c r="V1190" s="37"/>
      <c r="W1190" s="38"/>
      <c r="X1190" s="39"/>
      <c r="Y1190" s="150"/>
      <c r="Z1190" s="40"/>
      <c r="AA1190" s="136" t="str">
        <f t="shared" ca="1" si="99"/>
        <v/>
      </c>
      <c r="AB1190" s="40"/>
      <c r="AC1190" s="116"/>
      <c r="AD1190" s="116"/>
      <c r="AE1190" s="40"/>
      <c r="AF1190" s="136" t="str">
        <f t="shared" ca="1" si="100"/>
        <v/>
      </c>
      <c r="AG1190" s="127"/>
      <c r="AH1190" s="127"/>
      <c r="AI1190" s="127"/>
      <c r="AJ1190" s="128"/>
      <c r="AK1190" s="128"/>
      <c r="AL1190" s="129"/>
    </row>
    <row r="1191" spans="1:38" ht="23.25" x14ac:dyDescent="0.25">
      <c r="A1191" s="489" t="str">
        <f t="shared" si="97"/>
        <v/>
      </c>
      <c r="B1191" s="490">
        <v>328</v>
      </c>
      <c r="C1191" s="489"/>
      <c r="D1191" s="491"/>
      <c r="E1191" s="124"/>
      <c r="F1191" s="124"/>
      <c r="G1191" s="251"/>
      <c r="H1191" s="443"/>
      <c r="I1191" s="126"/>
      <c r="J1191" s="47"/>
      <c r="K1191" s="126"/>
      <c r="L1191" s="126"/>
      <c r="M1191" s="104"/>
      <c r="N1191" s="265"/>
      <c r="O1191" s="260"/>
      <c r="P1191" s="106"/>
      <c r="Q1191" s="107"/>
      <c r="R1191" s="244"/>
      <c r="S1191" s="37"/>
      <c r="T1191" s="36" t="str">
        <f t="shared" ca="1" si="98"/>
        <v/>
      </c>
      <c r="U1191" s="37"/>
      <c r="V1191" s="37"/>
      <c r="W1191" s="38"/>
      <c r="X1191" s="39"/>
      <c r="Y1191" s="150"/>
      <c r="Z1191" s="40"/>
      <c r="AA1191" s="136" t="str">
        <f t="shared" ca="1" si="99"/>
        <v/>
      </c>
      <c r="AB1191" s="40"/>
      <c r="AC1191" s="116"/>
      <c r="AD1191" s="116"/>
      <c r="AE1191" s="40"/>
      <c r="AF1191" s="136" t="str">
        <f t="shared" ca="1" si="100"/>
        <v/>
      </c>
      <c r="AG1191" s="127"/>
      <c r="AH1191" s="127"/>
      <c r="AI1191" s="127"/>
      <c r="AJ1191" s="128"/>
      <c r="AK1191" s="128"/>
      <c r="AL1191" s="129"/>
    </row>
    <row r="1192" spans="1:38" ht="23.25" x14ac:dyDescent="0.25">
      <c r="A1192" s="489" t="str">
        <f t="shared" si="97"/>
        <v/>
      </c>
      <c r="B1192" s="490">
        <v>329</v>
      </c>
      <c r="C1192" s="489"/>
      <c r="D1192" s="491"/>
      <c r="E1192" s="124"/>
      <c r="F1192" s="124"/>
      <c r="G1192" s="251"/>
      <c r="H1192" s="443"/>
      <c r="I1192" s="126"/>
      <c r="J1192" s="47"/>
      <c r="K1192" s="126"/>
      <c r="L1192" s="126"/>
      <c r="M1192" s="104"/>
      <c r="N1192" s="265"/>
      <c r="O1192" s="260"/>
      <c r="P1192" s="106"/>
      <c r="Q1192" s="107"/>
      <c r="R1192" s="244"/>
      <c r="S1192" s="37"/>
      <c r="T1192" s="36" t="str">
        <f t="shared" ca="1" si="98"/>
        <v/>
      </c>
      <c r="U1192" s="37"/>
      <c r="V1192" s="37"/>
      <c r="W1192" s="38"/>
      <c r="X1192" s="39"/>
      <c r="Y1192" s="150"/>
      <c r="Z1192" s="40"/>
      <c r="AA1192" s="136" t="str">
        <f t="shared" ca="1" si="99"/>
        <v/>
      </c>
      <c r="AB1192" s="40"/>
      <c r="AC1192" s="116"/>
      <c r="AD1192" s="116"/>
      <c r="AE1192" s="40"/>
      <c r="AF1192" s="136" t="str">
        <f t="shared" ca="1" si="100"/>
        <v/>
      </c>
      <c r="AG1192" s="127"/>
      <c r="AH1192" s="127"/>
      <c r="AI1192" s="127"/>
      <c r="AJ1192" s="128"/>
      <c r="AK1192" s="128"/>
      <c r="AL1192" s="129"/>
    </row>
    <row r="1193" spans="1:38" ht="23.25" x14ac:dyDescent="0.25">
      <c r="A1193" s="489" t="str">
        <f t="shared" si="97"/>
        <v/>
      </c>
      <c r="B1193" s="490">
        <v>330</v>
      </c>
      <c r="C1193" s="489"/>
      <c r="D1193" s="491"/>
      <c r="E1193" s="124"/>
      <c r="F1193" s="124"/>
      <c r="G1193" s="251"/>
      <c r="H1193" s="443"/>
      <c r="I1193" s="126"/>
      <c r="J1193" s="47"/>
      <c r="K1193" s="126"/>
      <c r="L1193" s="126"/>
      <c r="M1193" s="104"/>
      <c r="N1193" s="265"/>
      <c r="O1193" s="260"/>
      <c r="P1193" s="106"/>
      <c r="Q1193" s="107"/>
      <c r="R1193" s="244"/>
      <c r="S1193" s="37"/>
      <c r="T1193" s="36" t="str">
        <f t="shared" ca="1" si="98"/>
        <v/>
      </c>
      <c r="U1193" s="37"/>
      <c r="V1193" s="37"/>
      <c r="W1193" s="38"/>
      <c r="X1193" s="39"/>
      <c r="Y1193" s="150"/>
      <c r="Z1193" s="40"/>
      <c r="AA1193" s="136" t="str">
        <f t="shared" ca="1" si="99"/>
        <v/>
      </c>
      <c r="AB1193" s="40"/>
      <c r="AC1193" s="116"/>
      <c r="AD1193" s="116"/>
      <c r="AE1193" s="40"/>
      <c r="AF1193" s="136" t="str">
        <f t="shared" ca="1" si="100"/>
        <v/>
      </c>
      <c r="AG1193" s="127"/>
      <c r="AH1193" s="127"/>
      <c r="AI1193" s="127"/>
      <c r="AJ1193" s="128"/>
      <c r="AK1193" s="128"/>
      <c r="AL1193" s="129"/>
    </row>
    <row r="1194" spans="1:38" ht="23.25" x14ac:dyDescent="0.25">
      <c r="A1194" s="489" t="str">
        <f t="shared" si="97"/>
        <v/>
      </c>
      <c r="B1194" s="490">
        <v>331</v>
      </c>
      <c r="C1194" s="489"/>
      <c r="D1194" s="491"/>
      <c r="E1194" s="124"/>
      <c r="F1194" s="124"/>
      <c r="G1194" s="251"/>
      <c r="H1194" s="443"/>
      <c r="I1194" s="126"/>
      <c r="J1194" s="47"/>
      <c r="K1194" s="126"/>
      <c r="L1194" s="126"/>
      <c r="M1194" s="104"/>
      <c r="N1194" s="265"/>
      <c r="O1194" s="260"/>
      <c r="P1194" s="106"/>
      <c r="Q1194" s="107"/>
      <c r="R1194" s="244"/>
      <c r="S1194" s="37"/>
      <c r="T1194" s="36" t="str">
        <f t="shared" ca="1" si="98"/>
        <v/>
      </c>
      <c r="U1194" s="37"/>
      <c r="V1194" s="37"/>
      <c r="W1194" s="38"/>
      <c r="X1194" s="39"/>
      <c r="Y1194" s="150"/>
      <c r="Z1194" s="40"/>
      <c r="AA1194" s="136" t="str">
        <f t="shared" ca="1" si="99"/>
        <v/>
      </c>
      <c r="AB1194" s="40"/>
      <c r="AC1194" s="116"/>
      <c r="AD1194" s="116"/>
      <c r="AE1194" s="40"/>
      <c r="AF1194" s="136" t="str">
        <f t="shared" ca="1" si="100"/>
        <v/>
      </c>
      <c r="AG1194" s="127"/>
      <c r="AH1194" s="127"/>
      <c r="AI1194" s="127"/>
      <c r="AJ1194" s="128"/>
      <c r="AK1194" s="128"/>
      <c r="AL1194" s="129"/>
    </row>
    <row r="1195" spans="1:38" ht="23.25" x14ac:dyDescent="0.25">
      <c r="A1195" s="489" t="str">
        <f t="shared" si="97"/>
        <v/>
      </c>
      <c r="B1195" s="490">
        <v>332</v>
      </c>
      <c r="C1195" s="489"/>
      <c r="D1195" s="491"/>
      <c r="E1195" s="124"/>
      <c r="F1195" s="124"/>
      <c r="G1195" s="251"/>
      <c r="H1195" s="443"/>
      <c r="I1195" s="126"/>
      <c r="J1195" s="47"/>
      <c r="K1195" s="126"/>
      <c r="L1195" s="126"/>
      <c r="M1195" s="104"/>
      <c r="N1195" s="265"/>
      <c r="O1195" s="260"/>
      <c r="P1195" s="106"/>
      <c r="Q1195" s="107"/>
      <c r="R1195" s="244"/>
      <c r="S1195" s="37"/>
      <c r="T1195" s="36" t="str">
        <f t="shared" ca="1" si="98"/>
        <v/>
      </c>
      <c r="U1195" s="37"/>
      <c r="V1195" s="37"/>
      <c r="W1195" s="38"/>
      <c r="X1195" s="39"/>
      <c r="Y1195" s="150"/>
      <c r="Z1195" s="40"/>
      <c r="AA1195" s="136" t="str">
        <f t="shared" ca="1" si="99"/>
        <v/>
      </c>
      <c r="AB1195" s="40"/>
      <c r="AC1195" s="116"/>
      <c r="AD1195" s="116"/>
      <c r="AE1195" s="40"/>
      <c r="AF1195" s="136" t="str">
        <f t="shared" ca="1" si="100"/>
        <v/>
      </c>
      <c r="AG1195" s="127"/>
      <c r="AH1195" s="127"/>
      <c r="AI1195" s="127"/>
      <c r="AJ1195" s="128"/>
      <c r="AK1195" s="128"/>
      <c r="AL1195" s="129"/>
    </row>
    <row r="1196" spans="1:38" ht="23.25" x14ac:dyDescent="0.25">
      <c r="A1196" s="489" t="str">
        <f t="shared" si="97"/>
        <v/>
      </c>
      <c r="B1196" s="490">
        <v>333</v>
      </c>
      <c r="C1196" s="489"/>
      <c r="D1196" s="491"/>
      <c r="E1196" s="124"/>
      <c r="F1196" s="124"/>
      <c r="G1196" s="251"/>
      <c r="H1196" s="443"/>
      <c r="I1196" s="126"/>
      <c r="J1196" s="47"/>
      <c r="K1196" s="126"/>
      <c r="L1196" s="126"/>
      <c r="M1196" s="104"/>
      <c r="N1196" s="265"/>
      <c r="O1196" s="260"/>
      <c r="P1196" s="106"/>
      <c r="Q1196" s="107"/>
      <c r="R1196" s="244"/>
      <c r="S1196" s="37"/>
      <c r="T1196" s="36" t="str">
        <f t="shared" ca="1" si="98"/>
        <v/>
      </c>
      <c r="U1196" s="37"/>
      <c r="V1196" s="37"/>
      <c r="W1196" s="38"/>
      <c r="X1196" s="39"/>
      <c r="Y1196" s="150"/>
      <c r="Z1196" s="40"/>
      <c r="AA1196" s="136" t="str">
        <f t="shared" ca="1" si="99"/>
        <v/>
      </c>
      <c r="AB1196" s="40"/>
      <c r="AC1196" s="116"/>
      <c r="AD1196" s="116"/>
      <c r="AE1196" s="40"/>
      <c r="AF1196" s="136" t="str">
        <f t="shared" ca="1" si="100"/>
        <v/>
      </c>
      <c r="AG1196" s="127"/>
      <c r="AH1196" s="127"/>
      <c r="AI1196" s="127"/>
      <c r="AJ1196" s="128"/>
      <c r="AK1196" s="128"/>
      <c r="AL1196" s="129"/>
    </row>
    <row r="1197" spans="1:38" ht="23.25" x14ac:dyDescent="0.25">
      <c r="A1197" s="489" t="str">
        <f t="shared" si="97"/>
        <v/>
      </c>
      <c r="B1197" s="490">
        <v>334</v>
      </c>
      <c r="C1197" s="489"/>
      <c r="D1197" s="491"/>
      <c r="E1197" s="124"/>
      <c r="F1197" s="124"/>
      <c r="G1197" s="251"/>
      <c r="H1197" s="443"/>
      <c r="I1197" s="126"/>
      <c r="J1197" s="47"/>
      <c r="K1197" s="126"/>
      <c r="L1197" s="126"/>
      <c r="M1197" s="104"/>
      <c r="N1197" s="265"/>
      <c r="O1197" s="260"/>
      <c r="P1197" s="106"/>
      <c r="Q1197" s="107"/>
      <c r="R1197" s="244"/>
      <c r="S1197" s="37"/>
      <c r="T1197" s="36" t="str">
        <f t="shared" ca="1" si="98"/>
        <v/>
      </c>
      <c r="U1197" s="37"/>
      <c r="V1197" s="37"/>
      <c r="W1197" s="38"/>
      <c r="X1197" s="39"/>
      <c r="Y1197" s="150"/>
      <c r="Z1197" s="40"/>
      <c r="AA1197" s="136" t="str">
        <f t="shared" ca="1" si="99"/>
        <v/>
      </c>
      <c r="AB1197" s="40"/>
      <c r="AC1197" s="116"/>
      <c r="AD1197" s="116"/>
      <c r="AE1197" s="40"/>
      <c r="AF1197" s="136" t="str">
        <f t="shared" ca="1" si="100"/>
        <v/>
      </c>
      <c r="AG1197" s="127"/>
      <c r="AH1197" s="127"/>
      <c r="AI1197" s="127"/>
      <c r="AJ1197" s="128"/>
      <c r="AK1197" s="128"/>
      <c r="AL1197" s="129"/>
    </row>
    <row r="1198" spans="1:38" ht="23.25" x14ac:dyDescent="0.25">
      <c r="A1198" s="489" t="str">
        <f t="shared" si="97"/>
        <v/>
      </c>
      <c r="B1198" s="490">
        <v>335</v>
      </c>
      <c r="C1198" s="489"/>
      <c r="D1198" s="491"/>
      <c r="E1198" s="124"/>
      <c r="F1198" s="124"/>
      <c r="G1198" s="251"/>
      <c r="H1198" s="443"/>
      <c r="I1198" s="126"/>
      <c r="J1198" s="47"/>
      <c r="K1198" s="126"/>
      <c r="L1198" s="126"/>
      <c r="M1198" s="104"/>
      <c r="N1198" s="265"/>
      <c r="O1198" s="260"/>
      <c r="P1198" s="106"/>
      <c r="Q1198" s="107"/>
      <c r="R1198" s="244"/>
      <c r="S1198" s="37"/>
      <c r="T1198" s="36" t="str">
        <f t="shared" ca="1" si="98"/>
        <v/>
      </c>
      <c r="U1198" s="37"/>
      <c r="V1198" s="37"/>
      <c r="W1198" s="38"/>
      <c r="X1198" s="39"/>
      <c r="Y1198" s="150"/>
      <c r="Z1198" s="40"/>
      <c r="AA1198" s="136" t="str">
        <f t="shared" ca="1" si="99"/>
        <v/>
      </c>
      <c r="AB1198" s="40"/>
      <c r="AC1198" s="116"/>
      <c r="AD1198" s="116"/>
      <c r="AE1198" s="40"/>
      <c r="AF1198" s="136" t="str">
        <f t="shared" ca="1" si="100"/>
        <v/>
      </c>
      <c r="AG1198" s="127"/>
      <c r="AH1198" s="127"/>
      <c r="AI1198" s="127"/>
      <c r="AJ1198" s="128"/>
      <c r="AK1198" s="128"/>
      <c r="AL1198" s="129"/>
    </row>
    <row r="1199" spans="1:38" ht="23.25" x14ac:dyDescent="0.25">
      <c r="A1199" s="489" t="str">
        <f t="shared" si="97"/>
        <v/>
      </c>
      <c r="B1199" s="490">
        <v>336</v>
      </c>
      <c r="C1199" s="489"/>
      <c r="D1199" s="491"/>
      <c r="E1199" s="124"/>
      <c r="F1199" s="124"/>
      <c r="G1199" s="251"/>
      <c r="H1199" s="443"/>
      <c r="I1199" s="126"/>
      <c r="J1199" s="47"/>
      <c r="K1199" s="126"/>
      <c r="L1199" s="126"/>
      <c r="M1199" s="104"/>
      <c r="N1199" s="265"/>
      <c r="O1199" s="260"/>
      <c r="P1199" s="106"/>
      <c r="Q1199" s="107"/>
      <c r="R1199" s="244"/>
      <c r="S1199" s="37"/>
      <c r="T1199" s="36" t="str">
        <f t="shared" ca="1" si="98"/>
        <v/>
      </c>
      <c r="U1199" s="37"/>
      <c r="V1199" s="37"/>
      <c r="W1199" s="38"/>
      <c r="X1199" s="39"/>
      <c r="Y1199" s="150"/>
      <c r="Z1199" s="40"/>
      <c r="AA1199" s="136" t="str">
        <f t="shared" ca="1" si="99"/>
        <v/>
      </c>
      <c r="AB1199" s="40"/>
      <c r="AC1199" s="116"/>
      <c r="AD1199" s="116"/>
      <c r="AE1199" s="40"/>
      <c r="AF1199" s="136" t="str">
        <f t="shared" ca="1" si="100"/>
        <v/>
      </c>
      <c r="AG1199" s="127"/>
      <c r="AH1199" s="127"/>
      <c r="AI1199" s="127"/>
      <c r="AJ1199" s="128"/>
      <c r="AK1199" s="128"/>
      <c r="AL1199" s="129"/>
    </row>
    <row r="1200" spans="1:38" ht="23.25" x14ac:dyDescent="0.25">
      <c r="A1200" s="489" t="str">
        <f t="shared" si="97"/>
        <v/>
      </c>
      <c r="B1200" s="490">
        <v>337</v>
      </c>
      <c r="C1200" s="489"/>
      <c r="D1200" s="491"/>
      <c r="E1200" s="124"/>
      <c r="F1200" s="124"/>
      <c r="G1200" s="251"/>
      <c r="H1200" s="443"/>
      <c r="I1200" s="126"/>
      <c r="J1200" s="47"/>
      <c r="K1200" s="126"/>
      <c r="L1200" s="126"/>
      <c r="M1200" s="104"/>
      <c r="N1200" s="265"/>
      <c r="O1200" s="260"/>
      <c r="P1200" s="106"/>
      <c r="Q1200" s="107"/>
      <c r="R1200" s="244"/>
      <c r="S1200" s="37"/>
      <c r="T1200" s="36" t="str">
        <f t="shared" ca="1" si="98"/>
        <v/>
      </c>
      <c r="U1200" s="37"/>
      <c r="V1200" s="37"/>
      <c r="W1200" s="38"/>
      <c r="X1200" s="39"/>
      <c r="Y1200" s="150"/>
      <c r="Z1200" s="40"/>
      <c r="AA1200" s="136" t="str">
        <f t="shared" ca="1" si="99"/>
        <v/>
      </c>
      <c r="AB1200" s="40"/>
      <c r="AC1200" s="116"/>
      <c r="AD1200" s="116"/>
      <c r="AE1200" s="40"/>
      <c r="AF1200" s="136" t="str">
        <f t="shared" ca="1" si="100"/>
        <v/>
      </c>
      <c r="AG1200" s="127"/>
      <c r="AH1200" s="127"/>
      <c r="AI1200" s="127"/>
      <c r="AJ1200" s="128"/>
      <c r="AK1200" s="128"/>
      <c r="AL1200" s="129"/>
    </row>
    <row r="1201" spans="1:38" ht="23.25" x14ac:dyDescent="0.25">
      <c r="A1201" s="489" t="str">
        <f t="shared" si="97"/>
        <v/>
      </c>
      <c r="B1201" s="490">
        <v>338</v>
      </c>
      <c r="C1201" s="489"/>
      <c r="D1201" s="491"/>
      <c r="E1201" s="124"/>
      <c r="F1201" s="124"/>
      <c r="G1201" s="251"/>
      <c r="H1201" s="443"/>
      <c r="I1201" s="126"/>
      <c r="J1201" s="47"/>
      <c r="K1201" s="126"/>
      <c r="L1201" s="126"/>
      <c r="M1201" s="104"/>
      <c r="N1201" s="265"/>
      <c r="O1201" s="260"/>
      <c r="P1201" s="106"/>
      <c r="Q1201" s="107"/>
      <c r="R1201" s="244"/>
      <c r="S1201" s="37"/>
      <c r="T1201" s="36" t="str">
        <f t="shared" ca="1" si="98"/>
        <v/>
      </c>
      <c r="U1201" s="37"/>
      <c r="V1201" s="37"/>
      <c r="W1201" s="38"/>
      <c r="X1201" s="39"/>
      <c r="Y1201" s="150"/>
      <c r="Z1201" s="40"/>
      <c r="AA1201" s="136" t="str">
        <f t="shared" ca="1" si="99"/>
        <v/>
      </c>
      <c r="AB1201" s="40"/>
      <c r="AC1201" s="116"/>
      <c r="AD1201" s="116"/>
      <c r="AE1201" s="40"/>
      <c r="AF1201" s="136" t="str">
        <f t="shared" ca="1" si="100"/>
        <v/>
      </c>
      <c r="AG1201" s="127"/>
      <c r="AH1201" s="127"/>
      <c r="AI1201" s="127"/>
      <c r="AJ1201" s="128"/>
      <c r="AK1201" s="128"/>
      <c r="AL1201" s="129"/>
    </row>
    <row r="1202" spans="1:38" ht="23.25" x14ac:dyDescent="0.25">
      <c r="A1202" s="489" t="str">
        <f t="shared" si="97"/>
        <v/>
      </c>
      <c r="B1202" s="490">
        <v>339</v>
      </c>
      <c r="C1202" s="489"/>
      <c r="D1202" s="491"/>
      <c r="E1202" s="124"/>
      <c r="F1202" s="124"/>
      <c r="G1202" s="251"/>
      <c r="H1202" s="443"/>
      <c r="I1202" s="126"/>
      <c r="J1202" s="47"/>
      <c r="K1202" s="126"/>
      <c r="L1202" s="126"/>
      <c r="M1202" s="104"/>
      <c r="N1202" s="265"/>
      <c r="O1202" s="260"/>
      <c r="P1202" s="106"/>
      <c r="Q1202" s="107"/>
      <c r="R1202" s="244"/>
      <c r="S1202" s="37"/>
      <c r="T1202" s="36" t="str">
        <f t="shared" ca="1" si="98"/>
        <v/>
      </c>
      <c r="U1202" s="37"/>
      <c r="V1202" s="37"/>
      <c r="W1202" s="38"/>
      <c r="X1202" s="39"/>
      <c r="Y1202" s="150"/>
      <c r="Z1202" s="40"/>
      <c r="AA1202" s="136" t="str">
        <f t="shared" ca="1" si="99"/>
        <v/>
      </c>
      <c r="AB1202" s="40"/>
      <c r="AC1202" s="116"/>
      <c r="AD1202" s="116"/>
      <c r="AE1202" s="40"/>
      <c r="AF1202" s="136" t="str">
        <f t="shared" ca="1" si="100"/>
        <v/>
      </c>
      <c r="AG1202" s="127"/>
      <c r="AH1202" s="127"/>
      <c r="AI1202" s="127"/>
      <c r="AJ1202" s="128"/>
      <c r="AK1202" s="128"/>
      <c r="AL1202" s="129"/>
    </row>
    <row r="1203" spans="1:38" ht="23.25" x14ac:dyDescent="0.25">
      <c r="A1203" s="489" t="str">
        <f t="shared" si="97"/>
        <v/>
      </c>
      <c r="B1203" s="490">
        <v>340</v>
      </c>
      <c r="C1203" s="489"/>
      <c r="D1203" s="491"/>
      <c r="E1203" s="124"/>
      <c r="F1203" s="124"/>
      <c r="G1203" s="251"/>
      <c r="H1203" s="443"/>
      <c r="I1203" s="126"/>
      <c r="J1203" s="47"/>
      <c r="K1203" s="126"/>
      <c r="L1203" s="126"/>
      <c r="M1203" s="104"/>
      <c r="N1203" s="265"/>
      <c r="O1203" s="260"/>
      <c r="P1203" s="106"/>
      <c r="Q1203" s="107"/>
      <c r="R1203" s="244"/>
      <c r="S1203" s="37"/>
      <c r="T1203" s="36" t="str">
        <f t="shared" ca="1" si="98"/>
        <v/>
      </c>
      <c r="U1203" s="37"/>
      <c r="V1203" s="37"/>
      <c r="W1203" s="38"/>
      <c r="X1203" s="39"/>
      <c r="Y1203" s="150"/>
      <c r="Z1203" s="40"/>
      <c r="AA1203" s="136" t="str">
        <f t="shared" ca="1" si="99"/>
        <v/>
      </c>
      <c r="AB1203" s="40"/>
      <c r="AC1203" s="116"/>
      <c r="AD1203" s="116"/>
      <c r="AE1203" s="40"/>
      <c r="AF1203" s="136" t="str">
        <f t="shared" ca="1" si="100"/>
        <v/>
      </c>
      <c r="AG1203" s="127"/>
      <c r="AH1203" s="127"/>
      <c r="AI1203" s="127"/>
      <c r="AJ1203" s="128"/>
      <c r="AK1203" s="128"/>
      <c r="AL1203" s="129"/>
    </row>
    <row r="1204" spans="1:38" ht="23.25" x14ac:dyDescent="0.25">
      <c r="A1204" s="489" t="str">
        <f t="shared" si="97"/>
        <v/>
      </c>
      <c r="B1204" s="490">
        <v>341</v>
      </c>
      <c r="C1204" s="489"/>
      <c r="D1204" s="491"/>
      <c r="E1204" s="124"/>
      <c r="F1204" s="124"/>
      <c r="G1204" s="251"/>
      <c r="H1204" s="443"/>
      <c r="I1204" s="126"/>
      <c r="J1204" s="47"/>
      <c r="K1204" s="126"/>
      <c r="L1204" s="126"/>
      <c r="M1204" s="104"/>
      <c r="N1204" s="265"/>
      <c r="O1204" s="260"/>
      <c r="P1204" s="106"/>
      <c r="Q1204" s="107"/>
      <c r="R1204" s="244"/>
      <c r="S1204" s="37"/>
      <c r="T1204" s="36" t="str">
        <f t="shared" ca="1" si="98"/>
        <v/>
      </c>
      <c r="U1204" s="37"/>
      <c r="V1204" s="37"/>
      <c r="W1204" s="38"/>
      <c r="X1204" s="39"/>
      <c r="Y1204" s="150"/>
      <c r="Z1204" s="40"/>
      <c r="AA1204" s="136" t="str">
        <f t="shared" ca="1" si="99"/>
        <v/>
      </c>
      <c r="AB1204" s="40"/>
      <c r="AC1204" s="116"/>
      <c r="AD1204" s="116"/>
      <c r="AE1204" s="40"/>
      <c r="AF1204" s="136" t="str">
        <f t="shared" ca="1" si="100"/>
        <v/>
      </c>
      <c r="AG1204" s="127"/>
      <c r="AH1204" s="127"/>
      <c r="AI1204" s="127"/>
      <c r="AJ1204" s="128"/>
      <c r="AK1204" s="128"/>
      <c r="AL1204" s="129"/>
    </row>
    <row r="1205" spans="1:38" ht="23.25" x14ac:dyDescent="0.25">
      <c r="A1205" s="489" t="str">
        <f t="shared" si="97"/>
        <v/>
      </c>
      <c r="B1205" s="490">
        <v>342</v>
      </c>
      <c r="C1205" s="489"/>
      <c r="D1205" s="491"/>
      <c r="E1205" s="124"/>
      <c r="F1205" s="124"/>
      <c r="G1205" s="251"/>
      <c r="H1205" s="443"/>
      <c r="I1205" s="126"/>
      <c r="J1205" s="47"/>
      <c r="K1205" s="126"/>
      <c r="L1205" s="126"/>
      <c r="M1205" s="104"/>
      <c r="N1205" s="265"/>
      <c r="O1205" s="260"/>
      <c r="P1205" s="106"/>
      <c r="Q1205" s="107"/>
      <c r="R1205" s="244"/>
      <c r="S1205" s="37"/>
      <c r="T1205" s="36" t="str">
        <f t="shared" ca="1" si="98"/>
        <v/>
      </c>
      <c r="U1205" s="37"/>
      <c r="V1205" s="37"/>
      <c r="W1205" s="38"/>
      <c r="X1205" s="39"/>
      <c r="Y1205" s="150"/>
      <c r="Z1205" s="40"/>
      <c r="AA1205" s="136" t="str">
        <f t="shared" ca="1" si="99"/>
        <v/>
      </c>
      <c r="AB1205" s="40"/>
      <c r="AC1205" s="116"/>
      <c r="AD1205" s="116"/>
      <c r="AE1205" s="40"/>
      <c r="AF1205" s="136" t="str">
        <f t="shared" ca="1" si="100"/>
        <v/>
      </c>
      <c r="AG1205" s="127"/>
      <c r="AH1205" s="127"/>
      <c r="AI1205" s="127"/>
      <c r="AJ1205" s="128"/>
      <c r="AK1205" s="128"/>
      <c r="AL1205" s="129"/>
    </row>
    <row r="1206" spans="1:38" ht="23.25" x14ac:dyDescent="0.25">
      <c r="A1206" s="489" t="str">
        <f t="shared" si="97"/>
        <v/>
      </c>
      <c r="B1206" s="490">
        <v>343</v>
      </c>
      <c r="C1206" s="489"/>
      <c r="D1206" s="491"/>
      <c r="E1206" s="124"/>
      <c r="F1206" s="124"/>
      <c r="G1206" s="251"/>
      <c r="H1206" s="443"/>
      <c r="I1206" s="126"/>
      <c r="J1206" s="47"/>
      <c r="K1206" s="126"/>
      <c r="L1206" s="126"/>
      <c r="M1206" s="104"/>
      <c r="N1206" s="265"/>
      <c r="O1206" s="260"/>
      <c r="P1206" s="106"/>
      <c r="Q1206" s="107"/>
      <c r="R1206" s="244"/>
      <c r="S1206" s="37"/>
      <c r="T1206" s="36" t="str">
        <f t="shared" ca="1" si="98"/>
        <v/>
      </c>
      <c r="U1206" s="37"/>
      <c r="V1206" s="37"/>
      <c r="W1206" s="38"/>
      <c r="X1206" s="39"/>
      <c r="Y1206" s="150"/>
      <c r="Z1206" s="40"/>
      <c r="AA1206" s="136" t="str">
        <f t="shared" ca="1" si="99"/>
        <v/>
      </c>
      <c r="AB1206" s="40"/>
      <c r="AC1206" s="116"/>
      <c r="AD1206" s="116"/>
      <c r="AE1206" s="40"/>
      <c r="AF1206" s="136" t="str">
        <f t="shared" ca="1" si="100"/>
        <v/>
      </c>
      <c r="AG1206" s="127"/>
      <c r="AH1206" s="127"/>
      <c r="AI1206" s="127"/>
      <c r="AJ1206" s="128"/>
      <c r="AK1206" s="128"/>
      <c r="AL1206" s="129"/>
    </row>
    <row r="1207" spans="1:38" ht="23.25" x14ac:dyDescent="0.25">
      <c r="A1207" s="489" t="str">
        <f t="shared" si="97"/>
        <v/>
      </c>
      <c r="B1207" s="490">
        <v>344</v>
      </c>
      <c r="C1207" s="489"/>
      <c r="D1207" s="491"/>
      <c r="E1207" s="124"/>
      <c r="F1207" s="124"/>
      <c r="G1207" s="251"/>
      <c r="H1207" s="443"/>
      <c r="I1207" s="126"/>
      <c r="J1207" s="47"/>
      <c r="K1207" s="126"/>
      <c r="L1207" s="126"/>
      <c r="M1207" s="104"/>
      <c r="N1207" s="265"/>
      <c r="O1207" s="260"/>
      <c r="P1207" s="106"/>
      <c r="Q1207" s="107"/>
      <c r="R1207" s="244"/>
      <c r="S1207" s="37"/>
      <c r="T1207" s="36" t="str">
        <f t="shared" ca="1" si="98"/>
        <v/>
      </c>
      <c r="U1207" s="37"/>
      <c r="V1207" s="37"/>
      <c r="W1207" s="38"/>
      <c r="X1207" s="39"/>
      <c r="Y1207" s="150"/>
      <c r="Z1207" s="40"/>
      <c r="AA1207" s="136" t="str">
        <f t="shared" ca="1" si="99"/>
        <v/>
      </c>
      <c r="AB1207" s="40"/>
      <c r="AC1207" s="116"/>
      <c r="AD1207" s="116"/>
      <c r="AE1207" s="40"/>
      <c r="AF1207" s="136" t="str">
        <f t="shared" ca="1" si="100"/>
        <v/>
      </c>
      <c r="AG1207" s="127"/>
      <c r="AH1207" s="127"/>
      <c r="AI1207" s="127"/>
      <c r="AJ1207" s="128"/>
      <c r="AK1207" s="128"/>
      <c r="AL1207" s="129"/>
    </row>
    <row r="1208" spans="1:38" ht="23.25" x14ac:dyDescent="0.25">
      <c r="A1208" s="489" t="str">
        <f t="shared" si="97"/>
        <v/>
      </c>
      <c r="B1208" s="490">
        <v>345</v>
      </c>
      <c r="C1208" s="489"/>
      <c r="D1208" s="491"/>
      <c r="E1208" s="124"/>
      <c r="F1208" s="124"/>
      <c r="G1208" s="251"/>
      <c r="H1208" s="443"/>
      <c r="I1208" s="126"/>
      <c r="J1208" s="47"/>
      <c r="K1208" s="126"/>
      <c r="L1208" s="126"/>
      <c r="M1208" s="104"/>
      <c r="N1208" s="265"/>
      <c r="O1208" s="260"/>
      <c r="P1208" s="106"/>
      <c r="Q1208" s="107"/>
      <c r="R1208" s="244"/>
      <c r="S1208" s="37"/>
      <c r="T1208" s="36" t="str">
        <f t="shared" ca="1" si="98"/>
        <v/>
      </c>
      <c r="U1208" s="37"/>
      <c r="V1208" s="37"/>
      <c r="W1208" s="38"/>
      <c r="X1208" s="39"/>
      <c r="Y1208" s="150"/>
      <c r="Z1208" s="40"/>
      <c r="AA1208" s="136" t="str">
        <f t="shared" ca="1" si="99"/>
        <v/>
      </c>
      <c r="AB1208" s="40"/>
      <c r="AC1208" s="116"/>
      <c r="AD1208" s="116"/>
      <c r="AE1208" s="40"/>
      <c r="AF1208" s="136" t="str">
        <f t="shared" ca="1" si="100"/>
        <v/>
      </c>
      <c r="AG1208" s="127"/>
      <c r="AH1208" s="127"/>
      <c r="AI1208" s="127"/>
      <c r="AJ1208" s="128"/>
      <c r="AK1208" s="128"/>
      <c r="AL1208" s="129"/>
    </row>
    <row r="1209" spans="1:38" ht="23.25" x14ac:dyDescent="0.25">
      <c r="A1209" s="489" t="str">
        <f t="shared" si="97"/>
        <v/>
      </c>
      <c r="B1209" s="490">
        <v>346</v>
      </c>
      <c r="C1209" s="489"/>
      <c r="D1209" s="491"/>
      <c r="E1209" s="124"/>
      <c r="F1209" s="124"/>
      <c r="G1209" s="251"/>
      <c r="H1209" s="443"/>
      <c r="I1209" s="126"/>
      <c r="J1209" s="47"/>
      <c r="K1209" s="126"/>
      <c r="L1209" s="126"/>
      <c r="M1209" s="104"/>
      <c r="N1209" s="265"/>
      <c r="O1209" s="260"/>
      <c r="P1209" s="106"/>
      <c r="Q1209" s="107"/>
      <c r="R1209" s="244"/>
      <c r="S1209" s="37"/>
      <c r="T1209" s="36" t="str">
        <f t="shared" ca="1" si="98"/>
        <v/>
      </c>
      <c r="U1209" s="37"/>
      <c r="V1209" s="37"/>
      <c r="W1209" s="38"/>
      <c r="X1209" s="39"/>
      <c r="Y1209" s="150"/>
      <c r="Z1209" s="40"/>
      <c r="AA1209" s="136" t="str">
        <f t="shared" ca="1" si="99"/>
        <v/>
      </c>
      <c r="AB1209" s="40"/>
      <c r="AC1209" s="116"/>
      <c r="AD1209" s="116"/>
      <c r="AE1209" s="40"/>
      <c r="AF1209" s="136" t="str">
        <f t="shared" ca="1" si="100"/>
        <v/>
      </c>
      <c r="AG1209" s="127"/>
      <c r="AH1209" s="127"/>
      <c r="AI1209" s="127"/>
      <c r="AJ1209" s="128"/>
      <c r="AK1209" s="128"/>
      <c r="AL1209" s="129"/>
    </row>
    <row r="1210" spans="1:38" ht="23.25" x14ac:dyDescent="0.25">
      <c r="A1210" s="489" t="str">
        <f t="shared" si="97"/>
        <v/>
      </c>
      <c r="B1210" s="490">
        <v>347</v>
      </c>
      <c r="C1210" s="489"/>
      <c r="D1210" s="491"/>
      <c r="E1210" s="124"/>
      <c r="F1210" s="124"/>
      <c r="G1210" s="251"/>
      <c r="H1210" s="443"/>
      <c r="I1210" s="126"/>
      <c r="J1210" s="47"/>
      <c r="K1210" s="126"/>
      <c r="L1210" s="126"/>
      <c r="M1210" s="104"/>
      <c r="N1210" s="265"/>
      <c r="O1210" s="260"/>
      <c r="P1210" s="106"/>
      <c r="Q1210" s="107"/>
      <c r="R1210" s="244"/>
      <c r="S1210" s="37"/>
      <c r="T1210" s="36" t="str">
        <f t="shared" ca="1" si="98"/>
        <v/>
      </c>
      <c r="U1210" s="37"/>
      <c r="V1210" s="37"/>
      <c r="W1210" s="38"/>
      <c r="X1210" s="39"/>
      <c r="Y1210" s="150"/>
      <c r="Z1210" s="40"/>
      <c r="AA1210" s="136" t="str">
        <f t="shared" ca="1" si="99"/>
        <v/>
      </c>
      <c r="AB1210" s="40"/>
      <c r="AC1210" s="116"/>
      <c r="AD1210" s="116"/>
      <c r="AE1210" s="40"/>
      <c r="AF1210" s="136" t="str">
        <f t="shared" ca="1" si="100"/>
        <v/>
      </c>
      <c r="AG1210" s="127"/>
      <c r="AH1210" s="127"/>
      <c r="AI1210" s="127"/>
      <c r="AJ1210" s="128"/>
      <c r="AK1210" s="128"/>
      <c r="AL1210" s="129"/>
    </row>
    <row r="1211" spans="1:38" ht="23.25" x14ac:dyDescent="0.25">
      <c r="A1211" s="489" t="str">
        <f t="shared" si="97"/>
        <v/>
      </c>
      <c r="B1211" s="490">
        <v>348</v>
      </c>
      <c r="C1211" s="489"/>
      <c r="D1211" s="491"/>
      <c r="E1211" s="124"/>
      <c r="F1211" s="124"/>
      <c r="G1211" s="251"/>
      <c r="H1211" s="443"/>
      <c r="I1211" s="126"/>
      <c r="J1211" s="47"/>
      <c r="K1211" s="126"/>
      <c r="L1211" s="126"/>
      <c r="M1211" s="104"/>
      <c r="N1211" s="265"/>
      <c r="O1211" s="260"/>
      <c r="P1211" s="106"/>
      <c r="Q1211" s="107"/>
      <c r="R1211" s="244"/>
      <c r="S1211" s="37"/>
      <c r="T1211" s="36" t="str">
        <f t="shared" ca="1" si="98"/>
        <v/>
      </c>
      <c r="U1211" s="37"/>
      <c r="V1211" s="37"/>
      <c r="W1211" s="38"/>
      <c r="X1211" s="39"/>
      <c r="Y1211" s="150"/>
      <c r="Z1211" s="40"/>
      <c r="AA1211" s="136" t="str">
        <f t="shared" ca="1" si="99"/>
        <v/>
      </c>
      <c r="AB1211" s="40"/>
      <c r="AC1211" s="116"/>
      <c r="AD1211" s="116"/>
      <c r="AE1211" s="40"/>
      <c r="AF1211" s="136" t="str">
        <f t="shared" ca="1" si="100"/>
        <v/>
      </c>
      <c r="AG1211" s="127"/>
      <c r="AH1211" s="127"/>
      <c r="AI1211" s="127"/>
      <c r="AJ1211" s="128"/>
      <c r="AK1211" s="128"/>
      <c r="AL1211" s="129"/>
    </row>
    <row r="1212" spans="1:38" ht="23.25" x14ac:dyDescent="0.25">
      <c r="A1212" s="489" t="str">
        <f t="shared" si="97"/>
        <v/>
      </c>
      <c r="B1212" s="490">
        <v>349</v>
      </c>
      <c r="C1212" s="489"/>
      <c r="D1212" s="491"/>
      <c r="E1212" s="124"/>
      <c r="F1212" s="124"/>
      <c r="G1212" s="251"/>
      <c r="H1212" s="443"/>
      <c r="I1212" s="126"/>
      <c r="J1212" s="47"/>
      <c r="K1212" s="126"/>
      <c r="L1212" s="126"/>
      <c r="M1212" s="104"/>
      <c r="N1212" s="265"/>
      <c r="O1212" s="260"/>
      <c r="P1212" s="106"/>
      <c r="Q1212" s="107"/>
      <c r="R1212" s="244"/>
      <c r="S1212" s="37"/>
      <c r="T1212" s="36" t="str">
        <f t="shared" ca="1" si="98"/>
        <v/>
      </c>
      <c r="U1212" s="37"/>
      <c r="V1212" s="37"/>
      <c r="W1212" s="38"/>
      <c r="X1212" s="39"/>
      <c r="Y1212" s="150"/>
      <c r="Z1212" s="40"/>
      <c r="AA1212" s="136" t="str">
        <f t="shared" ca="1" si="99"/>
        <v/>
      </c>
      <c r="AB1212" s="40"/>
      <c r="AC1212" s="116"/>
      <c r="AD1212" s="116"/>
      <c r="AE1212" s="40"/>
      <c r="AF1212" s="136" t="str">
        <f t="shared" ca="1" si="100"/>
        <v/>
      </c>
      <c r="AG1212" s="127"/>
      <c r="AH1212" s="127"/>
      <c r="AI1212" s="127"/>
      <c r="AJ1212" s="128"/>
      <c r="AK1212" s="128"/>
      <c r="AL1212" s="129"/>
    </row>
    <row r="1213" spans="1:38" ht="23.25" x14ac:dyDescent="0.25">
      <c r="A1213" s="489" t="str">
        <f t="shared" si="97"/>
        <v/>
      </c>
      <c r="B1213" s="490">
        <v>350</v>
      </c>
      <c r="C1213" s="489"/>
      <c r="D1213" s="491"/>
      <c r="E1213" s="124"/>
      <c r="F1213" s="124"/>
      <c r="G1213" s="251"/>
      <c r="H1213" s="443"/>
      <c r="I1213" s="126"/>
      <c r="J1213" s="47"/>
      <c r="K1213" s="126"/>
      <c r="L1213" s="126"/>
      <c r="M1213" s="104"/>
      <c r="N1213" s="265"/>
      <c r="O1213" s="260"/>
      <c r="P1213" s="106"/>
      <c r="Q1213" s="107"/>
      <c r="R1213" s="244"/>
      <c r="S1213" s="37"/>
      <c r="T1213" s="36" t="str">
        <f t="shared" ca="1" si="98"/>
        <v/>
      </c>
      <c r="U1213" s="37"/>
      <c r="V1213" s="37"/>
      <c r="W1213" s="38"/>
      <c r="X1213" s="39"/>
      <c r="Y1213" s="150"/>
      <c r="Z1213" s="40"/>
      <c r="AA1213" s="136" t="str">
        <f t="shared" ca="1" si="99"/>
        <v/>
      </c>
      <c r="AB1213" s="40"/>
      <c r="AC1213" s="116"/>
      <c r="AD1213" s="116"/>
      <c r="AE1213" s="40"/>
      <c r="AF1213" s="136" t="str">
        <f t="shared" ca="1" si="100"/>
        <v/>
      </c>
      <c r="AG1213" s="127"/>
      <c r="AH1213" s="127"/>
      <c r="AI1213" s="127"/>
      <c r="AJ1213" s="128"/>
      <c r="AK1213" s="128"/>
      <c r="AL1213" s="129"/>
    </row>
    <row r="1214" spans="1:38" ht="23.25" x14ac:dyDescent="0.25">
      <c r="A1214" s="489" t="str">
        <f t="shared" si="97"/>
        <v/>
      </c>
      <c r="B1214" s="490">
        <v>351</v>
      </c>
      <c r="C1214" s="489"/>
      <c r="D1214" s="491"/>
      <c r="E1214" s="124"/>
      <c r="F1214" s="124"/>
      <c r="G1214" s="251"/>
      <c r="H1214" s="443"/>
      <c r="I1214" s="126"/>
      <c r="J1214" s="47"/>
      <c r="K1214" s="126"/>
      <c r="L1214" s="126"/>
      <c r="M1214" s="104"/>
      <c r="N1214" s="265"/>
      <c r="O1214" s="260"/>
      <c r="P1214" s="106"/>
      <c r="Q1214" s="107"/>
      <c r="R1214" s="244"/>
      <c r="S1214" s="37"/>
      <c r="T1214" s="36" t="str">
        <f t="shared" ca="1" si="98"/>
        <v/>
      </c>
      <c r="U1214" s="37"/>
      <c r="V1214" s="37"/>
      <c r="W1214" s="38"/>
      <c r="X1214" s="39"/>
      <c r="Y1214" s="150"/>
      <c r="Z1214" s="40"/>
      <c r="AA1214" s="136" t="str">
        <f t="shared" ca="1" si="99"/>
        <v/>
      </c>
      <c r="AB1214" s="40"/>
      <c r="AC1214" s="116"/>
      <c r="AD1214" s="116"/>
      <c r="AE1214" s="40"/>
      <c r="AF1214" s="136" t="str">
        <f t="shared" ca="1" si="100"/>
        <v/>
      </c>
      <c r="AG1214" s="127"/>
      <c r="AH1214" s="127"/>
      <c r="AI1214" s="127"/>
      <c r="AJ1214" s="128"/>
      <c r="AK1214" s="128"/>
      <c r="AL1214" s="129"/>
    </row>
    <row r="1215" spans="1:38" ht="23.25" x14ac:dyDescent="0.25">
      <c r="A1215" s="489" t="str">
        <f t="shared" si="97"/>
        <v/>
      </c>
      <c r="B1215" s="490">
        <v>352</v>
      </c>
      <c r="C1215" s="489"/>
      <c r="D1215" s="491"/>
      <c r="E1215" s="124"/>
      <c r="F1215" s="124"/>
      <c r="G1215" s="251"/>
      <c r="H1215" s="443"/>
      <c r="I1215" s="126"/>
      <c r="J1215" s="47"/>
      <c r="K1215" s="126"/>
      <c r="L1215" s="126"/>
      <c r="M1215" s="104"/>
      <c r="N1215" s="265"/>
      <c r="O1215" s="260"/>
      <c r="P1215" s="106"/>
      <c r="Q1215" s="107"/>
      <c r="R1215" s="244"/>
      <c r="S1215" s="37"/>
      <c r="T1215" s="36" t="str">
        <f t="shared" ca="1" si="98"/>
        <v/>
      </c>
      <c r="U1215" s="37"/>
      <c r="V1215" s="37"/>
      <c r="W1215" s="38"/>
      <c r="X1215" s="39"/>
      <c r="Y1215" s="150"/>
      <c r="Z1215" s="40"/>
      <c r="AA1215" s="136" t="str">
        <f t="shared" ca="1" si="99"/>
        <v/>
      </c>
      <c r="AB1215" s="40"/>
      <c r="AC1215" s="116"/>
      <c r="AD1215" s="116"/>
      <c r="AE1215" s="40"/>
      <c r="AF1215" s="136" t="str">
        <f t="shared" ca="1" si="100"/>
        <v/>
      </c>
      <c r="AG1215" s="127"/>
      <c r="AH1215" s="127"/>
      <c r="AI1215" s="127"/>
      <c r="AJ1215" s="128"/>
      <c r="AK1215" s="128"/>
      <c r="AL1215" s="129"/>
    </row>
    <row r="1216" spans="1:38" ht="23.25" x14ac:dyDescent="0.25">
      <c r="A1216" s="489" t="str">
        <f t="shared" si="97"/>
        <v/>
      </c>
      <c r="B1216" s="490">
        <v>353</v>
      </c>
      <c r="C1216" s="489"/>
      <c r="D1216" s="491"/>
      <c r="E1216" s="124"/>
      <c r="F1216" s="124"/>
      <c r="G1216" s="251"/>
      <c r="H1216" s="443"/>
      <c r="I1216" s="126"/>
      <c r="J1216" s="47"/>
      <c r="K1216" s="126"/>
      <c r="L1216" s="126"/>
      <c r="M1216" s="104"/>
      <c r="N1216" s="265"/>
      <c r="O1216" s="260"/>
      <c r="P1216" s="106"/>
      <c r="Q1216" s="107"/>
      <c r="R1216" s="244"/>
      <c r="S1216" s="37"/>
      <c r="T1216" s="36" t="str">
        <f t="shared" ca="1" si="98"/>
        <v/>
      </c>
      <c r="U1216" s="37"/>
      <c r="V1216" s="37"/>
      <c r="W1216" s="38"/>
      <c r="X1216" s="39"/>
      <c r="Y1216" s="150"/>
      <c r="Z1216" s="40"/>
      <c r="AA1216" s="136" t="str">
        <f t="shared" ca="1" si="99"/>
        <v/>
      </c>
      <c r="AB1216" s="40"/>
      <c r="AC1216" s="116"/>
      <c r="AD1216" s="116"/>
      <c r="AE1216" s="40"/>
      <c r="AF1216" s="136" t="str">
        <f t="shared" ca="1" si="100"/>
        <v/>
      </c>
      <c r="AG1216" s="127"/>
      <c r="AH1216" s="127"/>
      <c r="AI1216" s="127"/>
      <c r="AJ1216" s="128"/>
      <c r="AK1216" s="128"/>
      <c r="AL1216" s="129"/>
    </row>
    <row r="1217" spans="1:38" ht="23.25" x14ac:dyDescent="0.25">
      <c r="A1217" s="489" t="str">
        <f t="shared" si="97"/>
        <v/>
      </c>
      <c r="B1217" s="490">
        <v>354</v>
      </c>
      <c r="C1217" s="489"/>
      <c r="D1217" s="491"/>
      <c r="E1217" s="124"/>
      <c r="F1217" s="124"/>
      <c r="G1217" s="251"/>
      <c r="H1217" s="443"/>
      <c r="I1217" s="126"/>
      <c r="J1217" s="47"/>
      <c r="K1217" s="126"/>
      <c r="L1217" s="126"/>
      <c r="M1217" s="104"/>
      <c r="N1217" s="265"/>
      <c r="O1217" s="260"/>
      <c r="P1217" s="106"/>
      <c r="Q1217" s="107"/>
      <c r="R1217" s="244"/>
      <c r="S1217" s="37"/>
      <c r="T1217" s="36" t="str">
        <f t="shared" ca="1" si="98"/>
        <v/>
      </c>
      <c r="U1217" s="37"/>
      <c r="V1217" s="37"/>
      <c r="W1217" s="38"/>
      <c r="X1217" s="39"/>
      <c r="Y1217" s="150"/>
      <c r="Z1217" s="40"/>
      <c r="AA1217" s="136" t="str">
        <f t="shared" ca="1" si="99"/>
        <v/>
      </c>
      <c r="AB1217" s="40"/>
      <c r="AC1217" s="116"/>
      <c r="AD1217" s="116"/>
      <c r="AE1217" s="40"/>
      <c r="AF1217" s="136" t="str">
        <f t="shared" ca="1" si="100"/>
        <v/>
      </c>
      <c r="AG1217" s="127"/>
      <c r="AH1217" s="127"/>
      <c r="AI1217" s="127"/>
      <c r="AJ1217" s="128"/>
      <c r="AK1217" s="128"/>
      <c r="AL1217" s="129"/>
    </row>
    <row r="1218" spans="1:38" ht="23.25" x14ac:dyDescent="0.25">
      <c r="A1218" s="489" t="str">
        <f t="shared" si="97"/>
        <v/>
      </c>
      <c r="B1218" s="490">
        <v>355</v>
      </c>
      <c r="C1218" s="489"/>
      <c r="D1218" s="491"/>
      <c r="E1218" s="124"/>
      <c r="F1218" s="124"/>
      <c r="G1218" s="251"/>
      <c r="H1218" s="443"/>
      <c r="I1218" s="126"/>
      <c r="J1218" s="47"/>
      <c r="K1218" s="126"/>
      <c r="L1218" s="126"/>
      <c r="M1218" s="104"/>
      <c r="N1218" s="265"/>
      <c r="O1218" s="260"/>
      <c r="P1218" s="106"/>
      <c r="Q1218" s="107"/>
      <c r="R1218" s="244"/>
      <c r="S1218" s="37"/>
      <c r="T1218" s="36" t="str">
        <f t="shared" ca="1" si="98"/>
        <v/>
      </c>
      <c r="U1218" s="37"/>
      <c r="V1218" s="37"/>
      <c r="W1218" s="38"/>
      <c r="X1218" s="39"/>
      <c r="Y1218" s="150"/>
      <c r="Z1218" s="40"/>
      <c r="AA1218" s="136" t="str">
        <f t="shared" ca="1" si="99"/>
        <v/>
      </c>
      <c r="AB1218" s="40"/>
      <c r="AC1218" s="116"/>
      <c r="AD1218" s="116"/>
      <c r="AE1218" s="40"/>
      <c r="AF1218" s="136" t="str">
        <f t="shared" ca="1" si="100"/>
        <v/>
      </c>
      <c r="AG1218" s="127"/>
      <c r="AH1218" s="127"/>
      <c r="AI1218" s="127"/>
      <c r="AJ1218" s="128"/>
      <c r="AK1218" s="128"/>
      <c r="AL1218" s="129"/>
    </row>
    <row r="1219" spans="1:38" ht="23.25" x14ac:dyDescent="0.25">
      <c r="A1219" s="489" t="str">
        <f t="shared" si="97"/>
        <v/>
      </c>
      <c r="B1219" s="490">
        <v>356</v>
      </c>
      <c r="C1219" s="489"/>
      <c r="D1219" s="491"/>
      <c r="E1219" s="124"/>
      <c r="F1219" s="124"/>
      <c r="G1219" s="251"/>
      <c r="H1219" s="443"/>
      <c r="I1219" s="126"/>
      <c r="J1219" s="47"/>
      <c r="K1219" s="126"/>
      <c r="L1219" s="126"/>
      <c r="M1219" s="104"/>
      <c r="N1219" s="265"/>
      <c r="O1219" s="260"/>
      <c r="P1219" s="106"/>
      <c r="Q1219" s="107"/>
      <c r="R1219" s="244"/>
      <c r="S1219" s="37"/>
      <c r="T1219" s="36" t="str">
        <f t="shared" ca="1" si="98"/>
        <v/>
      </c>
      <c r="U1219" s="37"/>
      <c r="V1219" s="37"/>
      <c r="W1219" s="38"/>
      <c r="X1219" s="39"/>
      <c r="Y1219" s="150"/>
      <c r="Z1219" s="40"/>
      <c r="AA1219" s="136" t="str">
        <f t="shared" ca="1" si="99"/>
        <v/>
      </c>
      <c r="AB1219" s="40"/>
      <c r="AC1219" s="116"/>
      <c r="AD1219" s="116"/>
      <c r="AE1219" s="40"/>
      <c r="AF1219" s="136" t="str">
        <f t="shared" ca="1" si="100"/>
        <v/>
      </c>
      <c r="AG1219" s="127"/>
      <c r="AH1219" s="127"/>
      <c r="AI1219" s="127"/>
      <c r="AJ1219" s="128"/>
      <c r="AK1219" s="128"/>
      <c r="AL1219" s="129"/>
    </row>
    <row r="1220" spans="1:38" ht="23.25" x14ac:dyDescent="0.25">
      <c r="A1220" s="489" t="str">
        <f t="shared" ref="A1220:A1283" si="101">IF(C1220="","",CONCATENATE(18,MID(C1220,1,3),IF(B1220&lt;10,"00",),B1220))</f>
        <v/>
      </c>
      <c r="B1220" s="490">
        <v>357</v>
      </c>
      <c r="C1220" s="489"/>
      <c r="D1220" s="491"/>
      <c r="E1220" s="124"/>
      <c r="F1220" s="124"/>
      <c r="G1220" s="251"/>
      <c r="H1220" s="443"/>
      <c r="I1220" s="126"/>
      <c r="J1220" s="47"/>
      <c r="K1220" s="126"/>
      <c r="L1220" s="126"/>
      <c r="M1220" s="104"/>
      <c r="N1220" s="265"/>
      <c r="O1220" s="260"/>
      <c r="P1220" s="106"/>
      <c r="Q1220" s="107"/>
      <c r="R1220" s="244"/>
      <c r="S1220" s="37"/>
      <c r="T1220" s="36" t="str">
        <f t="shared" ca="1" si="98"/>
        <v/>
      </c>
      <c r="U1220" s="37"/>
      <c r="V1220" s="37"/>
      <c r="W1220" s="38"/>
      <c r="X1220" s="39"/>
      <c r="Y1220" s="150"/>
      <c r="Z1220" s="40"/>
      <c r="AA1220" s="136" t="str">
        <f t="shared" ca="1" si="99"/>
        <v/>
      </c>
      <c r="AB1220" s="40"/>
      <c r="AC1220" s="116"/>
      <c r="AD1220" s="116"/>
      <c r="AE1220" s="40"/>
      <c r="AF1220" s="136" t="str">
        <f t="shared" ca="1" si="100"/>
        <v/>
      </c>
      <c r="AG1220" s="127"/>
      <c r="AH1220" s="127"/>
      <c r="AI1220" s="127"/>
      <c r="AJ1220" s="128"/>
      <c r="AK1220" s="128"/>
      <c r="AL1220" s="129"/>
    </row>
    <row r="1221" spans="1:38" ht="23.25" x14ac:dyDescent="0.25">
      <c r="A1221" s="489" t="str">
        <f t="shared" si="101"/>
        <v/>
      </c>
      <c r="B1221" s="490">
        <v>358</v>
      </c>
      <c r="C1221" s="489"/>
      <c r="D1221" s="491"/>
      <c r="E1221" s="124"/>
      <c r="F1221" s="124"/>
      <c r="G1221" s="251"/>
      <c r="H1221" s="443"/>
      <c r="I1221" s="126"/>
      <c r="J1221" s="47"/>
      <c r="K1221" s="126"/>
      <c r="L1221" s="126"/>
      <c r="M1221" s="104"/>
      <c r="N1221" s="265"/>
      <c r="O1221" s="260"/>
      <c r="P1221" s="106"/>
      <c r="Q1221" s="107"/>
      <c r="R1221" s="244"/>
      <c r="S1221" s="37"/>
      <c r="T1221" s="36" t="str">
        <f t="shared" ca="1" si="98"/>
        <v/>
      </c>
      <c r="U1221" s="37"/>
      <c r="V1221" s="37"/>
      <c r="W1221" s="38"/>
      <c r="X1221" s="39"/>
      <c r="Y1221" s="150"/>
      <c r="Z1221" s="40"/>
      <c r="AA1221" s="136" t="str">
        <f t="shared" ca="1" si="99"/>
        <v/>
      </c>
      <c r="AB1221" s="40"/>
      <c r="AC1221" s="116"/>
      <c r="AD1221" s="116"/>
      <c r="AE1221" s="40"/>
      <c r="AF1221" s="136" t="str">
        <f t="shared" ca="1" si="100"/>
        <v/>
      </c>
      <c r="AG1221" s="127"/>
      <c r="AH1221" s="127"/>
      <c r="AI1221" s="127"/>
      <c r="AJ1221" s="128"/>
      <c r="AK1221" s="128"/>
      <c r="AL1221" s="129"/>
    </row>
    <row r="1222" spans="1:38" ht="23.25" x14ac:dyDescent="0.25">
      <c r="A1222" s="489" t="str">
        <f t="shared" si="101"/>
        <v/>
      </c>
      <c r="B1222" s="490">
        <v>359</v>
      </c>
      <c r="C1222" s="489"/>
      <c r="D1222" s="491"/>
      <c r="E1222" s="124"/>
      <c r="F1222" s="124"/>
      <c r="G1222" s="251"/>
      <c r="H1222" s="443"/>
      <c r="I1222" s="126"/>
      <c r="J1222" s="47"/>
      <c r="K1222" s="126"/>
      <c r="L1222" s="126"/>
      <c r="M1222" s="104"/>
      <c r="N1222" s="265"/>
      <c r="O1222" s="260"/>
      <c r="P1222" s="106"/>
      <c r="Q1222" s="107"/>
      <c r="R1222" s="244"/>
      <c r="S1222" s="37"/>
      <c r="T1222" s="36" t="str">
        <f t="shared" ca="1" si="98"/>
        <v/>
      </c>
      <c r="U1222" s="37"/>
      <c r="V1222" s="37"/>
      <c r="W1222" s="38"/>
      <c r="X1222" s="39"/>
      <c r="Y1222" s="150"/>
      <c r="Z1222" s="40"/>
      <c r="AA1222" s="136" t="str">
        <f t="shared" ca="1" si="99"/>
        <v/>
      </c>
      <c r="AB1222" s="40"/>
      <c r="AC1222" s="116"/>
      <c r="AD1222" s="116"/>
      <c r="AE1222" s="40"/>
      <c r="AF1222" s="136" t="str">
        <f t="shared" ca="1" si="100"/>
        <v/>
      </c>
      <c r="AG1222" s="127"/>
      <c r="AH1222" s="127"/>
      <c r="AI1222" s="127"/>
      <c r="AJ1222" s="128"/>
      <c r="AK1222" s="128"/>
      <c r="AL1222" s="129"/>
    </row>
    <row r="1223" spans="1:38" ht="23.25" x14ac:dyDescent="0.25">
      <c r="A1223" s="489" t="str">
        <f t="shared" si="101"/>
        <v/>
      </c>
      <c r="B1223" s="490">
        <v>360</v>
      </c>
      <c r="C1223" s="489"/>
      <c r="D1223" s="491"/>
      <c r="E1223" s="124"/>
      <c r="F1223" s="124"/>
      <c r="G1223" s="251"/>
      <c r="H1223" s="443"/>
      <c r="I1223" s="126"/>
      <c r="J1223" s="47"/>
      <c r="K1223" s="126"/>
      <c r="L1223" s="126"/>
      <c r="M1223" s="104"/>
      <c r="N1223" s="265"/>
      <c r="O1223" s="260"/>
      <c r="P1223" s="106"/>
      <c r="Q1223" s="107"/>
      <c r="R1223" s="244"/>
      <c r="S1223" s="37"/>
      <c r="T1223" s="36" t="str">
        <f t="shared" ca="1" si="98"/>
        <v/>
      </c>
      <c r="U1223" s="37"/>
      <c r="V1223" s="37"/>
      <c r="W1223" s="38"/>
      <c r="X1223" s="39"/>
      <c r="Y1223" s="150"/>
      <c r="Z1223" s="40"/>
      <c r="AA1223" s="136" t="str">
        <f t="shared" ca="1" si="99"/>
        <v/>
      </c>
      <c r="AB1223" s="40"/>
      <c r="AC1223" s="116"/>
      <c r="AD1223" s="116"/>
      <c r="AE1223" s="40"/>
      <c r="AF1223" s="136" t="str">
        <f t="shared" ca="1" si="100"/>
        <v/>
      </c>
      <c r="AG1223" s="127"/>
      <c r="AH1223" s="127"/>
      <c r="AI1223" s="127"/>
      <c r="AJ1223" s="128"/>
      <c r="AK1223" s="128"/>
      <c r="AL1223" s="129"/>
    </row>
    <row r="1224" spans="1:38" ht="23.25" x14ac:dyDescent="0.25">
      <c r="A1224" s="489" t="str">
        <f t="shared" si="101"/>
        <v/>
      </c>
      <c r="B1224" s="490">
        <v>361</v>
      </c>
      <c r="C1224" s="489"/>
      <c r="D1224" s="491"/>
      <c r="E1224" s="124"/>
      <c r="F1224" s="124"/>
      <c r="G1224" s="251"/>
      <c r="H1224" s="443"/>
      <c r="I1224" s="126"/>
      <c r="J1224" s="47"/>
      <c r="K1224" s="126"/>
      <c r="L1224" s="126"/>
      <c r="M1224" s="104"/>
      <c r="N1224" s="265"/>
      <c r="O1224" s="260"/>
      <c r="P1224" s="106"/>
      <c r="Q1224" s="107"/>
      <c r="R1224" s="244"/>
      <c r="S1224" s="37"/>
      <c r="T1224" s="36" t="str">
        <f t="shared" ca="1" si="98"/>
        <v/>
      </c>
      <c r="U1224" s="37"/>
      <c r="V1224" s="37"/>
      <c r="W1224" s="38"/>
      <c r="X1224" s="39"/>
      <c r="Y1224" s="150"/>
      <c r="Z1224" s="40"/>
      <c r="AA1224" s="136" t="str">
        <f t="shared" ca="1" si="99"/>
        <v/>
      </c>
      <c r="AB1224" s="40"/>
      <c r="AC1224" s="116"/>
      <c r="AD1224" s="116"/>
      <c r="AE1224" s="40"/>
      <c r="AF1224" s="136" t="str">
        <f t="shared" ca="1" si="100"/>
        <v/>
      </c>
      <c r="AG1224" s="127"/>
      <c r="AH1224" s="127"/>
      <c r="AI1224" s="127"/>
      <c r="AJ1224" s="128"/>
      <c r="AK1224" s="128"/>
      <c r="AL1224" s="129"/>
    </row>
    <row r="1225" spans="1:38" ht="23.25" x14ac:dyDescent="0.25">
      <c r="A1225" s="489" t="str">
        <f t="shared" si="101"/>
        <v/>
      </c>
      <c r="B1225" s="490">
        <v>362</v>
      </c>
      <c r="C1225" s="489"/>
      <c r="D1225" s="491"/>
      <c r="E1225" s="124"/>
      <c r="F1225" s="124"/>
      <c r="G1225" s="251"/>
      <c r="H1225" s="443"/>
      <c r="I1225" s="126"/>
      <c r="J1225" s="47"/>
      <c r="K1225" s="126"/>
      <c r="L1225" s="126"/>
      <c r="M1225" s="104"/>
      <c r="N1225" s="265"/>
      <c r="O1225" s="260"/>
      <c r="P1225" s="106"/>
      <c r="Q1225" s="107"/>
      <c r="R1225" s="244"/>
      <c r="S1225" s="37"/>
      <c r="T1225" s="36" t="str">
        <f t="shared" ca="1" si="98"/>
        <v/>
      </c>
      <c r="U1225" s="37"/>
      <c r="V1225" s="37"/>
      <c r="W1225" s="38"/>
      <c r="X1225" s="39"/>
      <c r="Y1225" s="150"/>
      <c r="Z1225" s="40"/>
      <c r="AA1225" s="136" t="str">
        <f t="shared" ca="1" si="99"/>
        <v/>
      </c>
      <c r="AB1225" s="40"/>
      <c r="AC1225" s="116"/>
      <c r="AD1225" s="116"/>
      <c r="AE1225" s="40"/>
      <c r="AF1225" s="136" t="str">
        <f t="shared" ca="1" si="100"/>
        <v/>
      </c>
      <c r="AG1225" s="127"/>
      <c r="AH1225" s="127"/>
      <c r="AI1225" s="127"/>
      <c r="AJ1225" s="128"/>
      <c r="AK1225" s="128"/>
      <c r="AL1225" s="129"/>
    </row>
    <row r="1226" spans="1:38" ht="23.25" x14ac:dyDescent="0.25">
      <c r="A1226" s="489" t="str">
        <f t="shared" si="101"/>
        <v/>
      </c>
      <c r="B1226" s="490">
        <v>363</v>
      </c>
      <c r="C1226" s="489"/>
      <c r="D1226" s="491"/>
      <c r="E1226" s="124"/>
      <c r="F1226" s="124"/>
      <c r="G1226" s="251"/>
      <c r="H1226" s="443"/>
      <c r="I1226" s="126"/>
      <c r="J1226" s="47"/>
      <c r="K1226" s="126"/>
      <c r="L1226" s="126"/>
      <c r="M1226" s="104"/>
      <c r="N1226" s="265"/>
      <c r="O1226" s="260"/>
      <c r="P1226" s="106"/>
      <c r="Q1226" s="107"/>
      <c r="R1226" s="244"/>
      <c r="S1226" s="37"/>
      <c r="T1226" s="36" t="str">
        <f t="shared" ca="1" si="98"/>
        <v/>
      </c>
      <c r="U1226" s="37"/>
      <c r="V1226" s="37"/>
      <c r="W1226" s="38"/>
      <c r="X1226" s="39"/>
      <c r="Y1226" s="150"/>
      <c r="Z1226" s="40"/>
      <c r="AA1226" s="136" t="str">
        <f t="shared" ca="1" si="99"/>
        <v/>
      </c>
      <c r="AB1226" s="40"/>
      <c r="AC1226" s="116"/>
      <c r="AD1226" s="116"/>
      <c r="AE1226" s="40"/>
      <c r="AF1226" s="136" t="str">
        <f t="shared" ca="1" si="100"/>
        <v/>
      </c>
      <c r="AG1226" s="127"/>
      <c r="AH1226" s="127"/>
      <c r="AI1226" s="127"/>
      <c r="AJ1226" s="128"/>
      <c r="AK1226" s="128"/>
      <c r="AL1226" s="129"/>
    </row>
    <row r="1227" spans="1:38" ht="23.25" x14ac:dyDescent="0.25">
      <c r="A1227" s="489" t="str">
        <f t="shared" si="101"/>
        <v/>
      </c>
      <c r="B1227" s="490">
        <v>364</v>
      </c>
      <c r="C1227" s="489"/>
      <c r="D1227" s="491"/>
      <c r="E1227" s="124"/>
      <c r="F1227" s="124"/>
      <c r="G1227" s="251"/>
      <c r="H1227" s="443"/>
      <c r="I1227" s="126"/>
      <c r="J1227" s="47"/>
      <c r="K1227" s="126"/>
      <c r="L1227" s="126"/>
      <c r="M1227" s="104"/>
      <c r="N1227" s="265"/>
      <c r="O1227" s="260"/>
      <c r="P1227" s="106"/>
      <c r="Q1227" s="107"/>
      <c r="R1227" s="244"/>
      <c r="S1227" s="37"/>
      <c r="T1227" s="36" t="str">
        <f t="shared" ca="1" si="98"/>
        <v/>
      </c>
      <c r="U1227" s="37"/>
      <c r="V1227" s="37"/>
      <c r="W1227" s="38"/>
      <c r="X1227" s="39"/>
      <c r="Y1227" s="150"/>
      <c r="Z1227" s="40"/>
      <c r="AA1227" s="136" t="str">
        <f t="shared" ca="1" si="99"/>
        <v/>
      </c>
      <c r="AB1227" s="40"/>
      <c r="AC1227" s="116"/>
      <c r="AD1227" s="116"/>
      <c r="AE1227" s="40"/>
      <c r="AF1227" s="136" t="str">
        <f t="shared" ca="1" si="100"/>
        <v/>
      </c>
      <c r="AG1227" s="127"/>
      <c r="AH1227" s="127"/>
      <c r="AI1227" s="127"/>
      <c r="AJ1227" s="128"/>
      <c r="AK1227" s="128"/>
      <c r="AL1227" s="129"/>
    </row>
    <row r="1228" spans="1:38" ht="23.25" x14ac:dyDescent="0.25">
      <c r="A1228" s="489" t="str">
        <f t="shared" si="101"/>
        <v/>
      </c>
      <c r="B1228" s="490">
        <v>365</v>
      </c>
      <c r="C1228" s="489"/>
      <c r="D1228" s="491"/>
      <c r="E1228" s="124"/>
      <c r="F1228" s="124"/>
      <c r="G1228" s="251"/>
      <c r="H1228" s="443"/>
      <c r="I1228" s="126"/>
      <c r="J1228" s="47"/>
      <c r="K1228" s="126"/>
      <c r="L1228" s="126"/>
      <c r="M1228" s="104"/>
      <c r="N1228" s="265"/>
      <c r="O1228" s="260"/>
      <c r="P1228" s="106"/>
      <c r="Q1228" s="107"/>
      <c r="R1228" s="244"/>
      <c r="S1228" s="37"/>
      <c r="T1228" s="36" t="str">
        <f t="shared" ca="1" si="98"/>
        <v/>
      </c>
      <c r="U1228" s="37"/>
      <c r="V1228" s="37"/>
      <c r="W1228" s="38"/>
      <c r="X1228" s="39"/>
      <c r="Y1228" s="150"/>
      <c r="Z1228" s="40"/>
      <c r="AA1228" s="136" t="str">
        <f t="shared" ca="1" si="99"/>
        <v/>
      </c>
      <c r="AB1228" s="40"/>
      <c r="AC1228" s="116"/>
      <c r="AD1228" s="116"/>
      <c r="AE1228" s="40"/>
      <c r="AF1228" s="136" t="str">
        <f t="shared" ca="1" si="100"/>
        <v/>
      </c>
      <c r="AG1228" s="127"/>
      <c r="AH1228" s="127"/>
      <c r="AI1228" s="127"/>
      <c r="AJ1228" s="128"/>
      <c r="AK1228" s="128"/>
      <c r="AL1228" s="129"/>
    </row>
    <row r="1229" spans="1:38" ht="23.25" x14ac:dyDescent="0.25">
      <c r="A1229" s="489" t="str">
        <f t="shared" si="101"/>
        <v/>
      </c>
      <c r="B1229" s="490">
        <v>366</v>
      </c>
      <c r="C1229" s="489"/>
      <c r="D1229" s="491"/>
      <c r="E1229" s="124"/>
      <c r="F1229" s="124"/>
      <c r="G1229" s="251"/>
      <c r="H1229" s="443"/>
      <c r="I1229" s="126"/>
      <c r="J1229" s="47"/>
      <c r="K1229" s="126"/>
      <c r="L1229" s="126"/>
      <c r="M1229" s="104"/>
      <c r="N1229" s="265"/>
      <c r="O1229" s="260"/>
      <c r="P1229" s="106"/>
      <c r="Q1229" s="107"/>
      <c r="R1229" s="244"/>
      <c r="S1229" s="37"/>
      <c r="T1229" s="36" t="str">
        <f t="shared" ca="1" si="98"/>
        <v/>
      </c>
      <c r="U1229" s="37"/>
      <c r="V1229" s="37"/>
      <c r="W1229" s="38"/>
      <c r="X1229" s="39"/>
      <c r="Y1229" s="150"/>
      <c r="Z1229" s="40"/>
      <c r="AA1229" s="136" t="str">
        <f t="shared" ca="1" si="99"/>
        <v/>
      </c>
      <c r="AB1229" s="40"/>
      <c r="AC1229" s="116"/>
      <c r="AD1229" s="116"/>
      <c r="AE1229" s="40"/>
      <c r="AF1229" s="136" t="str">
        <f t="shared" ca="1" si="100"/>
        <v/>
      </c>
      <c r="AG1229" s="127"/>
      <c r="AH1229" s="127"/>
      <c r="AI1229" s="127"/>
      <c r="AJ1229" s="128"/>
      <c r="AK1229" s="128"/>
      <c r="AL1229" s="129"/>
    </row>
    <row r="1230" spans="1:38" ht="23.25" x14ac:dyDescent="0.25">
      <c r="A1230" s="489" t="str">
        <f t="shared" si="101"/>
        <v/>
      </c>
      <c r="B1230" s="490">
        <v>367</v>
      </c>
      <c r="C1230" s="489"/>
      <c r="D1230" s="491"/>
      <c r="E1230" s="124"/>
      <c r="F1230" s="124"/>
      <c r="G1230" s="251"/>
      <c r="H1230" s="443"/>
      <c r="I1230" s="126"/>
      <c r="J1230" s="47"/>
      <c r="K1230" s="126"/>
      <c r="L1230" s="126"/>
      <c r="M1230" s="104"/>
      <c r="N1230" s="265"/>
      <c r="O1230" s="260"/>
      <c r="P1230" s="106"/>
      <c r="Q1230" s="107"/>
      <c r="R1230" s="244"/>
      <c r="S1230" s="37"/>
      <c r="T1230" s="36" t="str">
        <f t="shared" ca="1" si="98"/>
        <v/>
      </c>
      <c r="U1230" s="37"/>
      <c r="V1230" s="37"/>
      <c r="W1230" s="38"/>
      <c r="X1230" s="39"/>
      <c r="Y1230" s="150"/>
      <c r="Z1230" s="40"/>
      <c r="AA1230" s="136" t="str">
        <f t="shared" ca="1" si="99"/>
        <v/>
      </c>
      <c r="AB1230" s="40"/>
      <c r="AC1230" s="116"/>
      <c r="AD1230" s="116"/>
      <c r="AE1230" s="40"/>
      <c r="AF1230" s="136" t="str">
        <f t="shared" ca="1" si="100"/>
        <v/>
      </c>
      <c r="AG1230" s="127"/>
      <c r="AH1230" s="127"/>
      <c r="AI1230" s="127"/>
      <c r="AJ1230" s="128"/>
      <c r="AK1230" s="128"/>
      <c r="AL1230" s="129"/>
    </row>
    <row r="1231" spans="1:38" ht="23.25" x14ac:dyDescent="0.25">
      <c r="A1231" s="489" t="str">
        <f t="shared" si="101"/>
        <v/>
      </c>
      <c r="B1231" s="490">
        <v>368</v>
      </c>
      <c r="C1231" s="489"/>
      <c r="D1231" s="491"/>
      <c r="E1231" s="124"/>
      <c r="F1231" s="124"/>
      <c r="G1231" s="251"/>
      <c r="H1231" s="443"/>
      <c r="I1231" s="126"/>
      <c r="J1231" s="47"/>
      <c r="K1231" s="126"/>
      <c r="L1231" s="126"/>
      <c r="M1231" s="104"/>
      <c r="N1231" s="265"/>
      <c r="O1231" s="260"/>
      <c r="P1231" s="106"/>
      <c r="Q1231" s="107"/>
      <c r="R1231" s="244"/>
      <c r="S1231" s="37"/>
      <c r="T1231" s="36" t="str">
        <f t="shared" ca="1" si="98"/>
        <v/>
      </c>
      <c r="U1231" s="37"/>
      <c r="V1231" s="37"/>
      <c r="W1231" s="38"/>
      <c r="X1231" s="39"/>
      <c r="Y1231" s="150"/>
      <c r="Z1231" s="40"/>
      <c r="AA1231" s="136" t="str">
        <f t="shared" ca="1" si="99"/>
        <v/>
      </c>
      <c r="AB1231" s="40"/>
      <c r="AC1231" s="116"/>
      <c r="AD1231" s="116"/>
      <c r="AE1231" s="40"/>
      <c r="AF1231" s="136" t="str">
        <f t="shared" ca="1" si="100"/>
        <v/>
      </c>
      <c r="AG1231" s="127"/>
      <c r="AH1231" s="127"/>
      <c r="AI1231" s="127"/>
      <c r="AJ1231" s="128"/>
      <c r="AK1231" s="128"/>
      <c r="AL1231" s="129"/>
    </row>
    <row r="1232" spans="1:38" ht="23.25" x14ac:dyDescent="0.25">
      <c r="A1232" s="489" t="str">
        <f t="shared" si="101"/>
        <v/>
      </c>
      <c r="B1232" s="490">
        <v>369</v>
      </c>
      <c r="C1232" s="489"/>
      <c r="D1232" s="491"/>
      <c r="E1232" s="124"/>
      <c r="F1232" s="124"/>
      <c r="G1232" s="251"/>
      <c r="H1232" s="443"/>
      <c r="I1232" s="126"/>
      <c r="J1232" s="47"/>
      <c r="K1232" s="126"/>
      <c r="L1232" s="126"/>
      <c r="M1232" s="104"/>
      <c r="N1232" s="265"/>
      <c r="O1232" s="260"/>
      <c r="P1232" s="106"/>
      <c r="Q1232" s="107"/>
      <c r="R1232" s="244"/>
      <c r="S1232" s="37"/>
      <c r="T1232" s="36" t="str">
        <f t="shared" ref="T1232:T1295" ca="1" si="102">IF(S1232="","",IF(S1232=0,"Empty",IF(O1232="","",IF(O1232,DAYS360(O1232,TODAY())))))</f>
        <v/>
      </c>
      <c r="U1232" s="37"/>
      <c r="V1232" s="37"/>
      <c r="W1232" s="38"/>
      <c r="X1232" s="39"/>
      <c r="Y1232" s="150"/>
      <c r="Z1232" s="40"/>
      <c r="AA1232" s="136" t="str">
        <f t="shared" ref="AA1232:AA1295" ca="1" si="103">IF(W1232="","",IF(W1232,DAYS360(W1232,TODAY())))</f>
        <v/>
      </c>
      <c r="AB1232" s="40"/>
      <c r="AC1232" s="116"/>
      <c r="AD1232" s="116"/>
      <c r="AE1232" s="40"/>
      <c r="AF1232" s="136" t="str">
        <f t="shared" ref="AF1232:AF1295" ca="1" si="104">IF(AB1232="","",IF(AB1232,DAYS360(AB1232,TODAY())))</f>
        <v/>
      </c>
      <c r="AG1232" s="127"/>
      <c r="AH1232" s="127"/>
      <c r="AI1232" s="127"/>
      <c r="AJ1232" s="128"/>
      <c r="AK1232" s="128"/>
      <c r="AL1232" s="129"/>
    </row>
    <row r="1233" spans="1:38" ht="23.25" x14ac:dyDescent="0.25">
      <c r="A1233" s="489" t="str">
        <f t="shared" si="101"/>
        <v/>
      </c>
      <c r="B1233" s="490">
        <v>370</v>
      </c>
      <c r="C1233" s="489"/>
      <c r="D1233" s="491"/>
      <c r="E1233" s="124"/>
      <c r="F1233" s="124"/>
      <c r="G1233" s="251"/>
      <c r="H1233" s="443"/>
      <c r="I1233" s="126"/>
      <c r="J1233" s="47"/>
      <c r="K1233" s="126"/>
      <c r="L1233" s="126"/>
      <c r="M1233" s="104"/>
      <c r="N1233" s="265"/>
      <c r="O1233" s="260"/>
      <c r="P1233" s="106"/>
      <c r="Q1233" s="107"/>
      <c r="R1233" s="244"/>
      <c r="S1233" s="37"/>
      <c r="T1233" s="36" t="str">
        <f t="shared" ca="1" si="102"/>
        <v/>
      </c>
      <c r="U1233" s="37"/>
      <c r="V1233" s="37"/>
      <c r="W1233" s="38"/>
      <c r="X1233" s="39"/>
      <c r="Y1233" s="150"/>
      <c r="Z1233" s="40"/>
      <c r="AA1233" s="136" t="str">
        <f t="shared" ca="1" si="103"/>
        <v/>
      </c>
      <c r="AB1233" s="40"/>
      <c r="AC1233" s="116"/>
      <c r="AD1233" s="116"/>
      <c r="AE1233" s="40"/>
      <c r="AF1233" s="136" t="str">
        <f t="shared" ca="1" si="104"/>
        <v/>
      </c>
      <c r="AG1233" s="127"/>
      <c r="AH1233" s="127"/>
      <c r="AI1233" s="127"/>
      <c r="AJ1233" s="128"/>
      <c r="AK1233" s="128"/>
      <c r="AL1233" s="129"/>
    </row>
    <row r="1234" spans="1:38" ht="23.25" x14ac:dyDescent="0.25">
      <c r="A1234" s="489" t="str">
        <f t="shared" si="101"/>
        <v/>
      </c>
      <c r="B1234" s="490">
        <v>371</v>
      </c>
      <c r="C1234" s="489"/>
      <c r="D1234" s="491"/>
      <c r="E1234" s="124"/>
      <c r="F1234" s="124"/>
      <c r="G1234" s="251"/>
      <c r="H1234" s="443"/>
      <c r="I1234" s="126"/>
      <c r="J1234" s="47"/>
      <c r="K1234" s="126"/>
      <c r="L1234" s="126"/>
      <c r="M1234" s="104"/>
      <c r="N1234" s="265"/>
      <c r="O1234" s="260"/>
      <c r="P1234" s="106"/>
      <c r="Q1234" s="107"/>
      <c r="R1234" s="244"/>
      <c r="S1234" s="37"/>
      <c r="T1234" s="36" t="str">
        <f t="shared" ca="1" si="102"/>
        <v/>
      </c>
      <c r="U1234" s="37"/>
      <c r="V1234" s="37"/>
      <c r="W1234" s="38"/>
      <c r="X1234" s="39"/>
      <c r="Y1234" s="150"/>
      <c r="Z1234" s="40"/>
      <c r="AA1234" s="136" t="str">
        <f t="shared" ca="1" si="103"/>
        <v/>
      </c>
      <c r="AB1234" s="40"/>
      <c r="AC1234" s="116"/>
      <c r="AD1234" s="116"/>
      <c r="AE1234" s="40"/>
      <c r="AF1234" s="136" t="str">
        <f t="shared" ca="1" si="104"/>
        <v/>
      </c>
      <c r="AG1234" s="127"/>
      <c r="AH1234" s="127"/>
      <c r="AI1234" s="127"/>
      <c r="AJ1234" s="128"/>
      <c r="AK1234" s="128"/>
      <c r="AL1234" s="129"/>
    </row>
    <row r="1235" spans="1:38" ht="23.25" x14ac:dyDescent="0.25">
      <c r="A1235" s="489" t="str">
        <f t="shared" si="101"/>
        <v/>
      </c>
      <c r="B1235" s="490">
        <v>372</v>
      </c>
      <c r="C1235" s="489"/>
      <c r="D1235" s="491"/>
      <c r="E1235" s="124"/>
      <c r="F1235" s="124"/>
      <c r="G1235" s="251"/>
      <c r="H1235" s="443"/>
      <c r="I1235" s="126"/>
      <c r="J1235" s="47"/>
      <c r="K1235" s="126"/>
      <c r="L1235" s="126"/>
      <c r="M1235" s="104"/>
      <c r="N1235" s="265"/>
      <c r="O1235" s="260"/>
      <c r="P1235" s="106"/>
      <c r="Q1235" s="107"/>
      <c r="R1235" s="244"/>
      <c r="S1235" s="37"/>
      <c r="T1235" s="36" t="str">
        <f t="shared" ca="1" si="102"/>
        <v/>
      </c>
      <c r="U1235" s="37"/>
      <c r="V1235" s="37"/>
      <c r="W1235" s="38"/>
      <c r="X1235" s="39"/>
      <c r="Y1235" s="150"/>
      <c r="Z1235" s="40"/>
      <c r="AA1235" s="136" t="str">
        <f t="shared" ca="1" si="103"/>
        <v/>
      </c>
      <c r="AB1235" s="40"/>
      <c r="AC1235" s="116"/>
      <c r="AD1235" s="116"/>
      <c r="AE1235" s="40"/>
      <c r="AF1235" s="136" t="str">
        <f t="shared" ca="1" si="104"/>
        <v/>
      </c>
      <c r="AG1235" s="127"/>
      <c r="AH1235" s="127"/>
      <c r="AI1235" s="127"/>
      <c r="AJ1235" s="128"/>
      <c r="AK1235" s="128"/>
      <c r="AL1235" s="129"/>
    </row>
    <row r="1236" spans="1:38" ht="23.25" x14ac:dyDescent="0.25">
      <c r="A1236" s="489" t="str">
        <f t="shared" si="101"/>
        <v/>
      </c>
      <c r="B1236" s="490">
        <v>373</v>
      </c>
      <c r="C1236" s="489"/>
      <c r="D1236" s="491"/>
      <c r="E1236" s="124"/>
      <c r="F1236" s="124"/>
      <c r="G1236" s="251"/>
      <c r="H1236" s="443"/>
      <c r="I1236" s="126"/>
      <c r="J1236" s="47"/>
      <c r="K1236" s="126"/>
      <c r="L1236" s="126"/>
      <c r="M1236" s="104"/>
      <c r="N1236" s="265"/>
      <c r="O1236" s="260"/>
      <c r="P1236" s="106"/>
      <c r="Q1236" s="107"/>
      <c r="R1236" s="244"/>
      <c r="S1236" s="37"/>
      <c r="T1236" s="36" t="str">
        <f t="shared" ca="1" si="102"/>
        <v/>
      </c>
      <c r="U1236" s="37"/>
      <c r="V1236" s="37"/>
      <c r="W1236" s="38"/>
      <c r="X1236" s="39"/>
      <c r="Y1236" s="150"/>
      <c r="Z1236" s="40"/>
      <c r="AA1236" s="136" t="str">
        <f t="shared" ca="1" si="103"/>
        <v/>
      </c>
      <c r="AB1236" s="40"/>
      <c r="AC1236" s="116"/>
      <c r="AD1236" s="116"/>
      <c r="AE1236" s="40"/>
      <c r="AF1236" s="136" t="str">
        <f t="shared" ca="1" si="104"/>
        <v/>
      </c>
      <c r="AG1236" s="127"/>
      <c r="AH1236" s="127"/>
      <c r="AI1236" s="127"/>
      <c r="AJ1236" s="128"/>
      <c r="AK1236" s="128"/>
      <c r="AL1236" s="129"/>
    </row>
    <row r="1237" spans="1:38" ht="23.25" x14ac:dyDescent="0.25">
      <c r="A1237" s="489" t="str">
        <f t="shared" si="101"/>
        <v/>
      </c>
      <c r="B1237" s="490">
        <v>374</v>
      </c>
      <c r="C1237" s="489"/>
      <c r="D1237" s="491"/>
      <c r="E1237" s="124"/>
      <c r="F1237" s="124"/>
      <c r="G1237" s="251"/>
      <c r="H1237" s="443"/>
      <c r="I1237" s="126"/>
      <c r="J1237" s="47"/>
      <c r="K1237" s="126"/>
      <c r="L1237" s="126"/>
      <c r="M1237" s="104"/>
      <c r="N1237" s="265"/>
      <c r="O1237" s="260"/>
      <c r="P1237" s="106"/>
      <c r="Q1237" s="107"/>
      <c r="R1237" s="244"/>
      <c r="S1237" s="37"/>
      <c r="T1237" s="36" t="str">
        <f t="shared" ca="1" si="102"/>
        <v/>
      </c>
      <c r="U1237" s="37"/>
      <c r="V1237" s="37"/>
      <c r="W1237" s="38"/>
      <c r="X1237" s="39"/>
      <c r="Y1237" s="150"/>
      <c r="Z1237" s="40"/>
      <c r="AA1237" s="136" t="str">
        <f t="shared" ca="1" si="103"/>
        <v/>
      </c>
      <c r="AB1237" s="40"/>
      <c r="AC1237" s="116"/>
      <c r="AD1237" s="116"/>
      <c r="AE1237" s="40"/>
      <c r="AF1237" s="136" t="str">
        <f t="shared" ca="1" si="104"/>
        <v/>
      </c>
      <c r="AG1237" s="127"/>
      <c r="AH1237" s="127"/>
      <c r="AI1237" s="127"/>
      <c r="AJ1237" s="128"/>
      <c r="AK1237" s="128"/>
      <c r="AL1237" s="129"/>
    </row>
    <row r="1238" spans="1:38" ht="23.25" x14ac:dyDescent="0.25">
      <c r="A1238" s="489" t="str">
        <f t="shared" si="101"/>
        <v/>
      </c>
      <c r="B1238" s="490">
        <v>375</v>
      </c>
      <c r="C1238" s="489"/>
      <c r="D1238" s="491"/>
      <c r="E1238" s="124"/>
      <c r="F1238" s="124"/>
      <c r="G1238" s="251"/>
      <c r="H1238" s="443"/>
      <c r="I1238" s="126"/>
      <c r="J1238" s="47"/>
      <c r="K1238" s="126"/>
      <c r="L1238" s="126"/>
      <c r="M1238" s="104"/>
      <c r="N1238" s="265"/>
      <c r="O1238" s="260"/>
      <c r="P1238" s="106"/>
      <c r="Q1238" s="107"/>
      <c r="R1238" s="244"/>
      <c r="S1238" s="37"/>
      <c r="T1238" s="36" t="str">
        <f t="shared" ca="1" si="102"/>
        <v/>
      </c>
      <c r="U1238" s="37"/>
      <c r="V1238" s="37"/>
      <c r="W1238" s="38"/>
      <c r="X1238" s="39"/>
      <c r="Y1238" s="150"/>
      <c r="Z1238" s="40"/>
      <c r="AA1238" s="136" t="str">
        <f t="shared" ca="1" si="103"/>
        <v/>
      </c>
      <c r="AB1238" s="40"/>
      <c r="AC1238" s="116"/>
      <c r="AD1238" s="116"/>
      <c r="AE1238" s="40"/>
      <c r="AF1238" s="136" t="str">
        <f t="shared" ca="1" si="104"/>
        <v/>
      </c>
      <c r="AG1238" s="127"/>
      <c r="AH1238" s="127"/>
      <c r="AI1238" s="127"/>
      <c r="AJ1238" s="128"/>
      <c r="AK1238" s="128"/>
      <c r="AL1238" s="129"/>
    </row>
    <row r="1239" spans="1:38" ht="23.25" x14ac:dyDescent="0.25">
      <c r="A1239" s="489" t="str">
        <f t="shared" si="101"/>
        <v/>
      </c>
      <c r="B1239" s="490">
        <v>376</v>
      </c>
      <c r="C1239" s="489"/>
      <c r="D1239" s="491"/>
      <c r="E1239" s="124"/>
      <c r="F1239" s="124"/>
      <c r="G1239" s="251"/>
      <c r="H1239" s="443"/>
      <c r="I1239" s="126"/>
      <c r="J1239" s="47"/>
      <c r="K1239" s="126"/>
      <c r="L1239" s="126"/>
      <c r="M1239" s="104"/>
      <c r="N1239" s="265"/>
      <c r="O1239" s="260"/>
      <c r="P1239" s="106"/>
      <c r="Q1239" s="107"/>
      <c r="R1239" s="244"/>
      <c r="S1239" s="37"/>
      <c r="T1239" s="36" t="str">
        <f t="shared" ca="1" si="102"/>
        <v/>
      </c>
      <c r="U1239" s="37"/>
      <c r="V1239" s="37"/>
      <c r="W1239" s="38"/>
      <c r="X1239" s="39"/>
      <c r="Y1239" s="150"/>
      <c r="Z1239" s="40"/>
      <c r="AA1239" s="136" t="str">
        <f t="shared" ca="1" si="103"/>
        <v/>
      </c>
      <c r="AB1239" s="40"/>
      <c r="AC1239" s="116"/>
      <c r="AD1239" s="116"/>
      <c r="AE1239" s="40"/>
      <c r="AF1239" s="136" t="str">
        <f t="shared" ca="1" si="104"/>
        <v/>
      </c>
      <c r="AG1239" s="127"/>
      <c r="AH1239" s="127"/>
      <c r="AI1239" s="127"/>
      <c r="AJ1239" s="128"/>
      <c r="AK1239" s="128"/>
      <c r="AL1239" s="129"/>
    </row>
    <row r="1240" spans="1:38" ht="23.25" x14ac:dyDescent="0.25">
      <c r="A1240" s="489" t="str">
        <f t="shared" si="101"/>
        <v/>
      </c>
      <c r="B1240" s="490">
        <v>377</v>
      </c>
      <c r="C1240" s="489"/>
      <c r="D1240" s="491"/>
      <c r="E1240" s="124"/>
      <c r="F1240" s="124"/>
      <c r="G1240" s="251"/>
      <c r="H1240" s="443"/>
      <c r="I1240" s="126"/>
      <c r="J1240" s="47"/>
      <c r="K1240" s="126"/>
      <c r="L1240" s="126"/>
      <c r="M1240" s="104"/>
      <c r="N1240" s="265"/>
      <c r="O1240" s="260"/>
      <c r="P1240" s="106"/>
      <c r="Q1240" s="107"/>
      <c r="R1240" s="244"/>
      <c r="S1240" s="37"/>
      <c r="T1240" s="36" t="str">
        <f t="shared" ca="1" si="102"/>
        <v/>
      </c>
      <c r="U1240" s="37"/>
      <c r="V1240" s="37"/>
      <c r="W1240" s="38"/>
      <c r="X1240" s="39"/>
      <c r="Y1240" s="150"/>
      <c r="Z1240" s="40"/>
      <c r="AA1240" s="136" t="str">
        <f t="shared" ca="1" si="103"/>
        <v/>
      </c>
      <c r="AB1240" s="40"/>
      <c r="AC1240" s="116"/>
      <c r="AD1240" s="116"/>
      <c r="AE1240" s="40"/>
      <c r="AF1240" s="136" t="str">
        <f t="shared" ca="1" si="104"/>
        <v/>
      </c>
      <c r="AG1240" s="127"/>
      <c r="AH1240" s="127"/>
      <c r="AI1240" s="127"/>
      <c r="AJ1240" s="128"/>
      <c r="AK1240" s="128"/>
      <c r="AL1240" s="129"/>
    </row>
    <row r="1241" spans="1:38" ht="23.25" x14ac:dyDescent="0.25">
      <c r="A1241" s="489" t="str">
        <f t="shared" si="101"/>
        <v/>
      </c>
      <c r="B1241" s="490">
        <v>378</v>
      </c>
      <c r="C1241" s="489"/>
      <c r="D1241" s="491"/>
      <c r="E1241" s="124"/>
      <c r="F1241" s="124"/>
      <c r="G1241" s="251"/>
      <c r="H1241" s="443"/>
      <c r="I1241" s="126"/>
      <c r="J1241" s="47"/>
      <c r="K1241" s="126"/>
      <c r="L1241" s="126"/>
      <c r="M1241" s="104"/>
      <c r="N1241" s="265"/>
      <c r="O1241" s="260"/>
      <c r="P1241" s="106"/>
      <c r="Q1241" s="107"/>
      <c r="R1241" s="244"/>
      <c r="S1241" s="37"/>
      <c r="T1241" s="36" t="str">
        <f t="shared" ca="1" si="102"/>
        <v/>
      </c>
      <c r="U1241" s="37"/>
      <c r="V1241" s="37"/>
      <c r="W1241" s="38"/>
      <c r="X1241" s="39"/>
      <c r="Y1241" s="150"/>
      <c r="Z1241" s="40"/>
      <c r="AA1241" s="136" t="str">
        <f t="shared" ca="1" si="103"/>
        <v/>
      </c>
      <c r="AB1241" s="40"/>
      <c r="AC1241" s="116"/>
      <c r="AD1241" s="116"/>
      <c r="AE1241" s="40"/>
      <c r="AF1241" s="136" t="str">
        <f t="shared" ca="1" si="104"/>
        <v/>
      </c>
      <c r="AG1241" s="127"/>
      <c r="AH1241" s="127"/>
      <c r="AI1241" s="127"/>
      <c r="AJ1241" s="128"/>
      <c r="AK1241" s="128"/>
      <c r="AL1241" s="129"/>
    </row>
    <row r="1242" spans="1:38" ht="23.25" x14ac:dyDescent="0.25">
      <c r="A1242" s="489" t="str">
        <f t="shared" si="101"/>
        <v/>
      </c>
      <c r="B1242" s="490">
        <v>379</v>
      </c>
      <c r="C1242" s="489"/>
      <c r="D1242" s="491"/>
      <c r="E1242" s="124"/>
      <c r="F1242" s="124"/>
      <c r="G1242" s="251"/>
      <c r="H1242" s="443"/>
      <c r="I1242" s="126"/>
      <c r="J1242" s="47"/>
      <c r="K1242" s="126"/>
      <c r="L1242" s="126"/>
      <c r="M1242" s="104"/>
      <c r="N1242" s="265"/>
      <c r="O1242" s="260"/>
      <c r="P1242" s="106"/>
      <c r="Q1242" s="107"/>
      <c r="R1242" s="244"/>
      <c r="S1242" s="37"/>
      <c r="T1242" s="36" t="str">
        <f t="shared" ca="1" si="102"/>
        <v/>
      </c>
      <c r="U1242" s="37"/>
      <c r="V1242" s="37"/>
      <c r="W1242" s="38"/>
      <c r="X1242" s="39"/>
      <c r="Y1242" s="150"/>
      <c r="Z1242" s="40"/>
      <c r="AA1242" s="136" t="str">
        <f t="shared" ca="1" si="103"/>
        <v/>
      </c>
      <c r="AB1242" s="40"/>
      <c r="AC1242" s="116"/>
      <c r="AD1242" s="116"/>
      <c r="AE1242" s="40"/>
      <c r="AF1242" s="136" t="str">
        <f t="shared" ca="1" si="104"/>
        <v/>
      </c>
      <c r="AG1242" s="127"/>
      <c r="AH1242" s="127"/>
      <c r="AI1242" s="127"/>
      <c r="AJ1242" s="128"/>
      <c r="AK1242" s="128"/>
      <c r="AL1242" s="129"/>
    </row>
    <row r="1243" spans="1:38" ht="23.25" x14ac:dyDescent="0.25">
      <c r="A1243" s="489" t="str">
        <f t="shared" si="101"/>
        <v/>
      </c>
      <c r="B1243" s="490">
        <v>380</v>
      </c>
      <c r="C1243" s="489"/>
      <c r="D1243" s="491"/>
      <c r="E1243" s="124"/>
      <c r="F1243" s="124"/>
      <c r="G1243" s="251"/>
      <c r="H1243" s="443"/>
      <c r="I1243" s="126"/>
      <c r="J1243" s="47"/>
      <c r="K1243" s="126"/>
      <c r="L1243" s="126"/>
      <c r="M1243" s="104"/>
      <c r="N1243" s="265"/>
      <c r="O1243" s="260"/>
      <c r="P1243" s="106"/>
      <c r="Q1243" s="107"/>
      <c r="R1243" s="244"/>
      <c r="S1243" s="37"/>
      <c r="T1243" s="36" t="str">
        <f t="shared" ca="1" si="102"/>
        <v/>
      </c>
      <c r="U1243" s="37"/>
      <c r="V1243" s="37"/>
      <c r="W1243" s="38"/>
      <c r="X1243" s="39"/>
      <c r="Y1243" s="150"/>
      <c r="Z1243" s="40"/>
      <c r="AA1243" s="136" t="str">
        <f t="shared" ca="1" si="103"/>
        <v/>
      </c>
      <c r="AB1243" s="40"/>
      <c r="AC1243" s="116"/>
      <c r="AD1243" s="116"/>
      <c r="AE1243" s="40"/>
      <c r="AF1243" s="136" t="str">
        <f t="shared" ca="1" si="104"/>
        <v/>
      </c>
      <c r="AG1243" s="127"/>
      <c r="AH1243" s="127"/>
      <c r="AI1243" s="127"/>
      <c r="AJ1243" s="128"/>
      <c r="AK1243" s="128"/>
      <c r="AL1243" s="129"/>
    </row>
    <row r="1244" spans="1:38" ht="23.25" x14ac:dyDescent="0.25">
      <c r="A1244" s="489" t="str">
        <f t="shared" si="101"/>
        <v/>
      </c>
      <c r="B1244" s="490">
        <v>381</v>
      </c>
      <c r="C1244" s="489"/>
      <c r="D1244" s="491"/>
      <c r="E1244" s="124"/>
      <c r="F1244" s="124"/>
      <c r="G1244" s="251"/>
      <c r="H1244" s="443"/>
      <c r="I1244" s="126"/>
      <c r="J1244" s="47"/>
      <c r="K1244" s="126"/>
      <c r="L1244" s="126"/>
      <c r="M1244" s="104"/>
      <c r="N1244" s="265"/>
      <c r="O1244" s="260"/>
      <c r="P1244" s="106"/>
      <c r="Q1244" s="107"/>
      <c r="R1244" s="244"/>
      <c r="S1244" s="37"/>
      <c r="T1244" s="36" t="str">
        <f t="shared" ca="1" si="102"/>
        <v/>
      </c>
      <c r="U1244" s="37"/>
      <c r="V1244" s="37"/>
      <c r="W1244" s="38"/>
      <c r="X1244" s="39"/>
      <c r="Y1244" s="150"/>
      <c r="Z1244" s="40"/>
      <c r="AA1244" s="136" t="str">
        <f t="shared" ca="1" si="103"/>
        <v/>
      </c>
      <c r="AB1244" s="40"/>
      <c r="AC1244" s="116"/>
      <c r="AD1244" s="116"/>
      <c r="AE1244" s="40"/>
      <c r="AF1244" s="136" t="str">
        <f t="shared" ca="1" si="104"/>
        <v/>
      </c>
      <c r="AG1244" s="127"/>
      <c r="AH1244" s="127"/>
      <c r="AI1244" s="127"/>
      <c r="AJ1244" s="128"/>
      <c r="AK1244" s="128"/>
      <c r="AL1244" s="129"/>
    </row>
    <row r="1245" spans="1:38" ht="23.25" x14ac:dyDescent="0.25">
      <c r="A1245" s="489" t="str">
        <f t="shared" si="101"/>
        <v/>
      </c>
      <c r="B1245" s="490">
        <v>382</v>
      </c>
      <c r="C1245" s="489"/>
      <c r="D1245" s="491"/>
      <c r="E1245" s="124"/>
      <c r="F1245" s="124"/>
      <c r="G1245" s="251"/>
      <c r="H1245" s="443"/>
      <c r="I1245" s="126"/>
      <c r="J1245" s="47"/>
      <c r="K1245" s="126"/>
      <c r="L1245" s="126"/>
      <c r="M1245" s="104"/>
      <c r="N1245" s="265"/>
      <c r="O1245" s="260"/>
      <c r="P1245" s="106"/>
      <c r="Q1245" s="107"/>
      <c r="R1245" s="244"/>
      <c r="S1245" s="37"/>
      <c r="T1245" s="36" t="str">
        <f t="shared" ca="1" si="102"/>
        <v/>
      </c>
      <c r="U1245" s="37"/>
      <c r="V1245" s="37"/>
      <c r="W1245" s="38"/>
      <c r="X1245" s="39"/>
      <c r="Y1245" s="150"/>
      <c r="Z1245" s="40"/>
      <c r="AA1245" s="136" t="str">
        <f t="shared" ca="1" si="103"/>
        <v/>
      </c>
      <c r="AB1245" s="40"/>
      <c r="AC1245" s="116"/>
      <c r="AD1245" s="116"/>
      <c r="AE1245" s="40"/>
      <c r="AF1245" s="136" t="str">
        <f t="shared" ca="1" si="104"/>
        <v/>
      </c>
      <c r="AG1245" s="127"/>
      <c r="AH1245" s="127"/>
      <c r="AI1245" s="127"/>
      <c r="AJ1245" s="128"/>
      <c r="AK1245" s="128"/>
      <c r="AL1245" s="129"/>
    </row>
    <row r="1246" spans="1:38" ht="23.25" x14ac:dyDescent="0.25">
      <c r="A1246" s="489" t="str">
        <f t="shared" si="101"/>
        <v/>
      </c>
      <c r="B1246" s="490">
        <v>383</v>
      </c>
      <c r="C1246" s="489"/>
      <c r="D1246" s="491"/>
      <c r="E1246" s="124"/>
      <c r="F1246" s="124"/>
      <c r="G1246" s="251"/>
      <c r="H1246" s="443"/>
      <c r="I1246" s="126"/>
      <c r="J1246" s="47"/>
      <c r="K1246" s="126"/>
      <c r="L1246" s="126"/>
      <c r="M1246" s="104"/>
      <c r="N1246" s="265"/>
      <c r="O1246" s="260"/>
      <c r="P1246" s="106"/>
      <c r="Q1246" s="107"/>
      <c r="R1246" s="244"/>
      <c r="S1246" s="37"/>
      <c r="T1246" s="36" t="str">
        <f t="shared" ca="1" si="102"/>
        <v/>
      </c>
      <c r="U1246" s="37"/>
      <c r="V1246" s="37"/>
      <c r="W1246" s="38"/>
      <c r="X1246" s="39"/>
      <c r="Y1246" s="150"/>
      <c r="Z1246" s="40"/>
      <c r="AA1246" s="136" t="str">
        <f t="shared" ca="1" si="103"/>
        <v/>
      </c>
      <c r="AB1246" s="40"/>
      <c r="AC1246" s="116"/>
      <c r="AD1246" s="116"/>
      <c r="AE1246" s="40"/>
      <c r="AF1246" s="136" t="str">
        <f t="shared" ca="1" si="104"/>
        <v/>
      </c>
      <c r="AG1246" s="127"/>
      <c r="AH1246" s="127"/>
      <c r="AI1246" s="127"/>
      <c r="AJ1246" s="128"/>
      <c r="AK1246" s="128"/>
      <c r="AL1246" s="129"/>
    </row>
    <row r="1247" spans="1:38" ht="23.25" x14ac:dyDescent="0.25">
      <c r="A1247" s="489" t="str">
        <f t="shared" si="101"/>
        <v/>
      </c>
      <c r="B1247" s="490">
        <v>384</v>
      </c>
      <c r="C1247" s="489"/>
      <c r="D1247" s="491"/>
      <c r="E1247" s="124"/>
      <c r="F1247" s="124"/>
      <c r="G1247" s="251"/>
      <c r="H1247" s="443"/>
      <c r="I1247" s="126"/>
      <c r="J1247" s="47"/>
      <c r="K1247" s="126"/>
      <c r="L1247" s="126"/>
      <c r="M1247" s="104"/>
      <c r="N1247" s="265"/>
      <c r="O1247" s="260"/>
      <c r="P1247" s="106"/>
      <c r="Q1247" s="107"/>
      <c r="R1247" s="244"/>
      <c r="S1247" s="37"/>
      <c r="T1247" s="36" t="str">
        <f t="shared" ca="1" si="102"/>
        <v/>
      </c>
      <c r="U1247" s="37"/>
      <c r="V1247" s="37"/>
      <c r="W1247" s="38"/>
      <c r="X1247" s="39"/>
      <c r="Y1247" s="150"/>
      <c r="Z1247" s="40"/>
      <c r="AA1247" s="136" t="str">
        <f t="shared" ca="1" si="103"/>
        <v/>
      </c>
      <c r="AB1247" s="40"/>
      <c r="AC1247" s="116"/>
      <c r="AD1247" s="116"/>
      <c r="AE1247" s="40"/>
      <c r="AF1247" s="136" t="str">
        <f t="shared" ca="1" si="104"/>
        <v/>
      </c>
      <c r="AG1247" s="127"/>
      <c r="AH1247" s="127"/>
      <c r="AI1247" s="127"/>
      <c r="AJ1247" s="128"/>
      <c r="AK1247" s="128"/>
      <c r="AL1247" s="129"/>
    </row>
    <row r="1248" spans="1:38" ht="23.25" x14ac:dyDescent="0.25">
      <c r="A1248" s="489" t="str">
        <f t="shared" si="101"/>
        <v/>
      </c>
      <c r="B1248" s="490">
        <v>385</v>
      </c>
      <c r="C1248" s="489"/>
      <c r="D1248" s="491"/>
      <c r="E1248" s="124"/>
      <c r="F1248" s="124"/>
      <c r="G1248" s="251"/>
      <c r="H1248" s="443"/>
      <c r="I1248" s="126"/>
      <c r="J1248" s="47"/>
      <c r="K1248" s="126"/>
      <c r="L1248" s="126"/>
      <c r="M1248" s="104"/>
      <c r="N1248" s="265"/>
      <c r="O1248" s="260"/>
      <c r="P1248" s="106"/>
      <c r="Q1248" s="107"/>
      <c r="R1248" s="244"/>
      <c r="S1248" s="37"/>
      <c r="T1248" s="36" t="str">
        <f t="shared" ca="1" si="102"/>
        <v/>
      </c>
      <c r="U1248" s="37"/>
      <c r="V1248" s="37"/>
      <c r="W1248" s="38"/>
      <c r="X1248" s="39"/>
      <c r="Y1248" s="150"/>
      <c r="Z1248" s="40"/>
      <c r="AA1248" s="136" t="str">
        <f t="shared" ca="1" si="103"/>
        <v/>
      </c>
      <c r="AB1248" s="40"/>
      <c r="AC1248" s="116"/>
      <c r="AD1248" s="116"/>
      <c r="AE1248" s="40"/>
      <c r="AF1248" s="136" t="str">
        <f t="shared" ca="1" si="104"/>
        <v/>
      </c>
      <c r="AG1248" s="127"/>
      <c r="AH1248" s="127"/>
      <c r="AI1248" s="127"/>
      <c r="AJ1248" s="128"/>
      <c r="AK1248" s="128"/>
      <c r="AL1248" s="129"/>
    </row>
    <row r="1249" spans="1:38" ht="23.25" x14ac:dyDescent="0.25">
      <c r="A1249" s="489" t="str">
        <f t="shared" si="101"/>
        <v/>
      </c>
      <c r="B1249" s="490">
        <v>386</v>
      </c>
      <c r="C1249" s="489"/>
      <c r="D1249" s="491"/>
      <c r="E1249" s="124"/>
      <c r="F1249" s="124"/>
      <c r="G1249" s="251"/>
      <c r="H1249" s="443"/>
      <c r="I1249" s="126"/>
      <c r="J1249" s="47"/>
      <c r="K1249" s="126"/>
      <c r="L1249" s="126"/>
      <c r="M1249" s="104"/>
      <c r="N1249" s="265"/>
      <c r="O1249" s="260"/>
      <c r="P1249" s="106"/>
      <c r="Q1249" s="107"/>
      <c r="R1249" s="244"/>
      <c r="S1249" s="37"/>
      <c r="T1249" s="36" t="str">
        <f t="shared" ca="1" si="102"/>
        <v/>
      </c>
      <c r="U1249" s="37"/>
      <c r="V1249" s="37"/>
      <c r="W1249" s="38"/>
      <c r="X1249" s="39"/>
      <c r="Y1249" s="150"/>
      <c r="Z1249" s="40"/>
      <c r="AA1249" s="136" t="str">
        <f t="shared" ca="1" si="103"/>
        <v/>
      </c>
      <c r="AB1249" s="40"/>
      <c r="AC1249" s="116"/>
      <c r="AD1249" s="116"/>
      <c r="AE1249" s="40"/>
      <c r="AF1249" s="136" t="str">
        <f t="shared" ca="1" si="104"/>
        <v/>
      </c>
      <c r="AG1249" s="127"/>
      <c r="AH1249" s="127"/>
      <c r="AI1249" s="127"/>
      <c r="AJ1249" s="128"/>
      <c r="AK1249" s="128"/>
      <c r="AL1249" s="129"/>
    </row>
    <row r="1250" spans="1:38" ht="23.25" x14ac:dyDescent="0.25">
      <c r="A1250" s="489" t="str">
        <f t="shared" si="101"/>
        <v/>
      </c>
      <c r="B1250" s="490">
        <v>387</v>
      </c>
      <c r="C1250" s="489"/>
      <c r="D1250" s="491"/>
      <c r="E1250" s="124"/>
      <c r="F1250" s="124"/>
      <c r="G1250" s="251"/>
      <c r="H1250" s="443"/>
      <c r="I1250" s="126"/>
      <c r="J1250" s="47"/>
      <c r="K1250" s="126"/>
      <c r="L1250" s="126"/>
      <c r="M1250" s="104"/>
      <c r="N1250" s="265"/>
      <c r="O1250" s="260"/>
      <c r="P1250" s="106"/>
      <c r="Q1250" s="107"/>
      <c r="R1250" s="244"/>
      <c r="S1250" s="37"/>
      <c r="T1250" s="36" t="str">
        <f t="shared" ca="1" si="102"/>
        <v/>
      </c>
      <c r="U1250" s="37"/>
      <c r="V1250" s="37"/>
      <c r="W1250" s="38"/>
      <c r="X1250" s="39"/>
      <c r="Y1250" s="150"/>
      <c r="Z1250" s="40"/>
      <c r="AA1250" s="136" t="str">
        <f t="shared" ca="1" si="103"/>
        <v/>
      </c>
      <c r="AB1250" s="40"/>
      <c r="AC1250" s="116"/>
      <c r="AD1250" s="116"/>
      <c r="AE1250" s="40"/>
      <c r="AF1250" s="136" t="str">
        <f t="shared" ca="1" si="104"/>
        <v/>
      </c>
      <c r="AG1250" s="127"/>
      <c r="AH1250" s="127"/>
      <c r="AI1250" s="127"/>
      <c r="AJ1250" s="128"/>
      <c r="AK1250" s="128"/>
      <c r="AL1250" s="129"/>
    </row>
    <row r="1251" spans="1:38" ht="23.25" x14ac:dyDescent="0.25">
      <c r="A1251" s="489" t="str">
        <f t="shared" si="101"/>
        <v/>
      </c>
      <c r="B1251" s="490">
        <v>388</v>
      </c>
      <c r="C1251" s="489"/>
      <c r="D1251" s="491"/>
      <c r="E1251" s="124"/>
      <c r="F1251" s="124"/>
      <c r="G1251" s="251"/>
      <c r="H1251" s="443"/>
      <c r="I1251" s="126"/>
      <c r="J1251" s="47"/>
      <c r="K1251" s="126"/>
      <c r="L1251" s="126"/>
      <c r="M1251" s="104"/>
      <c r="N1251" s="265"/>
      <c r="O1251" s="260"/>
      <c r="P1251" s="106"/>
      <c r="Q1251" s="107"/>
      <c r="R1251" s="244"/>
      <c r="S1251" s="37"/>
      <c r="T1251" s="36" t="str">
        <f t="shared" ca="1" si="102"/>
        <v/>
      </c>
      <c r="U1251" s="37"/>
      <c r="V1251" s="37"/>
      <c r="W1251" s="38"/>
      <c r="X1251" s="39"/>
      <c r="Y1251" s="150"/>
      <c r="Z1251" s="40"/>
      <c r="AA1251" s="136" t="str">
        <f t="shared" ca="1" si="103"/>
        <v/>
      </c>
      <c r="AB1251" s="40"/>
      <c r="AC1251" s="116"/>
      <c r="AD1251" s="116"/>
      <c r="AE1251" s="40"/>
      <c r="AF1251" s="136" t="str">
        <f t="shared" ca="1" si="104"/>
        <v/>
      </c>
      <c r="AG1251" s="127"/>
      <c r="AH1251" s="127"/>
      <c r="AI1251" s="127"/>
      <c r="AJ1251" s="128"/>
      <c r="AK1251" s="128"/>
      <c r="AL1251" s="129"/>
    </row>
    <row r="1252" spans="1:38" ht="23.25" x14ac:dyDescent="0.25">
      <c r="A1252" s="489" t="str">
        <f t="shared" si="101"/>
        <v/>
      </c>
      <c r="B1252" s="490">
        <v>389</v>
      </c>
      <c r="C1252" s="489"/>
      <c r="D1252" s="491"/>
      <c r="E1252" s="124"/>
      <c r="F1252" s="124"/>
      <c r="G1252" s="251"/>
      <c r="H1252" s="443"/>
      <c r="I1252" s="126"/>
      <c r="J1252" s="47"/>
      <c r="K1252" s="126"/>
      <c r="L1252" s="126"/>
      <c r="M1252" s="104"/>
      <c r="N1252" s="265"/>
      <c r="O1252" s="260"/>
      <c r="P1252" s="106"/>
      <c r="Q1252" s="107"/>
      <c r="R1252" s="244"/>
      <c r="S1252" s="37"/>
      <c r="T1252" s="36" t="str">
        <f t="shared" ca="1" si="102"/>
        <v/>
      </c>
      <c r="U1252" s="37"/>
      <c r="V1252" s="37"/>
      <c r="W1252" s="38"/>
      <c r="X1252" s="39"/>
      <c r="Y1252" s="150"/>
      <c r="Z1252" s="40"/>
      <c r="AA1252" s="136" t="str">
        <f t="shared" ca="1" si="103"/>
        <v/>
      </c>
      <c r="AB1252" s="40"/>
      <c r="AC1252" s="116"/>
      <c r="AD1252" s="116"/>
      <c r="AE1252" s="40"/>
      <c r="AF1252" s="136" t="str">
        <f t="shared" ca="1" si="104"/>
        <v/>
      </c>
      <c r="AG1252" s="127"/>
      <c r="AH1252" s="127"/>
      <c r="AI1252" s="127"/>
      <c r="AJ1252" s="128"/>
      <c r="AK1252" s="128"/>
      <c r="AL1252" s="129"/>
    </row>
    <row r="1253" spans="1:38" ht="23.25" x14ac:dyDescent="0.25">
      <c r="A1253" s="489" t="str">
        <f t="shared" si="101"/>
        <v/>
      </c>
      <c r="B1253" s="490">
        <v>390</v>
      </c>
      <c r="C1253" s="489"/>
      <c r="D1253" s="491"/>
      <c r="E1253" s="124"/>
      <c r="F1253" s="124"/>
      <c r="G1253" s="251"/>
      <c r="H1253" s="443"/>
      <c r="I1253" s="126"/>
      <c r="J1253" s="47"/>
      <c r="K1253" s="126"/>
      <c r="L1253" s="126"/>
      <c r="M1253" s="104"/>
      <c r="N1253" s="265"/>
      <c r="O1253" s="260"/>
      <c r="P1253" s="106"/>
      <c r="Q1253" s="107"/>
      <c r="R1253" s="244"/>
      <c r="S1253" s="37"/>
      <c r="T1253" s="36" t="str">
        <f t="shared" ca="1" si="102"/>
        <v/>
      </c>
      <c r="U1253" s="37"/>
      <c r="V1253" s="37"/>
      <c r="W1253" s="38"/>
      <c r="X1253" s="39"/>
      <c r="Y1253" s="150"/>
      <c r="Z1253" s="40"/>
      <c r="AA1253" s="136" t="str">
        <f t="shared" ca="1" si="103"/>
        <v/>
      </c>
      <c r="AB1253" s="40"/>
      <c r="AC1253" s="116"/>
      <c r="AD1253" s="116"/>
      <c r="AE1253" s="40"/>
      <c r="AF1253" s="136" t="str">
        <f t="shared" ca="1" si="104"/>
        <v/>
      </c>
      <c r="AG1253" s="127"/>
      <c r="AH1253" s="127"/>
      <c r="AI1253" s="127"/>
      <c r="AJ1253" s="128"/>
      <c r="AK1253" s="128"/>
      <c r="AL1253" s="129"/>
    </row>
    <row r="1254" spans="1:38" ht="23.25" x14ac:dyDescent="0.25">
      <c r="A1254" s="489" t="str">
        <f t="shared" si="101"/>
        <v/>
      </c>
      <c r="B1254" s="490">
        <v>391</v>
      </c>
      <c r="C1254" s="489"/>
      <c r="D1254" s="491"/>
      <c r="E1254" s="124"/>
      <c r="F1254" s="124"/>
      <c r="G1254" s="251"/>
      <c r="H1254" s="443"/>
      <c r="I1254" s="126"/>
      <c r="J1254" s="47"/>
      <c r="K1254" s="126"/>
      <c r="L1254" s="126"/>
      <c r="M1254" s="104"/>
      <c r="N1254" s="265"/>
      <c r="O1254" s="260"/>
      <c r="P1254" s="106"/>
      <c r="Q1254" s="107"/>
      <c r="R1254" s="244"/>
      <c r="S1254" s="37"/>
      <c r="T1254" s="36" t="str">
        <f t="shared" ca="1" si="102"/>
        <v/>
      </c>
      <c r="U1254" s="37"/>
      <c r="V1254" s="37"/>
      <c r="W1254" s="38"/>
      <c r="X1254" s="39"/>
      <c r="Y1254" s="150"/>
      <c r="Z1254" s="40"/>
      <c r="AA1254" s="136" t="str">
        <f t="shared" ca="1" si="103"/>
        <v/>
      </c>
      <c r="AB1254" s="40"/>
      <c r="AC1254" s="116"/>
      <c r="AD1254" s="116"/>
      <c r="AE1254" s="40"/>
      <c r="AF1254" s="136" t="str">
        <f t="shared" ca="1" si="104"/>
        <v/>
      </c>
      <c r="AG1254" s="127"/>
      <c r="AH1254" s="127"/>
      <c r="AI1254" s="127"/>
      <c r="AJ1254" s="128"/>
      <c r="AK1254" s="128"/>
      <c r="AL1254" s="129"/>
    </row>
    <row r="1255" spans="1:38" ht="23.25" x14ac:dyDescent="0.25">
      <c r="A1255" s="489" t="str">
        <f t="shared" si="101"/>
        <v/>
      </c>
      <c r="B1255" s="490">
        <v>392</v>
      </c>
      <c r="C1255" s="489"/>
      <c r="D1255" s="491"/>
      <c r="E1255" s="124"/>
      <c r="F1255" s="124"/>
      <c r="G1255" s="251"/>
      <c r="H1255" s="443"/>
      <c r="I1255" s="126"/>
      <c r="J1255" s="47"/>
      <c r="K1255" s="126"/>
      <c r="L1255" s="126"/>
      <c r="M1255" s="104"/>
      <c r="N1255" s="265"/>
      <c r="O1255" s="260"/>
      <c r="P1255" s="106"/>
      <c r="Q1255" s="107"/>
      <c r="R1255" s="244"/>
      <c r="S1255" s="37"/>
      <c r="T1255" s="36" t="str">
        <f t="shared" ca="1" si="102"/>
        <v/>
      </c>
      <c r="U1255" s="37"/>
      <c r="V1255" s="37"/>
      <c r="W1255" s="38"/>
      <c r="X1255" s="39"/>
      <c r="Y1255" s="150"/>
      <c r="Z1255" s="40"/>
      <c r="AA1255" s="136" t="str">
        <f t="shared" ca="1" si="103"/>
        <v/>
      </c>
      <c r="AB1255" s="40"/>
      <c r="AC1255" s="116"/>
      <c r="AD1255" s="116"/>
      <c r="AE1255" s="40"/>
      <c r="AF1255" s="136" t="str">
        <f t="shared" ca="1" si="104"/>
        <v/>
      </c>
      <c r="AG1255" s="127"/>
      <c r="AH1255" s="127"/>
      <c r="AI1255" s="127"/>
      <c r="AJ1255" s="128"/>
      <c r="AK1255" s="128"/>
      <c r="AL1255" s="129"/>
    </row>
    <row r="1256" spans="1:38" ht="23.25" x14ac:dyDescent="0.25">
      <c r="A1256" s="489" t="str">
        <f t="shared" si="101"/>
        <v/>
      </c>
      <c r="B1256" s="490">
        <v>393</v>
      </c>
      <c r="C1256" s="489"/>
      <c r="D1256" s="491"/>
      <c r="E1256" s="124"/>
      <c r="F1256" s="124"/>
      <c r="G1256" s="251"/>
      <c r="H1256" s="443"/>
      <c r="I1256" s="126"/>
      <c r="J1256" s="47"/>
      <c r="K1256" s="126"/>
      <c r="L1256" s="126"/>
      <c r="M1256" s="104"/>
      <c r="N1256" s="265"/>
      <c r="O1256" s="260"/>
      <c r="P1256" s="106"/>
      <c r="Q1256" s="107"/>
      <c r="R1256" s="244"/>
      <c r="S1256" s="37"/>
      <c r="T1256" s="36" t="str">
        <f t="shared" ca="1" si="102"/>
        <v/>
      </c>
      <c r="U1256" s="37"/>
      <c r="V1256" s="37"/>
      <c r="W1256" s="38"/>
      <c r="X1256" s="39"/>
      <c r="Y1256" s="150"/>
      <c r="Z1256" s="40"/>
      <c r="AA1256" s="136" t="str">
        <f t="shared" ca="1" si="103"/>
        <v/>
      </c>
      <c r="AB1256" s="40"/>
      <c r="AC1256" s="116"/>
      <c r="AD1256" s="116"/>
      <c r="AE1256" s="40"/>
      <c r="AF1256" s="136" t="str">
        <f t="shared" ca="1" si="104"/>
        <v/>
      </c>
      <c r="AG1256" s="127"/>
      <c r="AH1256" s="127"/>
      <c r="AI1256" s="127"/>
      <c r="AJ1256" s="128"/>
      <c r="AK1256" s="128"/>
      <c r="AL1256" s="129"/>
    </row>
    <row r="1257" spans="1:38" ht="23.25" x14ac:dyDescent="0.25">
      <c r="A1257" s="489" t="str">
        <f t="shared" si="101"/>
        <v/>
      </c>
      <c r="B1257" s="490">
        <v>394</v>
      </c>
      <c r="C1257" s="489"/>
      <c r="D1257" s="491"/>
      <c r="E1257" s="124"/>
      <c r="F1257" s="124"/>
      <c r="G1257" s="251"/>
      <c r="H1257" s="443"/>
      <c r="I1257" s="126"/>
      <c r="J1257" s="47"/>
      <c r="K1257" s="126"/>
      <c r="L1257" s="126"/>
      <c r="M1257" s="104"/>
      <c r="N1257" s="265"/>
      <c r="O1257" s="260"/>
      <c r="P1257" s="106"/>
      <c r="Q1257" s="107"/>
      <c r="R1257" s="244"/>
      <c r="S1257" s="37"/>
      <c r="T1257" s="36" t="str">
        <f t="shared" ca="1" si="102"/>
        <v/>
      </c>
      <c r="U1257" s="37"/>
      <c r="V1257" s="37"/>
      <c r="W1257" s="38"/>
      <c r="X1257" s="39"/>
      <c r="Y1257" s="150"/>
      <c r="Z1257" s="40"/>
      <c r="AA1257" s="136" t="str">
        <f t="shared" ca="1" si="103"/>
        <v/>
      </c>
      <c r="AB1257" s="40"/>
      <c r="AC1257" s="116"/>
      <c r="AD1257" s="116"/>
      <c r="AE1257" s="40"/>
      <c r="AF1257" s="136" t="str">
        <f t="shared" ca="1" si="104"/>
        <v/>
      </c>
      <c r="AG1257" s="127"/>
      <c r="AH1257" s="127"/>
      <c r="AI1257" s="127"/>
      <c r="AJ1257" s="128"/>
      <c r="AK1257" s="128"/>
      <c r="AL1257" s="129"/>
    </row>
    <row r="1258" spans="1:38" ht="23.25" x14ac:dyDescent="0.25">
      <c r="A1258" s="489" t="str">
        <f t="shared" si="101"/>
        <v/>
      </c>
      <c r="B1258" s="490">
        <v>395</v>
      </c>
      <c r="C1258" s="489"/>
      <c r="D1258" s="491"/>
      <c r="E1258" s="124"/>
      <c r="F1258" s="124"/>
      <c r="G1258" s="251"/>
      <c r="H1258" s="443"/>
      <c r="I1258" s="126"/>
      <c r="J1258" s="47"/>
      <c r="K1258" s="126"/>
      <c r="L1258" s="126"/>
      <c r="M1258" s="104"/>
      <c r="N1258" s="265"/>
      <c r="O1258" s="260"/>
      <c r="P1258" s="106"/>
      <c r="Q1258" s="107"/>
      <c r="R1258" s="244"/>
      <c r="S1258" s="37"/>
      <c r="T1258" s="36" t="str">
        <f t="shared" ca="1" si="102"/>
        <v/>
      </c>
      <c r="U1258" s="37"/>
      <c r="V1258" s="37"/>
      <c r="W1258" s="38"/>
      <c r="X1258" s="39"/>
      <c r="Y1258" s="150"/>
      <c r="Z1258" s="40"/>
      <c r="AA1258" s="136" t="str">
        <f t="shared" ca="1" si="103"/>
        <v/>
      </c>
      <c r="AB1258" s="40"/>
      <c r="AC1258" s="116"/>
      <c r="AD1258" s="116"/>
      <c r="AE1258" s="40"/>
      <c r="AF1258" s="136" t="str">
        <f t="shared" ca="1" si="104"/>
        <v/>
      </c>
      <c r="AG1258" s="127"/>
      <c r="AH1258" s="127"/>
      <c r="AI1258" s="127"/>
      <c r="AJ1258" s="128"/>
      <c r="AK1258" s="128"/>
      <c r="AL1258" s="129"/>
    </row>
    <row r="1259" spans="1:38" ht="23.25" x14ac:dyDescent="0.25">
      <c r="A1259" s="489" t="str">
        <f t="shared" si="101"/>
        <v/>
      </c>
      <c r="B1259" s="490">
        <v>396</v>
      </c>
      <c r="C1259" s="489"/>
      <c r="D1259" s="491"/>
      <c r="E1259" s="124"/>
      <c r="F1259" s="124"/>
      <c r="G1259" s="251"/>
      <c r="H1259" s="443"/>
      <c r="I1259" s="126"/>
      <c r="J1259" s="47"/>
      <c r="K1259" s="126"/>
      <c r="L1259" s="126"/>
      <c r="M1259" s="104"/>
      <c r="N1259" s="265"/>
      <c r="O1259" s="260"/>
      <c r="P1259" s="106"/>
      <c r="Q1259" s="107"/>
      <c r="R1259" s="244"/>
      <c r="S1259" s="37"/>
      <c r="T1259" s="36" t="str">
        <f t="shared" ca="1" si="102"/>
        <v/>
      </c>
      <c r="U1259" s="37"/>
      <c r="V1259" s="37"/>
      <c r="W1259" s="38"/>
      <c r="X1259" s="39"/>
      <c r="Y1259" s="150"/>
      <c r="Z1259" s="40"/>
      <c r="AA1259" s="136" t="str">
        <f t="shared" ca="1" si="103"/>
        <v/>
      </c>
      <c r="AB1259" s="40"/>
      <c r="AC1259" s="116"/>
      <c r="AD1259" s="116"/>
      <c r="AE1259" s="40"/>
      <c r="AF1259" s="136" t="str">
        <f t="shared" ca="1" si="104"/>
        <v/>
      </c>
      <c r="AG1259" s="127"/>
      <c r="AH1259" s="127"/>
      <c r="AI1259" s="127"/>
      <c r="AJ1259" s="128"/>
      <c r="AK1259" s="128"/>
      <c r="AL1259" s="129"/>
    </row>
    <row r="1260" spans="1:38" ht="23.25" x14ac:dyDescent="0.25">
      <c r="A1260" s="489" t="str">
        <f t="shared" si="101"/>
        <v/>
      </c>
      <c r="B1260" s="490">
        <v>397</v>
      </c>
      <c r="C1260" s="489"/>
      <c r="D1260" s="491"/>
      <c r="E1260" s="124"/>
      <c r="F1260" s="124"/>
      <c r="G1260" s="251"/>
      <c r="H1260" s="443"/>
      <c r="I1260" s="126"/>
      <c r="J1260" s="47"/>
      <c r="K1260" s="126"/>
      <c r="L1260" s="126"/>
      <c r="M1260" s="104"/>
      <c r="N1260" s="265"/>
      <c r="O1260" s="260"/>
      <c r="P1260" s="106"/>
      <c r="Q1260" s="107"/>
      <c r="R1260" s="244"/>
      <c r="S1260" s="37"/>
      <c r="T1260" s="36" t="str">
        <f t="shared" ca="1" si="102"/>
        <v/>
      </c>
      <c r="U1260" s="37"/>
      <c r="V1260" s="37"/>
      <c r="W1260" s="38"/>
      <c r="X1260" s="39"/>
      <c r="Y1260" s="150"/>
      <c r="Z1260" s="40"/>
      <c r="AA1260" s="136" t="str">
        <f t="shared" ca="1" si="103"/>
        <v/>
      </c>
      <c r="AB1260" s="40"/>
      <c r="AC1260" s="116"/>
      <c r="AD1260" s="116"/>
      <c r="AE1260" s="40"/>
      <c r="AF1260" s="136" t="str">
        <f t="shared" ca="1" si="104"/>
        <v/>
      </c>
      <c r="AG1260" s="127"/>
      <c r="AH1260" s="127"/>
      <c r="AI1260" s="127"/>
      <c r="AJ1260" s="128"/>
      <c r="AK1260" s="128"/>
      <c r="AL1260" s="129"/>
    </row>
    <row r="1261" spans="1:38" ht="23.25" x14ac:dyDescent="0.25">
      <c r="A1261" s="489" t="str">
        <f t="shared" si="101"/>
        <v/>
      </c>
      <c r="B1261" s="490">
        <v>398</v>
      </c>
      <c r="C1261" s="489"/>
      <c r="D1261" s="491"/>
      <c r="E1261" s="124"/>
      <c r="F1261" s="124"/>
      <c r="G1261" s="251"/>
      <c r="H1261" s="443"/>
      <c r="I1261" s="126"/>
      <c r="J1261" s="47"/>
      <c r="K1261" s="126"/>
      <c r="L1261" s="126"/>
      <c r="M1261" s="104"/>
      <c r="N1261" s="265"/>
      <c r="O1261" s="260"/>
      <c r="P1261" s="106"/>
      <c r="Q1261" s="107"/>
      <c r="R1261" s="244"/>
      <c r="S1261" s="37"/>
      <c r="T1261" s="36" t="str">
        <f t="shared" ca="1" si="102"/>
        <v/>
      </c>
      <c r="U1261" s="37"/>
      <c r="V1261" s="37"/>
      <c r="W1261" s="38"/>
      <c r="X1261" s="39"/>
      <c r="Y1261" s="150"/>
      <c r="Z1261" s="40"/>
      <c r="AA1261" s="136" t="str">
        <f t="shared" ca="1" si="103"/>
        <v/>
      </c>
      <c r="AB1261" s="40"/>
      <c r="AC1261" s="116"/>
      <c r="AD1261" s="116"/>
      <c r="AE1261" s="40"/>
      <c r="AF1261" s="136" t="str">
        <f t="shared" ca="1" si="104"/>
        <v/>
      </c>
      <c r="AG1261" s="127"/>
      <c r="AH1261" s="127"/>
      <c r="AI1261" s="127"/>
      <c r="AJ1261" s="128"/>
      <c r="AK1261" s="128"/>
      <c r="AL1261" s="129"/>
    </row>
    <row r="1262" spans="1:38" ht="23.25" x14ac:dyDescent="0.25">
      <c r="A1262" s="489" t="str">
        <f t="shared" si="101"/>
        <v/>
      </c>
      <c r="B1262" s="490">
        <v>399</v>
      </c>
      <c r="C1262" s="489"/>
      <c r="D1262" s="491"/>
      <c r="E1262" s="124"/>
      <c r="F1262" s="124"/>
      <c r="G1262" s="251"/>
      <c r="H1262" s="443"/>
      <c r="I1262" s="126"/>
      <c r="J1262" s="47"/>
      <c r="K1262" s="126"/>
      <c r="L1262" s="126"/>
      <c r="M1262" s="104"/>
      <c r="N1262" s="265"/>
      <c r="O1262" s="260"/>
      <c r="P1262" s="106"/>
      <c r="Q1262" s="107"/>
      <c r="R1262" s="244"/>
      <c r="S1262" s="37"/>
      <c r="T1262" s="36" t="str">
        <f t="shared" ca="1" si="102"/>
        <v/>
      </c>
      <c r="U1262" s="37"/>
      <c r="V1262" s="37"/>
      <c r="W1262" s="38"/>
      <c r="X1262" s="39"/>
      <c r="Y1262" s="150"/>
      <c r="Z1262" s="40"/>
      <c r="AA1262" s="136" t="str">
        <f t="shared" ca="1" si="103"/>
        <v/>
      </c>
      <c r="AB1262" s="40"/>
      <c r="AC1262" s="116"/>
      <c r="AD1262" s="116"/>
      <c r="AE1262" s="40"/>
      <c r="AF1262" s="136" t="str">
        <f t="shared" ca="1" si="104"/>
        <v/>
      </c>
      <c r="AG1262" s="127"/>
      <c r="AH1262" s="127"/>
      <c r="AI1262" s="127"/>
      <c r="AJ1262" s="128"/>
      <c r="AK1262" s="128"/>
      <c r="AL1262" s="129"/>
    </row>
    <row r="1263" spans="1:38" ht="23.25" x14ac:dyDescent="0.25">
      <c r="A1263" s="489" t="str">
        <f t="shared" si="101"/>
        <v/>
      </c>
      <c r="B1263" s="490">
        <v>400</v>
      </c>
      <c r="C1263" s="489"/>
      <c r="D1263" s="491"/>
      <c r="E1263" s="124"/>
      <c r="F1263" s="124"/>
      <c r="G1263" s="251"/>
      <c r="H1263" s="443"/>
      <c r="I1263" s="126"/>
      <c r="J1263" s="47"/>
      <c r="K1263" s="126"/>
      <c r="L1263" s="126"/>
      <c r="M1263" s="104"/>
      <c r="N1263" s="265"/>
      <c r="O1263" s="260"/>
      <c r="P1263" s="106"/>
      <c r="Q1263" s="107"/>
      <c r="R1263" s="244"/>
      <c r="S1263" s="37"/>
      <c r="T1263" s="36" t="str">
        <f t="shared" ca="1" si="102"/>
        <v/>
      </c>
      <c r="U1263" s="37"/>
      <c r="V1263" s="37"/>
      <c r="W1263" s="38"/>
      <c r="X1263" s="39"/>
      <c r="Y1263" s="150"/>
      <c r="Z1263" s="40"/>
      <c r="AA1263" s="136" t="str">
        <f t="shared" ca="1" si="103"/>
        <v/>
      </c>
      <c r="AB1263" s="40"/>
      <c r="AC1263" s="116"/>
      <c r="AD1263" s="116"/>
      <c r="AE1263" s="40"/>
      <c r="AF1263" s="136" t="str">
        <f t="shared" ca="1" si="104"/>
        <v/>
      </c>
      <c r="AG1263" s="127"/>
      <c r="AH1263" s="127"/>
      <c r="AI1263" s="127"/>
      <c r="AJ1263" s="128"/>
      <c r="AK1263" s="128"/>
      <c r="AL1263" s="129"/>
    </row>
    <row r="1264" spans="1:38" ht="23.25" x14ac:dyDescent="0.25">
      <c r="A1264" s="489" t="str">
        <f t="shared" si="101"/>
        <v/>
      </c>
      <c r="B1264" s="490">
        <v>401</v>
      </c>
      <c r="C1264" s="489"/>
      <c r="D1264" s="491"/>
      <c r="E1264" s="124"/>
      <c r="F1264" s="124"/>
      <c r="G1264" s="251"/>
      <c r="H1264" s="443"/>
      <c r="I1264" s="126"/>
      <c r="J1264" s="47"/>
      <c r="K1264" s="126"/>
      <c r="L1264" s="126"/>
      <c r="M1264" s="104"/>
      <c r="N1264" s="265"/>
      <c r="O1264" s="260"/>
      <c r="P1264" s="106"/>
      <c r="Q1264" s="107"/>
      <c r="R1264" s="244"/>
      <c r="S1264" s="37"/>
      <c r="T1264" s="36" t="str">
        <f t="shared" ca="1" si="102"/>
        <v/>
      </c>
      <c r="U1264" s="37"/>
      <c r="V1264" s="37"/>
      <c r="W1264" s="38"/>
      <c r="X1264" s="39"/>
      <c r="Y1264" s="150"/>
      <c r="Z1264" s="40"/>
      <c r="AA1264" s="136" t="str">
        <f t="shared" ca="1" si="103"/>
        <v/>
      </c>
      <c r="AB1264" s="40"/>
      <c r="AC1264" s="116"/>
      <c r="AD1264" s="116"/>
      <c r="AE1264" s="40"/>
      <c r="AF1264" s="136" t="str">
        <f t="shared" ca="1" si="104"/>
        <v/>
      </c>
      <c r="AG1264" s="127"/>
      <c r="AH1264" s="127"/>
      <c r="AI1264" s="127"/>
      <c r="AJ1264" s="128"/>
      <c r="AK1264" s="128"/>
      <c r="AL1264" s="129"/>
    </row>
    <row r="1265" spans="1:38" ht="23.25" x14ac:dyDescent="0.25">
      <c r="A1265" s="489" t="str">
        <f t="shared" si="101"/>
        <v/>
      </c>
      <c r="B1265" s="490">
        <v>402</v>
      </c>
      <c r="C1265" s="489"/>
      <c r="D1265" s="491"/>
      <c r="E1265" s="124"/>
      <c r="F1265" s="124"/>
      <c r="G1265" s="251"/>
      <c r="H1265" s="443"/>
      <c r="I1265" s="126"/>
      <c r="J1265" s="47"/>
      <c r="K1265" s="126"/>
      <c r="L1265" s="126"/>
      <c r="M1265" s="104"/>
      <c r="N1265" s="265"/>
      <c r="O1265" s="260"/>
      <c r="P1265" s="106"/>
      <c r="Q1265" s="107"/>
      <c r="R1265" s="244"/>
      <c r="S1265" s="37"/>
      <c r="T1265" s="36" t="str">
        <f t="shared" ca="1" si="102"/>
        <v/>
      </c>
      <c r="U1265" s="37"/>
      <c r="V1265" s="37"/>
      <c r="W1265" s="38"/>
      <c r="X1265" s="39"/>
      <c r="Y1265" s="150"/>
      <c r="Z1265" s="40"/>
      <c r="AA1265" s="136" t="str">
        <f t="shared" ca="1" si="103"/>
        <v/>
      </c>
      <c r="AB1265" s="40"/>
      <c r="AC1265" s="116"/>
      <c r="AD1265" s="116"/>
      <c r="AE1265" s="40"/>
      <c r="AF1265" s="136" t="str">
        <f t="shared" ca="1" si="104"/>
        <v/>
      </c>
      <c r="AG1265" s="127"/>
      <c r="AH1265" s="127"/>
      <c r="AI1265" s="127"/>
      <c r="AJ1265" s="128"/>
      <c r="AK1265" s="128"/>
      <c r="AL1265" s="129"/>
    </row>
    <row r="1266" spans="1:38" ht="23.25" x14ac:dyDescent="0.25">
      <c r="A1266" s="489" t="str">
        <f t="shared" si="101"/>
        <v/>
      </c>
      <c r="B1266" s="490">
        <v>403</v>
      </c>
      <c r="C1266" s="489"/>
      <c r="D1266" s="491"/>
      <c r="E1266" s="124"/>
      <c r="F1266" s="124"/>
      <c r="G1266" s="251"/>
      <c r="H1266" s="443"/>
      <c r="I1266" s="126"/>
      <c r="J1266" s="47"/>
      <c r="K1266" s="126"/>
      <c r="L1266" s="126"/>
      <c r="M1266" s="104"/>
      <c r="N1266" s="265"/>
      <c r="O1266" s="260"/>
      <c r="P1266" s="106"/>
      <c r="Q1266" s="107"/>
      <c r="R1266" s="244"/>
      <c r="S1266" s="37"/>
      <c r="T1266" s="36" t="str">
        <f t="shared" ca="1" si="102"/>
        <v/>
      </c>
      <c r="U1266" s="37"/>
      <c r="V1266" s="37"/>
      <c r="W1266" s="38"/>
      <c r="X1266" s="39"/>
      <c r="Y1266" s="150"/>
      <c r="Z1266" s="40"/>
      <c r="AA1266" s="136" t="str">
        <f t="shared" ca="1" si="103"/>
        <v/>
      </c>
      <c r="AB1266" s="40"/>
      <c r="AC1266" s="116"/>
      <c r="AD1266" s="116"/>
      <c r="AE1266" s="40"/>
      <c r="AF1266" s="136" t="str">
        <f t="shared" ca="1" si="104"/>
        <v/>
      </c>
      <c r="AG1266" s="127"/>
      <c r="AH1266" s="127"/>
      <c r="AI1266" s="127"/>
      <c r="AJ1266" s="128"/>
      <c r="AK1266" s="128"/>
      <c r="AL1266" s="129"/>
    </row>
    <row r="1267" spans="1:38" ht="23.25" x14ac:dyDescent="0.25">
      <c r="A1267" s="489" t="str">
        <f t="shared" si="101"/>
        <v/>
      </c>
      <c r="B1267" s="490">
        <v>404</v>
      </c>
      <c r="C1267" s="489"/>
      <c r="D1267" s="491"/>
      <c r="E1267" s="124"/>
      <c r="F1267" s="124"/>
      <c r="G1267" s="251"/>
      <c r="H1267" s="443"/>
      <c r="I1267" s="126"/>
      <c r="J1267" s="47"/>
      <c r="K1267" s="126"/>
      <c r="L1267" s="126"/>
      <c r="M1267" s="104"/>
      <c r="N1267" s="265"/>
      <c r="O1267" s="260"/>
      <c r="P1267" s="106"/>
      <c r="Q1267" s="107"/>
      <c r="R1267" s="244"/>
      <c r="S1267" s="37"/>
      <c r="T1267" s="36" t="str">
        <f t="shared" ca="1" si="102"/>
        <v/>
      </c>
      <c r="U1267" s="37"/>
      <c r="V1267" s="37"/>
      <c r="W1267" s="38"/>
      <c r="X1267" s="39"/>
      <c r="Y1267" s="150"/>
      <c r="Z1267" s="40"/>
      <c r="AA1267" s="136" t="str">
        <f t="shared" ca="1" si="103"/>
        <v/>
      </c>
      <c r="AB1267" s="40"/>
      <c r="AC1267" s="116"/>
      <c r="AD1267" s="116"/>
      <c r="AE1267" s="40"/>
      <c r="AF1267" s="136" t="str">
        <f t="shared" ca="1" si="104"/>
        <v/>
      </c>
      <c r="AG1267" s="127"/>
      <c r="AH1267" s="127"/>
      <c r="AI1267" s="127"/>
      <c r="AJ1267" s="128"/>
      <c r="AK1267" s="128"/>
      <c r="AL1267" s="129"/>
    </row>
    <row r="1268" spans="1:38" ht="23.25" x14ac:dyDescent="0.25">
      <c r="A1268" s="489" t="str">
        <f t="shared" si="101"/>
        <v/>
      </c>
      <c r="B1268" s="490">
        <v>405</v>
      </c>
      <c r="C1268" s="489"/>
      <c r="D1268" s="491"/>
      <c r="E1268" s="124"/>
      <c r="F1268" s="124"/>
      <c r="G1268" s="251"/>
      <c r="H1268" s="443"/>
      <c r="I1268" s="126"/>
      <c r="J1268" s="47"/>
      <c r="K1268" s="126"/>
      <c r="L1268" s="126"/>
      <c r="M1268" s="104"/>
      <c r="N1268" s="265"/>
      <c r="O1268" s="260"/>
      <c r="P1268" s="106"/>
      <c r="Q1268" s="107"/>
      <c r="R1268" s="244"/>
      <c r="S1268" s="37"/>
      <c r="T1268" s="36" t="str">
        <f t="shared" ca="1" si="102"/>
        <v/>
      </c>
      <c r="U1268" s="37"/>
      <c r="V1268" s="37"/>
      <c r="W1268" s="38"/>
      <c r="X1268" s="39"/>
      <c r="Y1268" s="150"/>
      <c r="Z1268" s="40"/>
      <c r="AA1268" s="136" t="str">
        <f t="shared" ca="1" si="103"/>
        <v/>
      </c>
      <c r="AB1268" s="40"/>
      <c r="AC1268" s="116"/>
      <c r="AD1268" s="116"/>
      <c r="AE1268" s="40"/>
      <c r="AF1268" s="136" t="str">
        <f t="shared" ca="1" si="104"/>
        <v/>
      </c>
      <c r="AG1268" s="127"/>
      <c r="AH1268" s="127"/>
      <c r="AI1268" s="127"/>
      <c r="AJ1268" s="128"/>
      <c r="AK1268" s="128"/>
      <c r="AL1268" s="129"/>
    </row>
    <row r="1269" spans="1:38" ht="23.25" x14ac:dyDescent="0.25">
      <c r="A1269" s="489" t="str">
        <f t="shared" si="101"/>
        <v/>
      </c>
      <c r="B1269" s="490">
        <v>406</v>
      </c>
      <c r="C1269" s="489"/>
      <c r="D1269" s="491"/>
      <c r="E1269" s="124"/>
      <c r="F1269" s="124"/>
      <c r="G1269" s="251"/>
      <c r="H1269" s="443"/>
      <c r="I1269" s="126"/>
      <c r="J1269" s="47"/>
      <c r="K1269" s="126"/>
      <c r="L1269" s="126"/>
      <c r="M1269" s="104"/>
      <c r="N1269" s="265"/>
      <c r="O1269" s="260"/>
      <c r="P1269" s="106"/>
      <c r="Q1269" s="107"/>
      <c r="R1269" s="244"/>
      <c r="S1269" s="37"/>
      <c r="T1269" s="36" t="str">
        <f t="shared" ca="1" si="102"/>
        <v/>
      </c>
      <c r="U1269" s="37"/>
      <c r="V1269" s="37"/>
      <c r="W1269" s="38"/>
      <c r="X1269" s="39"/>
      <c r="Y1269" s="150"/>
      <c r="Z1269" s="40"/>
      <c r="AA1269" s="136" t="str">
        <f t="shared" ca="1" si="103"/>
        <v/>
      </c>
      <c r="AB1269" s="40"/>
      <c r="AC1269" s="116"/>
      <c r="AD1269" s="116"/>
      <c r="AE1269" s="40"/>
      <c r="AF1269" s="136" t="str">
        <f t="shared" ca="1" si="104"/>
        <v/>
      </c>
      <c r="AG1269" s="127"/>
      <c r="AH1269" s="127"/>
      <c r="AI1269" s="127"/>
      <c r="AJ1269" s="128"/>
      <c r="AK1269" s="128"/>
      <c r="AL1269" s="129"/>
    </row>
    <row r="1270" spans="1:38" ht="23.25" x14ac:dyDescent="0.25">
      <c r="A1270" s="489" t="str">
        <f t="shared" si="101"/>
        <v/>
      </c>
      <c r="B1270" s="490">
        <v>407</v>
      </c>
      <c r="C1270" s="489"/>
      <c r="D1270" s="491"/>
      <c r="E1270" s="124"/>
      <c r="F1270" s="124"/>
      <c r="G1270" s="251"/>
      <c r="H1270" s="443"/>
      <c r="I1270" s="126"/>
      <c r="J1270" s="47"/>
      <c r="K1270" s="126"/>
      <c r="L1270" s="126"/>
      <c r="M1270" s="104"/>
      <c r="N1270" s="265"/>
      <c r="O1270" s="260"/>
      <c r="P1270" s="106"/>
      <c r="Q1270" s="107"/>
      <c r="R1270" s="244"/>
      <c r="S1270" s="37"/>
      <c r="T1270" s="36" t="str">
        <f t="shared" ca="1" si="102"/>
        <v/>
      </c>
      <c r="U1270" s="37"/>
      <c r="V1270" s="37"/>
      <c r="W1270" s="38"/>
      <c r="X1270" s="39"/>
      <c r="Y1270" s="150"/>
      <c r="Z1270" s="40"/>
      <c r="AA1270" s="136" t="str">
        <f t="shared" ca="1" si="103"/>
        <v/>
      </c>
      <c r="AB1270" s="40"/>
      <c r="AC1270" s="116"/>
      <c r="AD1270" s="116"/>
      <c r="AE1270" s="40"/>
      <c r="AF1270" s="136" t="str">
        <f t="shared" ca="1" si="104"/>
        <v/>
      </c>
      <c r="AG1270" s="127"/>
      <c r="AH1270" s="127"/>
      <c r="AI1270" s="127"/>
      <c r="AJ1270" s="128"/>
      <c r="AK1270" s="128"/>
      <c r="AL1270" s="129"/>
    </row>
    <row r="1271" spans="1:38" ht="23.25" x14ac:dyDescent="0.25">
      <c r="A1271" s="489" t="str">
        <f t="shared" si="101"/>
        <v/>
      </c>
      <c r="B1271" s="490">
        <v>408</v>
      </c>
      <c r="C1271" s="489"/>
      <c r="D1271" s="491"/>
      <c r="E1271" s="124"/>
      <c r="F1271" s="124"/>
      <c r="G1271" s="251"/>
      <c r="H1271" s="443"/>
      <c r="I1271" s="126"/>
      <c r="J1271" s="47"/>
      <c r="K1271" s="126"/>
      <c r="L1271" s="126"/>
      <c r="M1271" s="104"/>
      <c r="N1271" s="265"/>
      <c r="O1271" s="260"/>
      <c r="P1271" s="106"/>
      <c r="Q1271" s="107"/>
      <c r="R1271" s="244"/>
      <c r="S1271" s="37"/>
      <c r="T1271" s="36" t="str">
        <f t="shared" ca="1" si="102"/>
        <v/>
      </c>
      <c r="U1271" s="37"/>
      <c r="V1271" s="37"/>
      <c r="W1271" s="38"/>
      <c r="X1271" s="39"/>
      <c r="Y1271" s="150"/>
      <c r="Z1271" s="40"/>
      <c r="AA1271" s="136" t="str">
        <f t="shared" ca="1" si="103"/>
        <v/>
      </c>
      <c r="AB1271" s="40"/>
      <c r="AC1271" s="116"/>
      <c r="AD1271" s="116"/>
      <c r="AE1271" s="40"/>
      <c r="AF1271" s="136" t="str">
        <f t="shared" ca="1" si="104"/>
        <v/>
      </c>
      <c r="AG1271" s="127"/>
      <c r="AH1271" s="127"/>
      <c r="AI1271" s="127"/>
      <c r="AJ1271" s="128"/>
      <c r="AK1271" s="128"/>
      <c r="AL1271" s="129"/>
    </row>
    <row r="1272" spans="1:38" ht="23.25" x14ac:dyDescent="0.25">
      <c r="A1272" s="489" t="str">
        <f t="shared" si="101"/>
        <v/>
      </c>
      <c r="B1272" s="490">
        <v>409</v>
      </c>
      <c r="C1272" s="489"/>
      <c r="D1272" s="491"/>
      <c r="E1272" s="124"/>
      <c r="F1272" s="124"/>
      <c r="G1272" s="251"/>
      <c r="H1272" s="443"/>
      <c r="I1272" s="126"/>
      <c r="J1272" s="47"/>
      <c r="K1272" s="126"/>
      <c r="L1272" s="126"/>
      <c r="M1272" s="104"/>
      <c r="N1272" s="265"/>
      <c r="O1272" s="260"/>
      <c r="P1272" s="106"/>
      <c r="Q1272" s="107"/>
      <c r="R1272" s="244"/>
      <c r="S1272" s="37"/>
      <c r="T1272" s="36" t="str">
        <f t="shared" ca="1" si="102"/>
        <v/>
      </c>
      <c r="U1272" s="37"/>
      <c r="V1272" s="37"/>
      <c r="W1272" s="38"/>
      <c r="X1272" s="39"/>
      <c r="Y1272" s="150"/>
      <c r="Z1272" s="40"/>
      <c r="AA1272" s="136" t="str">
        <f t="shared" ca="1" si="103"/>
        <v/>
      </c>
      <c r="AB1272" s="40"/>
      <c r="AC1272" s="116"/>
      <c r="AD1272" s="116"/>
      <c r="AE1272" s="40"/>
      <c r="AF1272" s="136" t="str">
        <f t="shared" ca="1" si="104"/>
        <v/>
      </c>
      <c r="AG1272" s="127"/>
      <c r="AH1272" s="127"/>
      <c r="AI1272" s="127"/>
      <c r="AJ1272" s="128"/>
      <c r="AK1272" s="128"/>
      <c r="AL1272" s="129"/>
    </row>
    <row r="1273" spans="1:38" ht="23.25" x14ac:dyDescent="0.25">
      <c r="A1273" s="489" t="str">
        <f t="shared" si="101"/>
        <v/>
      </c>
      <c r="B1273" s="490">
        <v>410</v>
      </c>
      <c r="C1273" s="489"/>
      <c r="D1273" s="491"/>
      <c r="E1273" s="124"/>
      <c r="F1273" s="124"/>
      <c r="G1273" s="251"/>
      <c r="H1273" s="443"/>
      <c r="I1273" s="126"/>
      <c r="J1273" s="47"/>
      <c r="K1273" s="126"/>
      <c r="L1273" s="126"/>
      <c r="M1273" s="104"/>
      <c r="N1273" s="265"/>
      <c r="O1273" s="260"/>
      <c r="P1273" s="106"/>
      <c r="Q1273" s="107"/>
      <c r="R1273" s="244"/>
      <c r="S1273" s="37"/>
      <c r="T1273" s="36" t="str">
        <f t="shared" ca="1" si="102"/>
        <v/>
      </c>
      <c r="U1273" s="37"/>
      <c r="V1273" s="37"/>
      <c r="W1273" s="38"/>
      <c r="X1273" s="39"/>
      <c r="Y1273" s="150"/>
      <c r="Z1273" s="40"/>
      <c r="AA1273" s="136" t="str">
        <f t="shared" ca="1" si="103"/>
        <v/>
      </c>
      <c r="AB1273" s="40"/>
      <c r="AC1273" s="116"/>
      <c r="AD1273" s="116"/>
      <c r="AE1273" s="40"/>
      <c r="AF1273" s="136" t="str">
        <f t="shared" ca="1" si="104"/>
        <v/>
      </c>
      <c r="AG1273" s="127"/>
      <c r="AH1273" s="127"/>
      <c r="AI1273" s="127"/>
      <c r="AJ1273" s="128"/>
      <c r="AK1273" s="128"/>
      <c r="AL1273" s="129"/>
    </row>
    <row r="1274" spans="1:38" ht="23.25" x14ac:dyDescent="0.25">
      <c r="A1274" s="489" t="str">
        <f t="shared" si="101"/>
        <v/>
      </c>
      <c r="B1274" s="490">
        <v>411</v>
      </c>
      <c r="C1274" s="489"/>
      <c r="D1274" s="491"/>
      <c r="E1274" s="124"/>
      <c r="F1274" s="124"/>
      <c r="G1274" s="251"/>
      <c r="H1274" s="443"/>
      <c r="I1274" s="126"/>
      <c r="J1274" s="47"/>
      <c r="K1274" s="126"/>
      <c r="L1274" s="126"/>
      <c r="M1274" s="104"/>
      <c r="N1274" s="265"/>
      <c r="O1274" s="260"/>
      <c r="P1274" s="106"/>
      <c r="Q1274" s="107"/>
      <c r="R1274" s="244"/>
      <c r="S1274" s="37"/>
      <c r="T1274" s="36" t="str">
        <f t="shared" ca="1" si="102"/>
        <v/>
      </c>
      <c r="U1274" s="37"/>
      <c r="V1274" s="37"/>
      <c r="W1274" s="38"/>
      <c r="X1274" s="39"/>
      <c r="Y1274" s="150"/>
      <c r="Z1274" s="40"/>
      <c r="AA1274" s="136" t="str">
        <f t="shared" ca="1" si="103"/>
        <v/>
      </c>
      <c r="AB1274" s="40"/>
      <c r="AC1274" s="116"/>
      <c r="AD1274" s="116"/>
      <c r="AE1274" s="40"/>
      <c r="AF1274" s="136" t="str">
        <f t="shared" ca="1" si="104"/>
        <v/>
      </c>
      <c r="AG1274" s="127"/>
      <c r="AH1274" s="127"/>
      <c r="AI1274" s="127"/>
      <c r="AJ1274" s="128"/>
      <c r="AK1274" s="128"/>
      <c r="AL1274" s="129"/>
    </row>
    <row r="1275" spans="1:38" ht="23.25" x14ac:dyDescent="0.25">
      <c r="A1275" s="489" t="str">
        <f t="shared" si="101"/>
        <v/>
      </c>
      <c r="B1275" s="490">
        <v>412</v>
      </c>
      <c r="C1275" s="489"/>
      <c r="D1275" s="491"/>
      <c r="E1275" s="124"/>
      <c r="F1275" s="124"/>
      <c r="G1275" s="251"/>
      <c r="H1275" s="443"/>
      <c r="I1275" s="126"/>
      <c r="J1275" s="47"/>
      <c r="K1275" s="126"/>
      <c r="L1275" s="126"/>
      <c r="M1275" s="104"/>
      <c r="N1275" s="265"/>
      <c r="O1275" s="260"/>
      <c r="P1275" s="106"/>
      <c r="Q1275" s="107"/>
      <c r="R1275" s="244"/>
      <c r="S1275" s="37"/>
      <c r="T1275" s="36" t="str">
        <f t="shared" ca="1" si="102"/>
        <v/>
      </c>
      <c r="U1275" s="37"/>
      <c r="V1275" s="37"/>
      <c r="W1275" s="38"/>
      <c r="X1275" s="39"/>
      <c r="Y1275" s="150"/>
      <c r="Z1275" s="40"/>
      <c r="AA1275" s="136" t="str">
        <f t="shared" ca="1" si="103"/>
        <v/>
      </c>
      <c r="AB1275" s="40"/>
      <c r="AC1275" s="116"/>
      <c r="AD1275" s="116"/>
      <c r="AE1275" s="40"/>
      <c r="AF1275" s="136" t="str">
        <f t="shared" ca="1" si="104"/>
        <v/>
      </c>
      <c r="AG1275" s="127"/>
      <c r="AH1275" s="127"/>
      <c r="AI1275" s="127"/>
      <c r="AJ1275" s="128"/>
      <c r="AK1275" s="128"/>
      <c r="AL1275" s="129"/>
    </row>
    <row r="1276" spans="1:38" ht="23.25" x14ac:dyDescent="0.25">
      <c r="A1276" s="489" t="str">
        <f t="shared" si="101"/>
        <v/>
      </c>
      <c r="B1276" s="490">
        <v>413</v>
      </c>
      <c r="C1276" s="489"/>
      <c r="D1276" s="491"/>
      <c r="E1276" s="124"/>
      <c r="F1276" s="124"/>
      <c r="G1276" s="251"/>
      <c r="H1276" s="443"/>
      <c r="I1276" s="126"/>
      <c r="J1276" s="47"/>
      <c r="K1276" s="126"/>
      <c r="L1276" s="126"/>
      <c r="M1276" s="104"/>
      <c r="N1276" s="265"/>
      <c r="O1276" s="260"/>
      <c r="P1276" s="106"/>
      <c r="Q1276" s="107"/>
      <c r="R1276" s="244"/>
      <c r="S1276" s="37"/>
      <c r="T1276" s="36" t="str">
        <f t="shared" ca="1" si="102"/>
        <v/>
      </c>
      <c r="U1276" s="37"/>
      <c r="V1276" s="37"/>
      <c r="W1276" s="38"/>
      <c r="X1276" s="39"/>
      <c r="Y1276" s="150"/>
      <c r="Z1276" s="40"/>
      <c r="AA1276" s="136" t="str">
        <f t="shared" ca="1" si="103"/>
        <v/>
      </c>
      <c r="AB1276" s="40"/>
      <c r="AC1276" s="116"/>
      <c r="AD1276" s="116"/>
      <c r="AE1276" s="40"/>
      <c r="AF1276" s="136" t="str">
        <f t="shared" ca="1" si="104"/>
        <v/>
      </c>
      <c r="AG1276" s="127"/>
      <c r="AH1276" s="127"/>
      <c r="AI1276" s="127"/>
      <c r="AJ1276" s="128"/>
      <c r="AK1276" s="128"/>
      <c r="AL1276" s="129"/>
    </row>
    <row r="1277" spans="1:38" ht="23.25" x14ac:dyDescent="0.25">
      <c r="A1277" s="489" t="str">
        <f t="shared" si="101"/>
        <v/>
      </c>
      <c r="B1277" s="490">
        <v>414</v>
      </c>
      <c r="C1277" s="489"/>
      <c r="D1277" s="491"/>
      <c r="E1277" s="124"/>
      <c r="F1277" s="124"/>
      <c r="G1277" s="251"/>
      <c r="H1277" s="443"/>
      <c r="I1277" s="126"/>
      <c r="J1277" s="47"/>
      <c r="K1277" s="126"/>
      <c r="L1277" s="126"/>
      <c r="M1277" s="104"/>
      <c r="N1277" s="265"/>
      <c r="O1277" s="260"/>
      <c r="P1277" s="106"/>
      <c r="Q1277" s="107"/>
      <c r="R1277" s="244"/>
      <c r="S1277" s="37"/>
      <c r="T1277" s="36" t="str">
        <f t="shared" ca="1" si="102"/>
        <v/>
      </c>
      <c r="U1277" s="37"/>
      <c r="V1277" s="37"/>
      <c r="W1277" s="38"/>
      <c r="X1277" s="39"/>
      <c r="Y1277" s="150"/>
      <c r="Z1277" s="40"/>
      <c r="AA1277" s="136" t="str">
        <f t="shared" ca="1" si="103"/>
        <v/>
      </c>
      <c r="AB1277" s="40"/>
      <c r="AC1277" s="116"/>
      <c r="AD1277" s="116"/>
      <c r="AE1277" s="40"/>
      <c r="AF1277" s="136" t="str">
        <f t="shared" ca="1" si="104"/>
        <v/>
      </c>
      <c r="AG1277" s="127"/>
      <c r="AH1277" s="127"/>
      <c r="AI1277" s="127"/>
      <c r="AJ1277" s="128"/>
      <c r="AK1277" s="128"/>
      <c r="AL1277" s="129"/>
    </row>
    <row r="1278" spans="1:38" ht="23.25" x14ac:dyDescent="0.25">
      <c r="A1278" s="489" t="str">
        <f t="shared" si="101"/>
        <v/>
      </c>
      <c r="B1278" s="490">
        <v>415</v>
      </c>
      <c r="C1278" s="489"/>
      <c r="D1278" s="491"/>
      <c r="E1278" s="124"/>
      <c r="F1278" s="124"/>
      <c r="G1278" s="251"/>
      <c r="H1278" s="443"/>
      <c r="I1278" s="126"/>
      <c r="J1278" s="47"/>
      <c r="K1278" s="126"/>
      <c r="L1278" s="126"/>
      <c r="M1278" s="104"/>
      <c r="N1278" s="265"/>
      <c r="O1278" s="260"/>
      <c r="P1278" s="106"/>
      <c r="Q1278" s="107"/>
      <c r="R1278" s="244"/>
      <c r="S1278" s="37"/>
      <c r="T1278" s="36" t="str">
        <f t="shared" ca="1" si="102"/>
        <v/>
      </c>
      <c r="U1278" s="37"/>
      <c r="V1278" s="37"/>
      <c r="W1278" s="38"/>
      <c r="X1278" s="39"/>
      <c r="Y1278" s="150"/>
      <c r="Z1278" s="40"/>
      <c r="AA1278" s="136" t="str">
        <f t="shared" ca="1" si="103"/>
        <v/>
      </c>
      <c r="AB1278" s="40"/>
      <c r="AC1278" s="116"/>
      <c r="AD1278" s="116"/>
      <c r="AE1278" s="40"/>
      <c r="AF1278" s="136" t="str">
        <f t="shared" ca="1" si="104"/>
        <v/>
      </c>
      <c r="AG1278" s="127"/>
      <c r="AH1278" s="127"/>
      <c r="AI1278" s="127"/>
      <c r="AJ1278" s="128"/>
      <c r="AK1278" s="128"/>
      <c r="AL1278" s="129"/>
    </row>
    <row r="1279" spans="1:38" ht="23.25" x14ac:dyDescent="0.25">
      <c r="A1279" s="489" t="str">
        <f t="shared" si="101"/>
        <v/>
      </c>
      <c r="B1279" s="490">
        <v>416</v>
      </c>
      <c r="C1279" s="489"/>
      <c r="D1279" s="491"/>
      <c r="E1279" s="124"/>
      <c r="F1279" s="124"/>
      <c r="G1279" s="251"/>
      <c r="H1279" s="443"/>
      <c r="I1279" s="126"/>
      <c r="J1279" s="47"/>
      <c r="K1279" s="126"/>
      <c r="L1279" s="126"/>
      <c r="M1279" s="104"/>
      <c r="N1279" s="265"/>
      <c r="O1279" s="260"/>
      <c r="P1279" s="106"/>
      <c r="Q1279" s="107"/>
      <c r="R1279" s="244"/>
      <c r="S1279" s="37"/>
      <c r="T1279" s="36" t="str">
        <f t="shared" ca="1" si="102"/>
        <v/>
      </c>
      <c r="U1279" s="37"/>
      <c r="V1279" s="37"/>
      <c r="W1279" s="38"/>
      <c r="X1279" s="39"/>
      <c r="Y1279" s="150"/>
      <c r="Z1279" s="40"/>
      <c r="AA1279" s="136" t="str">
        <f t="shared" ca="1" si="103"/>
        <v/>
      </c>
      <c r="AB1279" s="40"/>
      <c r="AC1279" s="116"/>
      <c r="AD1279" s="116"/>
      <c r="AE1279" s="40"/>
      <c r="AF1279" s="136" t="str">
        <f t="shared" ca="1" si="104"/>
        <v/>
      </c>
      <c r="AG1279" s="127"/>
      <c r="AH1279" s="127"/>
      <c r="AI1279" s="127"/>
      <c r="AJ1279" s="128"/>
      <c r="AK1279" s="128"/>
      <c r="AL1279" s="129"/>
    </row>
    <row r="1280" spans="1:38" ht="23.25" x14ac:dyDescent="0.25">
      <c r="A1280" s="489" t="str">
        <f t="shared" si="101"/>
        <v/>
      </c>
      <c r="B1280" s="490">
        <v>417</v>
      </c>
      <c r="C1280" s="489"/>
      <c r="D1280" s="491"/>
      <c r="E1280" s="124"/>
      <c r="F1280" s="124"/>
      <c r="G1280" s="251"/>
      <c r="H1280" s="443"/>
      <c r="I1280" s="126"/>
      <c r="J1280" s="47"/>
      <c r="K1280" s="126"/>
      <c r="L1280" s="126"/>
      <c r="M1280" s="104"/>
      <c r="N1280" s="265"/>
      <c r="O1280" s="260"/>
      <c r="P1280" s="106"/>
      <c r="Q1280" s="107"/>
      <c r="R1280" s="244"/>
      <c r="S1280" s="37"/>
      <c r="T1280" s="36" t="str">
        <f t="shared" ca="1" si="102"/>
        <v/>
      </c>
      <c r="U1280" s="37"/>
      <c r="V1280" s="37"/>
      <c r="W1280" s="38"/>
      <c r="X1280" s="39"/>
      <c r="Y1280" s="150"/>
      <c r="Z1280" s="40"/>
      <c r="AA1280" s="136" t="str">
        <f t="shared" ca="1" si="103"/>
        <v/>
      </c>
      <c r="AB1280" s="40"/>
      <c r="AC1280" s="116"/>
      <c r="AD1280" s="116"/>
      <c r="AE1280" s="40"/>
      <c r="AF1280" s="136" t="str">
        <f t="shared" ca="1" si="104"/>
        <v/>
      </c>
      <c r="AG1280" s="127"/>
      <c r="AH1280" s="127"/>
      <c r="AI1280" s="127"/>
      <c r="AJ1280" s="128"/>
      <c r="AK1280" s="128"/>
      <c r="AL1280" s="129"/>
    </row>
    <row r="1281" spans="1:38" ht="23.25" x14ac:dyDescent="0.25">
      <c r="A1281" s="489" t="str">
        <f t="shared" si="101"/>
        <v/>
      </c>
      <c r="B1281" s="490">
        <v>418</v>
      </c>
      <c r="C1281" s="489"/>
      <c r="D1281" s="491"/>
      <c r="E1281" s="124"/>
      <c r="F1281" s="124"/>
      <c r="G1281" s="251"/>
      <c r="H1281" s="443"/>
      <c r="I1281" s="126"/>
      <c r="J1281" s="47"/>
      <c r="K1281" s="126"/>
      <c r="L1281" s="126"/>
      <c r="M1281" s="104"/>
      <c r="N1281" s="265"/>
      <c r="O1281" s="260"/>
      <c r="P1281" s="106"/>
      <c r="Q1281" s="107"/>
      <c r="R1281" s="244"/>
      <c r="S1281" s="37"/>
      <c r="T1281" s="36" t="str">
        <f t="shared" ca="1" si="102"/>
        <v/>
      </c>
      <c r="U1281" s="37"/>
      <c r="V1281" s="37"/>
      <c r="W1281" s="38"/>
      <c r="X1281" s="39"/>
      <c r="Y1281" s="150"/>
      <c r="Z1281" s="40"/>
      <c r="AA1281" s="136" t="str">
        <f t="shared" ca="1" si="103"/>
        <v/>
      </c>
      <c r="AB1281" s="40"/>
      <c r="AC1281" s="116"/>
      <c r="AD1281" s="116"/>
      <c r="AE1281" s="40"/>
      <c r="AF1281" s="136" t="str">
        <f t="shared" ca="1" si="104"/>
        <v/>
      </c>
      <c r="AG1281" s="127"/>
      <c r="AH1281" s="127"/>
      <c r="AI1281" s="127"/>
      <c r="AJ1281" s="128"/>
      <c r="AK1281" s="128"/>
      <c r="AL1281" s="129"/>
    </row>
    <row r="1282" spans="1:38" ht="23.25" x14ac:dyDescent="0.25">
      <c r="A1282" s="489" t="str">
        <f t="shared" si="101"/>
        <v/>
      </c>
      <c r="B1282" s="490">
        <v>419</v>
      </c>
      <c r="C1282" s="489"/>
      <c r="D1282" s="491"/>
      <c r="E1282" s="124"/>
      <c r="F1282" s="124"/>
      <c r="G1282" s="251"/>
      <c r="H1282" s="443"/>
      <c r="I1282" s="126"/>
      <c r="J1282" s="47"/>
      <c r="K1282" s="126"/>
      <c r="L1282" s="126"/>
      <c r="M1282" s="104"/>
      <c r="N1282" s="265"/>
      <c r="O1282" s="260"/>
      <c r="P1282" s="106"/>
      <c r="Q1282" s="107"/>
      <c r="R1282" s="244"/>
      <c r="S1282" s="37"/>
      <c r="T1282" s="36" t="str">
        <f t="shared" ca="1" si="102"/>
        <v/>
      </c>
      <c r="U1282" s="37"/>
      <c r="V1282" s="37"/>
      <c r="W1282" s="38"/>
      <c r="X1282" s="39"/>
      <c r="Y1282" s="150"/>
      <c r="Z1282" s="40"/>
      <c r="AA1282" s="136" t="str">
        <f t="shared" ca="1" si="103"/>
        <v/>
      </c>
      <c r="AB1282" s="40"/>
      <c r="AC1282" s="116"/>
      <c r="AD1282" s="116"/>
      <c r="AE1282" s="40"/>
      <c r="AF1282" s="136" t="str">
        <f t="shared" ca="1" si="104"/>
        <v/>
      </c>
      <c r="AG1282" s="127"/>
      <c r="AH1282" s="127"/>
      <c r="AI1282" s="127"/>
      <c r="AJ1282" s="128"/>
      <c r="AK1282" s="128"/>
      <c r="AL1282" s="129"/>
    </row>
    <row r="1283" spans="1:38" ht="23.25" x14ac:dyDescent="0.25">
      <c r="A1283" s="489" t="str">
        <f t="shared" si="101"/>
        <v/>
      </c>
      <c r="B1283" s="490">
        <v>420</v>
      </c>
      <c r="C1283" s="489"/>
      <c r="D1283" s="491"/>
      <c r="E1283" s="124"/>
      <c r="F1283" s="124"/>
      <c r="G1283" s="251"/>
      <c r="H1283" s="443"/>
      <c r="I1283" s="126"/>
      <c r="J1283" s="47"/>
      <c r="K1283" s="126"/>
      <c r="L1283" s="126"/>
      <c r="M1283" s="104"/>
      <c r="N1283" s="265"/>
      <c r="O1283" s="260"/>
      <c r="P1283" s="106"/>
      <c r="Q1283" s="107"/>
      <c r="R1283" s="244"/>
      <c r="S1283" s="37"/>
      <c r="T1283" s="36" t="str">
        <f t="shared" ca="1" si="102"/>
        <v/>
      </c>
      <c r="U1283" s="37"/>
      <c r="V1283" s="37"/>
      <c r="W1283" s="38"/>
      <c r="X1283" s="39"/>
      <c r="Y1283" s="150"/>
      <c r="Z1283" s="40"/>
      <c r="AA1283" s="136" t="str">
        <f t="shared" ca="1" si="103"/>
        <v/>
      </c>
      <c r="AB1283" s="40"/>
      <c r="AC1283" s="116"/>
      <c r="AD1283" s="116"/>
      <c r="AE1283" s="40"/>
      <c r="AF1283" s="136" t="str">
        <f t="shared" ca="1" si="104"/>
        <v/>
      </c>
      <c r="AG1283" s="127"/>
      <c r="AH1283" s="127"/>
      <c r="AI1283" s="127"/>
      <c r="AJ1283" s="128"/>
      <c r="AK1283" s="128"/>
      <c r="AL1283" s="129"/>
    </row>
    <row r="1284" spans="1:38" ht="23.25" x14ac:dyDescent="0.25">
      <c r="A1284" s="489" t="str">
        <f t="shared" ref="A1284:A1347" si="105">IF(C1284="","",CONCATENATE(18,MID(C1284,1,3),IF(B1284&lt;10,"00",),B1284))</f>
        <v/>
      </c>
      <c r="B1284" s="490">
        <v>421</v>
      </c>
      <c r="C1284" s="489"/>
      <c r="D1284" s="491"/>
      <c r="E1284" s="124"/>
      <c r="F1284" s="124"/>
      <c r="G1284" s="251"/>
      <c r="H1284" s="443"/>
      <c r="I1284" s="126"/>
      <c r="J1284" s="47"/>
      <c r="K1284" s="126"/>
      <c r="L1284" s="126"/>
      <c r="M1284" s="104"/>
      <c r="N1284" s="265"/>
      <c r="O1284" s="260"/>
      <c r="P1284" s="106"/>
      <c r="Q1284" s="107"/>
      <c r="R1284" s="244"/>
      <c r="S1284" s="37"/>
      <c r="T1284" s="36" t="str">
        <f t="shared" ca="1" si="102"/>
        <v/>
      </c>
      <c r="U1284" s="37"/>
      <c r="V1284" s="37"/>
      <c r="W1284" s="38"/>
      <c r="X1284" s="39"/>
      <c r="Y1284" s="150"/>
      <c r="Z1284" s="40"/>
      <c r="AA1284" s="136" t="str">
        <f t="shared" ca="1" si="103"/>
        <v/>
      </c>
      <c r="AB1284" s="40"/>
      <c r="AC1284" s="116"/>
      <c r="AD1284" s="116"/>
      <c r="AE1284" s="40"/>
      <c r="AF1284" s="136" t="str">
        <f t="shared" ca="1" si="104"/>
        <v/>
      </c>
      <c r="AG1284" s="127"/>
      <c r="AH1284" s="127"/>
      <c r="AI1284" s="127"/>
      <c r="AJ1284" s="128"/>
      <c r="AK1284" s="128"/>
      <c r="AL1284" s="129"/>
    </row>
    <row r="1285" spans="1:38" ht="23.25" x14ac:dyDescent="0.25">
      <c r="A1285" s="489" t="str">
        <f t="shared" si="105"/>
        <v/>
      </c>
      <c r="B1285" s="490">
        <v>422</v>
      </c>
      <c r="C1285" s="489"/>
      <c r="D1285" s="491"/>
      <c r="E1285" s="124"/>
      <c r="F1285" s="124"/>
      <c r="G1285" s="251"/>
      <c r="H1285" s="443"/>
      <c r="I1285" s="126"/>
      <c r="J1285" s="47"/>
      <c r="K1285" s="126"/>
      <c r="L1285" s="126"/>
      <c r="M1285" s="104"/>
      <c r="N1285" s="265"/>
      <c r="O1285" s="260"/>
      <c r="P1285" s="106"/>
      <c r="Q1285" s="107"/>
      <c r="R1285" s="244"/>
      <c r="S1285" s="37"/>
      <c r="T1285" s="36" t="str">
        <f t="shared" ca="1" si="102"/>
        <v/>
      </c>
      <c r="U1285" s="37"/>
      <c r="V1285" s="37"/>
      <c r="W1285" s="38"/>
      <c r="X1285" s="39"/>
      <c r="Y1285" s="150"/>
      <c r="Z1285" s="40"/>
      <c r="AA1285" s="136" t="str">
        <f t="shared" ca="1" si="103"/>
        <v/>
      </c>
      <c r="AB1285" s="40"/>
      <c r="AC1285" s="116"/>
      <c r="AD1285" s="116"/>
      <c r="AE1285" s="40"/>
      <c r="AF1285" s="136" t="str">
        <f t="shared" ca="1" si="104"/>
        <v/>
      </c>
      <c r="AG1285" s="127"/>
      <c r="AH1285" s="127"/>
      <c r="AI1285" s="127"/>
      <c r="AJ1285" s="128"/>
      <c r="AK1285" s="128"/>
      <c r="AL1285" s="129"/>
    </row>
    <row r="1286" spans="1:38" ht="23.25" x14ac:dyDescent="0.25">
      <c r="A1286" s="489" t="str">
        <f t="shared" si="105"/>
        <v/>
      </c>
      <c r="B1286" s="490">
        <v>423</v>
      </c>
      <c r="C1286" s="489"/>
      <c r="D1286" s="491"/>
      <c r="E1286" s="124"/>
      <c r="F1286" s="124"/>
      <c r="G1286" s="251"/>
      <c r="H1286" s="443"/>
      <c r="I1286" s="126"/>
      <c r="J1286" s="47"/>
      <c r="K1286" s="126"/>
      <c r="L1286" s="126"/>
      <c r="M1286" s="104"/>
      <c r="N1286" s="265"/>
      <c r="O1286" s="260"/>
      <c r="P1286" s="106"/>
      <c r="Q1286" s="107"/>
      <c r="R1286" s="244"/>
      <c r="S1286" s="37"/>
      <c r="T1286" s="36" t="str">
        <f t="shared" ca="1" si="102"/>
        <v/>
      </c>
      <c r="U1286" s="37"/>
      <c r="V1286" s="37"/>
      <c r="W1286" s="38"/>
      <c r="X1286" s="39"/>
      <c r="Y1286" s="150"/>
      <c r="Z1286" s="40"/>
      <c r="AA1286" s="136" t="str">
        <f t="shared" ca="1" si="103"/>
        <v/>
      </c>
      <c r="AB1286" s="40"/>
      <c r="AC1286" s="116"/>
      <c r="AD1286" s="116"/>
      <c r="AE1286" s="40"/>
      <c r="AF1286" s="136" t="str">
        <f t="shared" ca="1" si="104"/>
        <v/>
      </c>
      <c r="AG1286" s="127"/>
      <c r="AH1286" s="127"/>
      <c r="AI1286" s="127"/>
      <c r="AJ1286" s="128"/>
      <c r="AK1286" s="128"/>
      <c r="AL1286" s="129"/>
    </row>
    <row r="1287" spans="1:38" ht="23.25" x14ac:dyDescent="0.25">
      <c r="A1287" s="489" t="str">
        <f t="shared" si="105"/>
        <v/>
      </c>
      <c r="B1287" s="490">
        <v>424</v>
      </c>
      <c r="C1287" s="489"/>
      <c r="D1287" s="491"/>
      <c r="E1287" s="124"/>
      <c r="F1287" s="124"/>
      <c r="G1287" s="251"/>
      <c r="H1287" s="443"/>
      <c r="I1287" s="126"/>
      <c r="J1287" s="47"/>
      <c r="K1287" s="126"/>
      <c r="L1287" s="126"/>
      <c r="M1287" s="104"/>
      <c r="N1287" s="265"/>
      <c r="O1287" s="260"/>
      <c r="P1287" s="106"/>
      <c r="Q1287" s="107"/>
      <c r="R1287" s="244"/>
      <c r="S1287" s="37"/>
      <c r="T1287" s="36" t="str">
        <f t="shared" ca="1" si="102"/>
        <v/>
      </c>
      <c r="U1287" s="37"/>
      <c r="V1287" s="37"/>
      <c r="W1287" s="38"/>
      <c r="X1287" s="39"/>
      <c r="Y1287" s="150"/>
      <c r="Z1287" s="40"/>
      <c r="AA1287" s="136" t="str">
        <f t="shared" ca="1" si="103"/>
        <v/>
      </c>
      <c r="AB1287" s="40"/>
      <c r="AC1287" s="116"/>
      <c r="AD1287" s="116"/>
      <c r="AE1287" s="40"/>
      <c r="AF1287" s="136" t="str">
        <f t="shared" ca="1" si="104"/>
        <v/>
      </c>
      <c r="AG1287" s="127"/>
      <c r="AH1287" s="127"/>
      <c r="AI1287" s="127"/>
      <c r="AJ1287" s="128"/>
      <c r="AK1287" s="128"/>
      <c r="AL1287" s="129"/>
    </row>
    <row r="1288" spans="1:38" ht="23.25" x14ac:dyDescent="0.25">
      <c r="A1288" s="489" t="str">
        <f t="shared" si="105"/>
        <v/>
      </c>
      <c r="B1288" s="490">
        <v>425</v>
      </c>
      <c r="C1288" s="489"/>
      <c r="D1288" s="491"/>
      <c r="E1288" s="124"/>
      <c r="F1288" s="124"/>
      <c r="G1288" s="251"/>
      <c r="H1288" s="443"/>
      <c r="I1288" s="126"/>
      <c r="J1288" s="47"/>
      <c r="K1288" s="126"/>
      <c r="L1288" s="126"/>
      <c r="M1288" s="104"/>
      <c r="N1288" s="265"/>
      <c r="O1288" s="260"/>
      <c r="P1288" s="106"/>
      <c r="Q1288" s="107"/>
      <c r="R1288" s="244"/>
      <c r="S1288" s="37"/>
      <c r="T1288" s="36" t="str">
        <f t="shared" ca="1" si="102"/>
        <v/>
      </c>
      <c r="U1288" s="37"/>
      <c r="V1288" s="37"/>
      <c r="W1288" s="38"/>
      <c r="X1288" s="39"/>
      <c r="Y1288" s="150"/>
      <c r="Z1288" s="40"/>
      <c r="AA1288" s="136" t="str">
        <f t="shared" ca="1" si="103"/>
        <v/>
      </c>
      <c r="AB1288" s="40"/>
      <c r="AC1288" s="116"/>
      <c r="AD1288" s="116"/>
      <c r="AE1288" s="40"/>
      <c r="AF1288" s="136" t="str">
        <f t="shared" ca="1" si="104"/>
        <v/>
      </c>
      <c r="AG1288" s="127"/>
      <c r="AH1288" s="127"/>
      <c r="AI1288" s="127"/>
      <c r="AJ1288" s="128"/>
      <c r="AK1288" s="128"/>
      <c r="AL1288" s="129"/>
    </row>
    <row r="1289" spans="1:38" ht="23.25" x14ac:dyDescent="0.25">
      <c r="A1289" s="489" t="str">
        <f t="shared" si="105"/>
        <v/>
      </c>
      <c r="B1289" s="490">
        <v>426</v>
      </c>
      <c r="C1289" s="489"/>
      <c r="D1289" s="491"/>
      <c r="E1289" s="124"/>
      <c r="F1289" s="124"/>
      <c r="G1289" s="251"/>
      <c r="H1289" s="443"/>
      <c r="I1289" s="126"/>
      <c r="J1289" s="47"/>
      <c r="K1289" s="126"/>
      <c r="L1289" s="126"/>
      <c r="M1289" s="104"/>
      <c r="N1289" s="265"/>
      <c r="O1289" s="260"/>
      <c r="P1289" s="106"/>
      <c r="Q1289" s="107"/>
      <c r="R1289" s="244"/>
      <c r="S1289" s="37"/>
      <c r="T1289" s="36" t="str">
        <f t="shared" ca="1" si="102"/>
        <v/>
      </c>
      <c r="U1289" s="37"/>
      <c r="V1289" s="37"/>
      <c r="W1289" s="38"/>
      <c r="X1289" s="39"/>
      <c r="Y1289" s="150"/>
      <c r="Z1289" s="40"/>
      <c r="AA1289" s="136" t="str">
        <f t="shared" ca="1" si="103"/>
        <v/>
      </c>
      <c r="AB1289" s="40"/>
      <c r="AC1289" s="116"/>
      <c r="AD1289" s="116"/>
      <c r="AE1289" s="40"/>
      <c r="AF1289" s="136" t="str">
        <f t="shared" ca="1" si="104"/>
        <v/>
      </c>
      <c r="AG1289" s="127"/>
      <c r="AH1289" s="127"/>
      <c r="AI1289" s="127"/>
      <c r="AJ1289" s="128"/>
      <c r="AK1289" s="128"/>
      <c r="AL1289" s="129"/>
    </row>
    <row r="1290" spans="1:38" ht="23.25" x14ac:dyDescent="0.25">
      <c r="A1290" s="489" t="str">
        <f t="shared" si="105"/>
        <v/>
      </c>
      <c r="B1290" s="490">
        <v>427</v>
      </c>
      <c r="C1290" s="489"/>
      <c r="D1290" s="491"/>
      <c r="E1290" s="124"/>
      <c r="F1290" s="124"/>
      <c r="G1290" s="251"/>
      <c r="H1290" s="443"/>
      <c r="I1290" s="126"/>
      <c r="J1290" s="47"/>
      <c r="K1290" s="126"/>
      <c r="L1290" s="126"/>
      <c r="M1290" s="104"/>
      <c r="N1290" s="265"/>
      <c r="O1290" s="260"/>
      <c r="P1290" s="106"/>
      <c r="Q1290" s="107"/>
      <c r="R1290" s="244"/>
      <c r="S1290" s="37"/>
      <c r="T1290" s="36" t="str">
        <f t="shared" ca="1" si="102"/>
        <v/>
      </c>
      <c r="U1290" s="37"/>
      <c r="V1290" s="37"/>
      <c r="W1290" s="38"/>
      <c r="X1290" s="39"/>
      <c r="Y1290" s="150"/>
      <c r="Z1290" s="40"/>
      <c r="AA1290" s="136" t="str">
        <f t="shared" ca="1" si="103"/>
        <v/>
      </c>
      <c r="AB1290" s="40"/>
      <c r="AC1290" s="116"/>
      <c r="AD1290" s="116"/>
      <c r="AE1290" s="40"/>
      <c r="AF1290" s="136" t="str">
        <f t="shared" ca="1" si="104"/>
        <v/>
      </c>
      <c r="AG1290" s="127"/>
      <c r="AH1290" s="127"/>
      <c r="AI1290" s="127"/>
      <c r="AJ1290" s="128"/>
      <c r="AK1290" s="128"/>
      <c r="AL1290" s="129"/>
    </row>
    <row r="1291" spans="1:38" ht="23.25" x14ac:dyDescent="0.25">
      <c r="A1291" s="489" t="str">
        <f t="shared" si="105"/>
        <v/>
      </c>
      <c r="B1291" s="490">
        <v>428</v>
      </c>
      <c r="C1291" s="489"/>
      <c r="D1291" s="491"/>
      <c r="E1291" s="124"/>
      <c r="F1291" s="124"/>
      <c r="G1291" s="251"/>
      <c r="H1291" s="443"/>
      <c r="I1291" s="126"/>
      <c r="J1291" s="47"/>
      <c r="K1291" s="126"/>
      <c r="L1291" s="126"/>
      <c r="M1291" s="104"/>
      <c r="N1291" s="265"/>
      <c r="O1291" s="260"/>
      <c r="P1291" s="106"/>
      <c r="Q1291" s="107"/>
      <c r="R1291" s="244"/>
      <c r="S1291" s="37"/>
      <c r="T1291" s="36" t="str">
        <f t="shared" ca="1" si="102"/>
        <v/>
      </c>
      <c r="U1291" s="37"/>
      <c r="V1291" s="37"/>
      <c r="W1291" s="38"/>
      <c r="X1291" s="39"/>
      <c r="Y1291" s="150"/>
      <c r="Z1291" s="40"/>
      <c r="AA1291" s="136" t="str">
        <f t="shared" ca="1" si="103"/>
        <v/>
      </c>
      <c r="AB1291" s="40"/>
      <c r="AC1291" s="116"/>
      <c r="AD1291" s="116"/>
      <c r="AE1291" s="40"/>
      <c r="AF1291" s="136" t="str">
        <f t="shared" ca="1" si="104"/>
        <v/>
      </c>
      <c r="AG1291" s="127"/>
      <c r="AH1291" s="127"/>
      <c r="AI1291" s="127"/>
      <c r="AJ1291" s="128"/>
      <c r="AK1291" s="128"/>
      <c r="AL1291" s="129"/>
    </row>
    <row r="1292" spans="1:38" ht="23.25" x14ac:dyDescent="0.25">
      <c r="A1292" s="489" t="str">
        <f t="shared" si="105"/>
        <v/>
      </c>
      <c r="B1292" s="490">
        <v>429</v>
      </c>
      <c r="C1292" s="489"/>
      <c r="D1292" s="491"/>
      <c r="E1292" s="124"/>
      <c r="F1292" s="124"/>
      <c r="G1292" s="251"/>
      <c r="H1292" s="443"/>
      <c r="I1292" s="126"/>
      <c r="J1292" s="47"/>
      <c r="K1292" s="126"/>
      <c r="L1292" s="126"/>
      <c r="M1292" s="104"/>
      <c r="N1292" s="265"/>
      <c r="O1292" s="260"/>
      <c r="P1292" s="106"/>
      <c r="Q1292" s="107"/>
      <c r="R1292" s="244"/>
      <c r="S1292" s="37"/>
      <c r="T1292" s="36" t="str">
        <f t="shared" ca="1" si="102"/>
        <v/>
      </c>
      <c r="U1292" s="37"/>
      <c r="V1292" s="37"/>
      <c r="W1292" s="38"/>
      <c r="X1292" s="39"/>
      <c r="Y1292" s="150"/>
      <c r="Z1292" s="40"/>
      <c r="AA1292" s="136" t="str">
        <f t="shared" ca="1" si="103"/>
        <v/>
      </c>
      <c r="AB1292" s="40"/>
      <c r="AC1292" s="116"/>
      <c r="AD1292" s="116"/>
      <c r="AE1292" s="40"/>
      <c r="AF1292" s="136" t="str">
        <f t="shared" ca="1" si="104"/>
        <v/>
      </c>
      <c r="AG1292" s="127"/>
      <c r="AH1292" s="127"/>
      <c r="AI1292" s="127"/>
      <c r="AJ1292" s="128"/>
      <c r="AK1292" s="128"/>
      <c r="AL1292" s="129"/>
    </row>
    <row r="1293" spans="1:38" ht="23.25" x14ac:dyDescent="0.25">
      <c r="A1293" s="489" t="str">
        <f t="shared" si="105"/>
        <v/>
      </c>
      <c r="B1293" s="490">
        <v>430</v>
      </c>
      <c r="C1293" s="489"/>
      <c r="D1293" s="491"/>
      <c r="E1293" s="124"/>
      <c r="F1293" s="124"/>
      <c r="G1293" s="251"/>
      <c r="H1293" s="443"/>
      <c r="I1293" s="126"/>
      <c r="J1293" s="47"/>
      <c r="K1293" s="126"/>
      <c r="L1293" s="126"/>
      <c r="M1293" s="104"/>
      <c r="N1293" s="265"/>
      <c r="O1293" s="260"/>
      <c r="P1293" s="106"/>
      <c r="Q1293" s="107"/>
      <c r="R1293" s="244"/>
      <c r="S1293" s="37"/>
      <c r="T1293" s="36" t="str">
        <f t="shared" ca="1" si="102"/>
        <v/>
      </c>
      <c r="U1293" s="37"/>
      <c r="V1293" s="37"/>
      <c r="W1293" s="38"/>
      <c r="X1293" s="39"/>
      <c r="Y1293" s="150"/>
      <c r="Z1293" s="40"/>
      <c r="AA1293" s="136" t="str">
        <f t="shared" ca="1" si="103"/>
        <v/>
      </c>
      <c r="AB1293" s="40"/>
      <c r="AC1293" s="116"/>
      <c r="AD1293" s="116"/>
      <c r="AE1293" s="40"/>
      <c r="AF1293" s="136" t="str">
        <f t="shared" ca="1" si="104"/>
        <v/>
      </c>
      <c r="AG1293" s="127"/>
      <c r="AH1293" s="127"/>
      <c r="AI1293" s="127"/>
      <c r="AJ1293" s="128"/>
      <c r="AK1293" s="128"/>
      <c r="AL1293" s="129"/>
    </row>
    <row r="1294" spans="1:38" ht="23.25" x14ac:dyDescent="0.25">
      <c r="A1294" s="489" t="str">
        <f t="shared" si="105"/>
        <v/>
      </c>
      <c r="B1294" s="490">
        <v>431</v>
      </c>
      <c r="C1294" s="489"/>
      <c r="D1294" s="491"/>
      <c r="E1294" s="124"/>
      <c r="F1294" s="124"/>
      <c r="G1294" s="251"/>
      <c r="H1294" s="443"/>
      <c r="I1294" s="126"/>
      <c r="J1294" s="47"/>
      <c r="K1294" s="126"/>
      <c r="L1294" s="126"/>
      <c r="M1294" s="104"/>
      <c r="N1294" s="265"/>
      <c r="O1294" s="260"/>
      <c r="P1294" s="106"/>
      <c r="Q1294" s="107"/>
      <c r="R1294" s="244"/>
      <c r="S1294" s="37"/>
      <c r="T1294" s="36" t="str">
        <f t="shared" ca="1" si="102"/>
        <v/>
      </c>
      <c r="U1294" s="37"/>
      <c r="V1294" s="37"/>
      <c r="W1294" s="38"/>
      <c r="X1294" s="39"/>
      <c r="Y1294" s="150"/>
      <c r="Z1294" s="40"/>
      <c r="AA1294" s="136" t="str">
        <f t="shared" ca="1" si="103"/>
        <v/>
      </c>
      <c r="AB1294" s="40"/>
      <c r="AC1294" s="116"/>
      <c r="AD1294" s="116"/>
      <c r="AE1294" s="40"/>
      <c r="AF1294" s="136" t="str">
        <f t="shared" ca="1" si="104"/>
        <v/>
      </c>
      <c r="AG1294" s="127"/>
      <c r="AH1294" s="127"/>
      <c r="AI1294" s="127"/>
      <c r="AJ1294" s="128"/>
      <c r="AK1294" s="128"/>
      <c r="AL1294" s="129"/>
    </row>
    <row r="1295" spans="1:38" ht="23.25" x14ac:dyDescent="0.25">
      <c r="A1295" s="489" t="str">
        <f t="shared" si="105"/>
        <v/>
      </c>
      <c r="B1295" s="490">
        <v>432</v>
      </c>
      <c r="C1295" s="489"/>
      <c r="D1295" s="491"/>
      <c r="E1295" s="124"/>
      <c r="F1295" s="124"/>
      <c r="G1295" s="251"/>
      <c r="H1295" s="443"/>
      <c r="I1295" s="126"/>
      <c r="J1295" s="47"/>
      <c r="K1295" s="126"/>
      <c r="L1295" s="126"/>
      <c r="M1295" s="104"/>
      <c r="N1295" s="265"/>
      <c r="O1295" s="260"/>
      <c r="P1295" s="106"/>
      <c r="Q1295" s="107"/>
      <c r="R1295" s="244"/>
      <c r="S1295" s="37"/>
      <c r="T1295" s="36" t="str">
        <f t="shared" ca="1" si="102"/>
        <v/>
      </c>
      <c r="U1295" s="37"/>
      <c r="V1295" s="37"/>
      <c r="W1295" s="38"/>
      <c r="X1295" s="39"/>
      <c r="Y1295" s="150"/>
      <c r="Z1295" s="40"/>
      <c r="AA1295" s="136" t="str">
        <f t="shared" ca="1" si="103"/>
        <v/>
      </c>
      <c r="AB1295" s="40"/>
      <c r="AC1295" s="116"/>
      <c r="AD1295" s="116"/>
      <c r="AE1295" s="40"/>
      <c r="AF1295" s="136" t="str">
        <f t="shared" ca="1" si="104"/>
        <v/>
      </c>
      <c r="AG1295" s="127"/>
      <c r="AH1295" s="127"/>
      <c r="AI1295" s="127"/>
      <c r="AJ1295" s="128"/>
      <c r="AK1295" s="128"/>
      <c r="AL1295" s="129"/>
    </row>
    <row r="1296" spans="1:38" ht="23.25" x14ac:dyDescent="0.25">
      <c r="A1296" s="489" t="str">
        <f t="shared" si="105"/>
        <v/>
      </c>
      <c r="B1296" s="490">
        <v>433</v>
      </c>
      <c r="C1296" s="489"/>
      <c r="D1296" s="491"/>
      <c r="E1296" s="124"/>
      <c r="F1296" s="124"/>
      <c r="G1296" s="251"/>
      <c r="H1296" s="443"/>
      <c r="I1296" s="126"/>
      <c r="J1296" s="47"/>
      <c r="K1296" s="126"/>
      <c r="L1296" s="126"/>
      <c r="M1296" s="104"/>
      <c r="N1296" s="265"/>
      <c r="O1296" s="260"/>
      <c r="P1296" s="106"/>
      <c r="Q1296" s="107"/>
      <c r="R1296" s="244"/>
      <c r="S1296" s="37"/>
      <c r="T1296" s="36" t="str">
        <f t="shared" ref="T1296:T1359" ca="1" si="106">IF(S1296="","",IF(S1296=0,"Empty",IF(O1296="","",IF(O1296,DAYS360(O1296,TODAY())))))</f>
        <v/>
      </c>
      <c r="U1296" s="37"/>
      <c r="V1296" s="37"/>
      <c r="W1296" s="38"/>
      <c r="X1296" s="39"/>
      <c r="Y1296" s="150"/>
      <c r="Z1296" s="40"/>
      <c r="AA1296" s="136" t="str">
        <f t="shared" ref="AA1296:AA1359" ca="1" si="107">IF(W1296="","",IF(W1296,DAYS360(W1296,TODAY())))</f>
        <v/>
      </c>
      <c r="AB1296" s="40"/>
      <c r="AC1296" s="116"/>
      <c r="AD1296" s="116"/>
      <c r="AE1296" s="40"/>
      <c r="AF1296" s="136" t="str">
        <f t="shared" ref="AF1296:AF1359" ca="1" si="108">IF(AB1296="","",IF(AB1296,DAYS360(AB1296,TODAY())))</f>
        <v/>
      </c>
      <c r="AG1296" s="127"/>
      <c r="AH1296" s="127"/>
      <c r="AI1296" s="127"/>
      <c r="AJ1296" s="128"/>
      <c r="AK1296" s="128"/>
      <c r="AL1296" s="129"/>
    </row>
    <row r="1297" spans="1:38" ht="23.25" x14ac:dyDescent="0.25">
      <c r="A1297" s="489" t="str">
        <f t="shared" si="105"/>
        <v/>
      </c>
      <c r="B1297" s="490">
        <v>434</v>
      </c>
      <c r="C1297" s="489"/>
      <c r="D1297" s="491"/>
      <c r="E1297" s="124"/>
      <c r="F1297" s="124"/>
      <c r="G1297" s="251"/>
      <c r="H1297" s="443"/>
      <c r="I1297" s="126"/>
      <c r="J1297" s="47"/>
      <c r="K1297" s="126"/>
      <c r="L1297" s="126"/>
      <c r="M1297" s="104"/>
      <c r="N1297" s="265"/>
      <c r="O1297" s="260"/>
      <c r="P1297" s="106"/>
      <c r="Q1297" s="107"/>
      <c r="R1297" s="244"/>
      <c r="S1297" s="37"/>
      <c r="T1297" s="36" t="str">
        <f t="shared" ca="1" si="106"/>
        <v/>
      </c>
      <c r="U1297" s="37"/>
      <c r="V1297" s="37"/>
      <c r="W1297" s="38"/>
      <c r="X1297" s="39"/>
      <c r="Y1297" s="150"/>
      <c r="Z1297" s="40"/>
      <c r="AA1297" s="136" t="str">
        <f t="shared" ca="1" si="107"/>
        <v/>
      </c>
      <c r="AB1297" s="40"/>
      <c r="AC1297" s="116"/>
      <c r="AD1297" s="116"/>
      <c r="AE1297" s="40"/>
      <c r="AF1297" s="136" t="str">
        <f t="shared" ca="1" si="108"/>
        <v/>
      </c>
      <c r="AG1297" s="127"/>
      <c r="AH1297" s="127"/>
      <c r="AI1297" s="127"/>
      <c r="AJ1297" s="128"/>
      <c r="AK1297" s="128"/>
      <c r="AL1297" s="129"/>
    </row>
    <row r="1298" spans="1:38" ht="23.25" x14ac:dyDescent="0.25">
      <c r="A1298" s="489" t="str">
        <f t="shared" si="105"/>
        <v/>
      </c>
      <c r="B1298" s="490">
        <v>435</v>
      </c>
      <c r="C1298" s="489"/>
      <c r="D1298" s="491"/>
      <c r="E1298" s="124"/>
      <c r="F1298" s="124"/>
      <c r="G1298" s="251"/>
      <c r="H1298" s="443"/>
      <c r="I1298" s="126"/>
      <c r="J1298" s="47"/>
      <c r="K1298" s="126"/>
      <c r="L1298" s="126"/>
      <c r="M1298" s="104"/>
      <c r="N1298" s="265"/>
      <c r="O1298" s="260"/>
      <c r="P1298" s="106"/>
      <c r="Q1298" s="107"/>
      <c r="R1298" s="244"/>
      <c r="S1298" s="37"/>
      <c r="T1298" s="36" t="str">
        <f t="shared" ca="1" si="106"/>
        <v/>
      </c>
      <c r="U1298" s="37"/>
      <c r="V1298" s="37"/>
      <c r="W1298" s="38"/>
      <c r="X1298" s="39"/>
      <c r="Y1298" s="150"/>
      <c r="Z1298" s="40"/>
      <c r="AA1298" s="136" t="str">
        <f t="shared" ca="1" si="107"/>
        <v/>
      </c>
      <c r="AB1298" s="40"/>
      <c r="AC1298" s="116"/>
      <c r="AD1298" s="116"/>
      <c r="AE1298" s="40"/>
      <c r="AF1298" s="136" t="str">
        <f t="shared" ca="1" si="108"/>
        <v/>
      </c>
      <c r="AG1298" s="127"/>
      <c r="AH1298" s="127"/>
      <c r="AI1298" s="127"/>
      <c r="AJ1298" s="128"/>
      <c r="AK1298" s="128"/>
      <c r="AL1298" s="129"/>
    </row>
    <row r="1299" spans="1:38" ht="23.25" x14ac:dyDescent="0.25">
      <c r="A1299" s="489" t="str">
        <f t="shared" si="105"/>
        <v/>
      </c>
      <c r="B1299" s="490">
        <v>436</v>
      </c>
      <c r="C1299" s="489"/>
      <c r="D1299" s="491"/>
      <c r="E1299" s="124"/>
      <c r="F1299" s="124"/>
      <c r="G1299" s="251"/>
      <c r="H1299" s="443"/>
      <c r="I1299" s="126"/>
      <c r="J1299" s="47"/>
      <c r="K1299" s="126"/>
      <c r="L1299" s="126"/>
      <c r="M1299" s="104"/>
      <c r="N1299" s="265"/>
      <c r="O1299" s="260"/>
      <c r="P1299" s="106"/>
      <c r="Q1299" s="107"/>
      <c r="R1299" s="244"/>
      <c r="S1299" s="37"/>
      <c r="T1299" s="36" t="str">
        <f t="shared" ca="1" si="106"/>
        <v/>
      </c>
      <c r="U1299" s="37"/>
      <c r="V1299" s="37"/>
      <c r="W1299" s="38"/>
      <c r="X1299" s="39"/>
      <c r="Y1299" s="150"/>
      <c r="Z1299" s="40"/>
      <c r="AA1299" s="136" t="str">
        <f t="shared" ca="1" si="107"/>
        <v/>
      </c>
      <c r="AB1299" s="40"/>
      <c r="AC1299" s="116"/>
      <c r="AD1299" s="116"/>
      <c r="AE1299" s="40"/>
      <c r="AF1299" s="136" t="str">
        <f t="shared" ca="1" si="108"/>
        <v/>
      </c>
      <c r="AG1299" s="127"/>
      <c r="AH1299" s="127"/>
      <c r="AI1299" s="127"/>
      <c r="AJ1299" s="128"/>
      <c r="AK1299" s="128"/>
      <c r="AL1299" s="129"/>
    </row>
    <row r="1300" spans="1:38" ht="23.25" x14ac:dyDescent="0.25">
      <c r="A1300" s="489" t="str">
        <f t="shared" si="105"/>
        <v/>
      </c>
      <c r="B1300" s="490">
        <v>437</v>
      </c>
      <c r="C1300" s="489"/>
      <c r="D1300" s="491"/>
      <c r="E1300" s="124"/>
      <c r="F1300" s="124"/>
      <c r="G1300" s="251"/>
      <c r="H1300" s="443"/>
      <c r="I1300" s="126"/>
      <c r="J1300" s="47"/>
      <c r="K1300" s="126"/>
      <c r="L1300" s="126"/>
      <c r="M1300" s="104"/>
      <c r="N1300" s="265"/>
      <c r="O1300" s="260"/>
      <c r="P1300" s="106"/>
      <c r="Q1300" s="107"/>
      <c r="R1300" s="244"/>
      <c r="S1300" s="37"/>
      <c r="T1300" s="36" t="str">
        <f t="shared" ca="1" si="106"/>
        <v/>
      </c>
      <c r="U1300" s="37"/>
      <c r="V1300" s="37"/>
      <c r="W1300" s="38"/>
      <c r="X1300" s="39"/>
      <c r="Y1300" s="150"/>
      <c r="Z1300" s="40"/>
      <c r="AA1300" s="136" t="str">
        <f t="shared" ca="1" si="107"/>
        <v/>
      </c>
      <c r="AB1300" s="40"/>
      <c r="AC1300" s="116"/>
      <c r="AD1300" s="116"/>
      <c r="AE1300" s="40"/>
      <c r="AF1300" s="136" t="str">
        <f t="shared" ca="1" si="108"/>
        <v/>
      </c>
      <c r="AG1300" s="127"/>
      <c r="AH1300" s="127"/>
      <c r="AI1300" s="127"/>
      <c r="AJ1300" s="128"/>
      <c r="AK1300" s="128"/>
      <c r="AL1300" s="129"/>
    </row>
    <row r="1301" spans="1:38" ht="23.25" x14ac:dyDescent="0.25">
      <c r="A1301" s="489" t="str">
        <f t="shared" si="105"/>
        <v/>
      </c>
      <c r="B1301" s="490">
        <v>438</v>
      </c>
      <c r="C1301" s="489"/>
      <c r="D1301" s="491"/>
      <c r="E1301" s="124"/>
      <c r="F1301" s="124"/>
      <c r="G1301" s="251"/>
      <c r="H1301" s="443"/>
      <c r="I1301" s="126"/>
      <c r="J1301" s="47"/>
      <c r="K1301" s="126"/>
      <c r="L1301" s="126"/>
      <c r="M1301" s="104"/>
      <c r="N1301" s="265"/>
      <c r="O1301" s="260"/>
      <c r="P1301" s="106"/>
      <c r="Q1301" s="107"/>
      <c r="R1301" s="244"/>
      <c r="S1301" s="37"/>
      <c r="T1301" s="36" t="str">
        <f t="shared" ca="1" si="106"/>
        <v/>
      </c>
      <c r="U1301" s="37"/>
      <c r="V1301" s="37"/>
      <c r="W1301" s="38"/>
      <c r="X1301" s="39"/>
      <c r="Y1301" s="150"/>
      <c r="Z1301" s="40"/>
      <c r="AA1301" s="136" t="str">
        <f t="shared" ca="1" si="107"/>
        <v/>
      </c>
      <c r="AB1301" s="40"/>
      <c r="AC1301" s="116"/>
      <c r="AD1301" s="116"/>
      <c r="AE1301" s="40"/>
      <c r="AF1301" s="136" t="str">
        <f t="shared" ca="1" si="108"/>
        <v/>
      </c>
      <c r="AG1301" s="127"/>
      <c r="AH1301" s="127"/>
      <c r="AI1301" s="127"/>
      <c r="AJ1301" s="128"/>
      <c r="AK1301" s="128"/>
      <c r="AL1301" s="129"/>
    </row>
    <row r="1302" spans="1:38" ht="23.25" x14ac:dyDescent="0.25">
      <c r="A1302" s="489" t="str">
        <f t="shared" si="105"/>
        <v/>
      </c>
      <c r="B1302" s="490">
        <v>439</v>
      </c>
      <c r="C1302" s="489"/>
      <c r="D1302" s="491"/>
      <c r="E1302" s="124"/>
      <c r="F1302" s="124"/>
      <c r="G1302" s="251"/>
      <c r="H1302" s="443"/>
      <c r="I1302" s="126"/>
      <c r="J1302" s="47"/>
      <c r="K1302" s="126"/>
      <c r="L1302" s="126"/>
      <c r="M1302" s="104"/>
      <c r="N1302" s="265"/>
      <c r="O1302" s="260"/>
      <c r="P1302" s="106"/>
      <c r="Q1302" s="107"/>
      <c r="R1302" s="244"/>
      <c r="S1302" s="37"/>
      <c r="T1302" s="36" t="str">
        <f t="shared" ca="1" si="106"/>
        <v/>
      </c>
      <c r="U1302" s="37"/>
      <c r="V1302" s="37"/>
      <c r="W1302" s="38"/>
      <c r="X1302" s="39"/>
      <c r="Y1302" s="150"/>
      <c r="Z1302" s="40"/>
      <c r="AA1302" s="136" t="str">
        <f t="shared" ca="1" si="107"/>
        <v/>
      </c>
      <c r="AB1302" s="40"/>
      <c r="AC1302" s="116"/>
      <c r="AD1302" s="116"/>
      <c r="AE1302" s="40"/>
      <c r="AF1302" s="136" t="str">
        <f t="shared" ca="1" si="108"/>
        <v/>
      </c>
      <c r="AG1302" s="127"/>
      <c r="AH1302" s="127"/>
      <c r="AI1302" s="127"/>
      <c r="AJ1302" s="128"/>
      <c r="AK1302" s="128"/>
      <c r="AL1302" s="129"/>
    </row>
    <row r="1303" spans="1:38" ht="23.25" x14ac:dyDescent="0.25">
      <c r="A1303" s="489" t="str">
        <f t="shared" si="105"/>
        <v/>
      </c>
      <c r="B1303" s="490">
        <v>440</v>
      </c>
      <c r="C1303" s="489"/>
      <c r="D1303" s="491"/>
      <c r="E1303" s="124"/>
      <c r="F1303" s="124"/>
      <c r="G1303" s="251"/>
      <c r="H1303" s="443"/>
      <c r="I1303" s="126"/>
      <c r="J1303" s="47"/>
      <c r="K1303" s="126"/>
      <c r="L1303" s="126"/>
      <c r="M1303" s="104"/>
      <c r="N1303" s="265"/>
      <c r="O1303" s="260"/>
      <c r="P1303" s="106"/>
      <c r="Q1303" s="107"/>
      <c r="R1303" s="244"/>
      <c r="S1303" s="37"/>
      <c r="T1303" s="36" t="str">
        <f t="shared" ca="1" si="106"/>
        <v/>
      </c>
      <c r="U1303" s="37"/>
      <c r="V1303" s="37"/>
      <c r="W1303" s="38"/>
      <c r="X1303" s="39"/>
      <c r="Y1303" s="150"/>
      <c r="Z1303" s="40"/>
      <c r="AA1303" s="136" t="str">
        <f t="shared" ca="1" si="107"/>
        <v/>
      </c>
      <c r="AB1303" s="40"/>
      <c r="AC1303" s="116"/>
      <c r="AD1303" s="116"/>
      <c r="AE1303" s="40"/>
      <c r="AF1303" s="136" t="str">
        <f t="shared" ca="1" si="108"/>
        <v/>
      </c>
      <c r="AG1303" s="127"/>
      <c r="AH1303" s="127"/>
      <c r="AI1303" s="127"/>
      <c r="AJ1303" s="128"/>
      <c r="AK1303" s="128"/>
      <c r="AL1303" s="129"/>
    </row>
    <row r="1304" spans="1:38" ht="23.25" x14ac:dyDescent="0.25">
      <c r="A1304" s="489" t="str">
        <f t="shared" si="105"/>
        <v/>
      </c>
      <c r="B1304" s="490">
        <v>441</v>
      </c>
      <c r="C1304" s="489"/>
      <c r="D1304" s="491"/>
      <c r="E1304" s="124"/>
      <c r="F1304" s="124"/>
      <c r="G1304" s="251"/>
      <c r="H1304" s="443"/>
      <c r="I1304" s="126"/>
      <c r="J1304" s="47"/>
      <c r="K1304" s="126"/>
      <c r="L1304" s="126"/>
      <c r="M1304" s="104"/>
      <c r="N1304" s="265"/>
      <c r="O1304" s="260"/>
      <c r="P1304" s="106"/>
      <c r="Q1304" s="107"/>
      <c r="R1304" s="244"/>
      <c r="S1304" s="37"/>
      <c r="T1304" s="36" t="str">
        <f t="shared" ca="1" si="106"/>
        <v/>
      </c>
      <c r="U1304" s="37"/>
      <c r="V1304" s="37"/>
      <c r="W1304" s="38"/>
      <c r="X1304" s="39"/>
      <c r="Y1304" s="150"/>
      <c r="Z1304" s="40"/>
      <c r="AA1304" s="136" t="str">
        <f t="shared" ca="1" si="107"/>
        <v/>
      </c>
      <c r="AB1304" s="40"/>
      <c r="AC1304" s="116"/>
      <c r="AD1304" s="116"/>
      <c r="AE1304" s="40"/>
      <c r="AF1304" s="136" t="str">
        <f t="shared" ca="1" si="108"/>
        <v/>
      </c>
      <c r="AG1304" s="127"/>
      <c r="AH1304" s="127"/>
      <c r="AI1304" s="127"/>
      <c r="AJ1304" s="128"/>
      <c r="AK1304" s="128"/>
      <c r="AL1304" s="129"/>
    </row>
    <row r="1305" spans="1:38" ht="23.25" x14ac:dyDescent="0.25">
      <c r="A1305" s="489" t="str">
        <f t="shared" si="105"/>
        <v/>
      </c>
      <c r="B1305" s="490">
        <v>442</v>
      </c>
      <c r="C1305" s="489"/>
      <c r="D1305" s="491"/>
      <c r="E1305" s="124"/>
      <c r="F1305" s="124"/>
      <c r="G1305" s="251"/>
      <c r="H1305" s="443"/>
      <c r="I1305" s="126"/>
      <c r="J1305" s="47"/>
      <c r="K1305" s="126"/>
      <c r="L1305" s="126"/>
      <c r="M1305" s="104"/>
      <c r="N1305" s="265"/>
      <c r="O1305" s="260"/>
      <c r="P1305" s="106"/>
      <c r="Q1305" s="107"/>
      <c r="R1305" s="244"/>
      <c r="S1305" s="37"/>
      <c r="T1305" s="36" t="str">
        <f t="shared" ca="1" si="106"/>
        <v/>
      </c>
      <c r="U1305" s="37"/>
      <c r="V1305" s="37"/>
      <c r="W1305" s="38"/>
      <c r="X1305" s="39"/>
      <c r="Y1305" s="150"/>
      <c r="Z1305" s="40"/>
      <c r="AA1305" s="136" t="str">
        <f t="shared" ca="1" si="107"/>
        <v/>
      </c>
      <c r="AB1305" s="40"/>
      <c r="AC1305" s="116"/>
      <c r="AD1305" s="116"/>
      <c r="AE1305" s="40"/>
      <c r="AF1305" s="136" t="str">
        <f t="shared" ca="1" si="108"/>
        <v/>
      </c>
      <c r="AG1305" s="127"/>
      <c r="AH1305" s="127"/>
      <c r="AI1305" s="127"/>
      <c r="AJ1305" s="128"/>
      <c r="AK1305" s="128"/>
      <c r="AL1305" s="129"/>
    </row>
    <row r="1306" spans="1:38" ht="23.25" x14ac:dyDescent="0.25">
      <c r="A1306" s="489" t="str">
        <f t="shared" si="105"/>
        <v/>
      </c>
      <c r="B1306" s="490">
        <v>443</v>
      </c>
      <c r="C1306" s="489"/>
      <c r="D1306" s="491"/>
      <c r="E1306" s="124"/>
      <c r="F1306" s="124"/>
      <c r="G1306" s="251"/>
      <c r="H1306" s="443"/>
      <c r="I1306" s="126"/>
      <c r="J1306" s="47"/>
      <c r="K1306" s="126"/>
      <c r="L1306" s="126"/>
      <c r="M1306" s="104"/>
      <c r="N1306" s="265"/>
      <c r="O1306" s="260"/>
      <c r="P1306" s="106"/>
      <c r="Q1306" s="107"/>
      <c r="R1306" s="244"/>
      <c r="S1306" s="37"/>
      <c r="T1306" s="36" t="str">
        <f t="shared" ca="1" si="106"/>
        <v/>
      </c>
      <c r="U1306" s="37"/>
      <c r="V1306" s="37"/>
      <c r="W1306" s="38"/>
      <c r="X1306" s="39"/>
      <c r="Y1306" s="150"/>
      <c r="Z1306" s="40"/>
      <c r="AA1306" s="136" t="str">
        <f t="shared" ca="1" si="107"/>
        <v/>
      </c>
      <c r="AB1306" s="40"/>
      <c r="AC1306" s="116"/>
      <c r="AD1306" s="116"/>
      <c r="AE1306" s="40"/>
      <c r="AF1306" s="136" t="str">
        <f t="shared" ca="1" si="108"/>
        <v/>
      </c>
      <c r="AG1306" s="127"/>
      <c r="AH1306" s="127"/>
      <c r="AI1306" s="127"/>
      <c r="AJ1306" s="128"/>
      <c r="AK1306" s="128"/>
      <c r="AL1306" s="129"/>
    </row>
    <row r="1307" spans="1:38" ht="23.25" x14ac:dyDescent="0.25">
      <c r="A1307" s="489" t="str">
        <f t="shared" si="105"/>
        <v/>
      </c>
      <c r="B1307" s="490">
        <v>444</v>
      </c>
      <c r="C1307" s="489"/>
      <c r="D1307" s="491"/>
      <c r="E1307" s="124"/>
      <c r="F1307" s="124"/>
      <c r="G1307" s="251"/>
      <c r="H1307" s="443"/>
      <c r="I1307" s="126"/>
      <c r="J1307" s="47"/>
      <c r="K1307" s="126"/>
      <c r="L1307" s="126"/>
      <c r="M1307" s="104"/>
      <c r="N1307" s="265"/>
      <c r="O1307" s="260"/>
      <c r="P1307" s="106"/>
      <c r="Q1307" s="107"/>
      <c r="R1307" s="244"/>
      <c r="S1307" s="37"/>
      <c r="T1307" s="36" t="str">
        <f t="shared" ca="1" si="106"/>
        <v/>
      </c>
      <c r="U1307" s="37"/>
      <c r="V1307" s="37"/>
      <c r="W1307" s="38"/>
      <c r="X1307" s="39"/>
      <c r="Y1307" s="150"/>
      <c r="Z1307" s="40"/>
      <c r="AA1307" s="136" t="str">
        <f t="shared" ca="1" si="107"/>
        <v/>
      </c>
      <c r="AB1307" s="40"/>
      <c r="AC1307" s="116"/>
      <c r="AD1307" s="116"/>
      <c r="AE1307" s="40"/>
      <c r="AF1307" s="136" t="str">
        <f t="shared" ca="1" si="108"/>
        <v/>
      </c>
      <c r="AG1307" s="127"/>
      <c r="AH1307" s="127"/>
      <c r="AI1307" s="127"/>
      <c r="AJ1307" s="128"/>
      <c r="AK1307" s="128"/>
      <c r="AL1307" s="129"/>
    </row>
    <row r="1308" spans="1:38" ht="23.25" x14ac:dyDescent="0.25">
      <c r="A1308" s="489" t="str">
        <f t="shared" si="105"/>
        <v/>
      </c>
      <c r="B1308" s="490">
        <v>445</v>
      </c>
      <c r="C1308" s="489"/>
      <c r="D1308" s="491"/>
      <c r="E1308" s="124"/>
      <c r="F1308" s="124"/>
      <c r="G1308" s="251"/>
      <c r="H1308" s="443"/>
      <c r="I1308" s="126"/>
      <c r="J1308" s="47"/>
      <c r="K1308" s="126"/>
      <c r="L1308" s="126"/>
      <c r="M1308" s="104"/>
      <c r="N1308" s="265"/>
      <c r="O1308" s="260"/>
      <c r="P1308" s="106"/>
      <c r="Q1308" s="107"/>
      <c r="R1308" s="244"/>
      <c r="S1308" s="37"/>
      <c r="T1308" s="36" t="str">
        <f t="shared" ca="1" si="106"/>
        <v/>
      </c>
      <c r="U1308" s="37"/>
      <c r="V1308" s="37"/>
      <c r="W1308" s="38"/>
      <c r="X1308" s="39"/>
      <c r="Y1308" s="150"/>
      <c r="Z1308" s="40"/>
      <c r="AA1308" s="136" t="str">
        <f t="shared" ca="1" si="107"/>
        <v/>
      </c>
      <c r="AB1308" s="40"/>
      <c r="AC1308" s="116"/>
      <c r="AD1308" s="116"/>
      <c r="AE1308" s="40"/>
      <c r="AF1308" s="136" t="str">
        <f t="shared" ca="1" si="108"/>
        <v/>
      </c>
      <c r="AG1308" s="127"/>
      <c r="AH1308" s="127"/>
      <c r="AI1308" s="127"/>
      <c r="AJ1308" s="128"/>
      <c r="AK1308" s="128"/>
      <c r="AL1308" s="129"/>
    </row>
    <row r="1309" spans="1:38" ht="23.25" x14ac:dyDescent="0.25">
      <c r="A1309" s="489" t="str">
        <f t="shared" si="105"/>
        <v/>
      </c>
      <c r="B1309" s="490">
        <v>446</v>
      </c>
      <c r="C1309" s="489"/>
      <c r="D1309" s="491"/>
      <c r="E1309" s="124"/>
      <c r="F1309" s="124"/>
      <c r="G1309" s="251"/>
      <c r="H1309" s="443"/>
      <c r="I1309" s="126"/>
      <c r="J1309" s="47"/>
      <c r="K1309" s="126"/>
      <c r="L1309" s="126"/>
      <c r="M1309" s="104"/>
      <c r="N1309" s="265"/>
      <c r="O1309" s="260"/>
      <c r="P1309" s="106"/>
      <c r="Q1309" s="107"/>
      <c r="R1309" s="244"/>
      <c r="S1309" s="37"/>
      <c r="T1309" s="36" t="str">
        <f t="shared" ca="1" si="106"/>
        <v/>
      </c>
      <c r="U1309" s="37"/>
      <c r="V1309" s="37"/>
      <c r="W1309" s="38"/>
      <c r="X1309" s="39"/>
      <c r="Y1309" s="150"/>
      <c r="Z1309" s="40"/>
      <c r="AA1309" s="136" t="str">
        <f t="shared" ca="1" si="107"/>
        <v/>
      </c>
      <c r="AB1309" s="40"/>
      <c r="AC1309" s="116"/>
      <c r="AD1309" s="116"/>
      <c r="AE1309" s="40"/>
      <c r="AF1309" s="136" t="str">
        <f t="shared" ca="1" si="108"/>
        <v/>
      </c>
      <c r="AG1309" s="127"/>
      <c r="AH1309" s="127"/>
      <c r="AI1309" s="127"/>
      <c r="AJ1309" s="128"/>
      <c r="AK1309" s="128"/>
      <c r="AL1309" s="129"/>
    </row>
    <row r="1310" spans="1:38" ht="23.25" x14ac:dyDescent="0.25">
      <c r="A1310" s="489" t="str">
        <f t="shared" si="105"/>
        <v/>
      </c>
      <c r="B1310" s="490">
        <v>447</v>
      </c>
      <c r="C1310" s="489"/>
      <c r="D1310" s="491"/>
      <c r="E1310" s="124"/>
      <c r="F1310" s="124"/>
      <c r="G1310" s="251"/>
      <c r="H1310" s="443"/>
      <c r="I1310" s="126"/>
      <c r="J1310" s="47"/>
      <c r="K1310" s="126"/>
      <c r="L1310" s="126"/>
      <c r="M1310" s="104"/>
      <c r="N1310" s="265"/>
      <c r="O1310" s="260"/>
      <c r="P1310" s="106"/>
      <c r="Q1310" s="107"/>
      <c r="R1310" s="244"/>
      <c r="S1310" s="37"/>
      <c r="T1310" s="36" t="str">
        <f t="shared" ca="1" si="106"/>
        <v/>
      </c>
      <c r="U1310" s="37"/>
      <c r="V1310" s="37"/>
      <c r="W1310" s="38"/>
      <c r="X1310" s="39"/>
      <c r="Y1310" s="150"/>
      <c r="Z1310" s="40"/>
      <c r="AA1310" s="136" t="str">
        <f t="shared" ca="1" si="107"/>
        <v/>
      </c>
      <c r="AB1310" s="40"/>
      <c r="AC1310" s="116"/>
      <c r="AD1310" s="116"/>
      <c r="AE1310" s="40"/>
      <c r="AF1310" s="136" t="str">
        <f t="shared" ca="1" si="108"/>
        <v/>
      </c>
      <c r="AG1310" s="127"/>
      <c r="AH1310" s="127"/>
      <c r="AI1310" s="127"/>
      <c r="AJ1310" s="128"/>
      <c r="AK1310" s="128"/>
      <c r="AL1310" s="129"/>
    </row>
    <row r="1311" spans="1:38" ht="23.25" x14ac:dyDescent="0.25">
      <c r="A1311" s="489" t="str">
        <f t="shared" si="105"/>
        <v/>
      </c>
      <c r="B1311" s="490">
        <v>448</v>
      </c>
      <c r="C1311" s="489"/>
      <c r="D1311" s="491"/>
      <c r="E1311" s="124"/>
      <c r="F1311" s="124"/>
      <c r="G1311" s="251"/>
      <c r="H1311" s="443"/>
      <c r="I1311" s="126"/>
      <c r="J1311" s="47"/>
      <c r="K1311" s="126"/>
      <c r="L1311" s="126"/>
      <c r="M1311" s="104"/>
      <c r="N1311" s="265"/>
      <c r="O1311" s="260"/>
      <c r="P1311" s="106"/>
      <c r="Q1311" s="107"/>
      <c r="R1311" s="244"/>
      <c r="S1311" s="37"/>
      <c r="T1311" s="36" t="str">
        <f t="shared" ca="1" si="106"/>
        <v/>
      </c>
      <c r="U1311" s="37"/>
      <c r="V1311" s="37"/>
      <c r="W1311" s="38"/>
      <c r="X1311" s="39"/>
      <c r="Y1311" s="150"/>
      <c r="Z1311" s="40"/>
      <c r="AA1311" s="136" t="str">
        <f t="shared" ca="1" si="107"/>
        <v/>
      </c>
      <c r="AB1311" s="40"/>
      <c r="AC1311" s="116"/>
      <c r="AD1311" s="116"/>
      <c r="AE1311" s="40"/>
      <c r="AF1311" s="136" t="str">
        <f t="shared" ca="1" si="108"/>
        <v/>
      </c>
      <c r="AG1311" s="127"/>
      <c r="AH1311" s="127"/>
      <c r="AI1311" s="127"/>
      <c r="AJ1311" s="128"/>
      <c r="AK1311" s="128"/>
      <c r="AL1311" s="129"/>
    </row>
    <row r="1312" spans="1:38" ht="23.25" x14ac:dyDescent="0.25">
      <c r="A1312" s="489" t="str">
        <f t="shared" si="105"/>
        <v/>
      </c>
      <c r="B1312" s="490">
        <v>449</v>
      </c>
      <c r="C1312" s="489"/>
      <c r="D1312" s="491"/>
      <c r="E1312" s="124"/>
      <c r="F1312" s="124"/>
      <c r="G1312" s="251"/>
      <c r="H1312" s="443"/>
      <c r="I1312" s="126"/>
      <c r="J1312" s="47"/>
      <c r="K1312" s="126"/>
      <c r="L1312" s="126"/>
      <c r="M1312" s="104"/>
      <c r="N1312" s="265"/>
      <c r="O1312" s="260"/>
      <c r="P1312" s="106"/>
      <c r="Q1312" s="107"/>
      <c r="R1312" s="244"/>
      <c r="S1312" s="37"/>
      <c r="T1312" s="36" t="str">
        <f t="shared" ca="1" si="106"/>
        <v/>
      </c>
      <c r="U1312" s="37"/>
      <c r="V1312" s="37"/>
      <c r="W1312" s="38"/>
      <c r="X1312" s="39"/>
      <c r="Y1312" s="150"/>
      <c r="Z1312" s="40"/>
      <c r="AA1312" s="136" t="str">
        <f t="shared" ca="1" si="107"/>
        <v/>
      </c>
      <c r="AB1312" s="40"/>
      <c r="AC1312" s="116"/>
      <c r="AD1312" s="116"/>
      <c r="AE1312" s="40"/>
      <c r="AF1312" s="136" t="str">
        <f t="shared" ca="1" si="108"/>
        <v/>
      </c>
      <c r="AG1312" s="127"/>
      <c r="AH1312" s="127"/>
      <c r="AI1312" s="127"/>
      <c r="AJ1312" s="128"/>
      <c r="AK1312" s="128"/>
      <c r="AL1312" s="129"/>
    </row>
    <row r="1313" spans="1:38" ht="23.25" x14ac:dyDescent="0.25">
      <c r="A1313" s="489" t="str">
        <f t="shared" si="105"/>
        <v/>
      </c>
      <c r="B1313" s="490">
        <v>450</v>
      </c>
      <c r="C1313" s="489"/>
      <c r="D1313" s="491"/>
      <c r="E1313" s="124"/>
      <c r="F1313" s="124"/>
      <c r="G1313" s="251"/>
      <c r="H1313" s="443"/>
      <c r="I1313" s="126"/>
      <c r="J1313" s="47"/>
      <c r="K1313" s="126"/>
      <c r="L1313" s="126"/>
      <c r="M1313" s="104"/>
      <c r="N1313" s="265"/>
      <c r="O1313" s="260"/>
      <c r="P1313" s="106"/>
      <c r="Q1313" s="107"/>
      <c r="R1313" s="244"/>
      <c r="S1313" s="37"/>
      <c r="T1313" s="36" t="str">
        <f t="shared" ca="1" si="106"/>
        <v/>
      </c>
      <c r="U1313" s="37"/>
      <c r="V1313" s="37"/>
      <c r="W1313" s="38"/>
      <c r="X1313" s="39"/>
      <c r="Y1313" s="150"/>
      <c r="Z1313" s="40"/>
      <c r="AA1313" s="136" t="str">
        <f t="shared" ca="1" si="107"/>
        <v/>
      </c>
      <c r="AB1313" s="40"/>
      <c r="AC1313" s="116"/>
      <c r="AD1313" s="116"/>
      <c r="AE1313" s="40"/>
      <c r="AF1313" s="136" t="str">
        <f t="shared" ca="1" si="108"/>
        <v/>
      </c>
      <c r="AG1313" s="127"/>
      <c r="AH1313" s="127"/>
      <c r="AI1313" s="127"/>
      <c r="AJ1313" s="128"/>
      <c r="AK1313" s="128"/>
      <c r="AL1313" s="129"/>
    </row>
    <row r="1314" spans="1:38" ht="23.25" x14ac:dyDescent="0.25">
      <c r="A1314" s="489" t="str">
        <f t="shared" si="105"/>
        <v/>
      </c>
      <c r="B1314" s="490">
        <v>451</v>
      </c>
      <c r="C1314" s="489"/>
      <c r="D1314" s="491"/>
      <c r="E1314" s="124"/>
      <c r="F1314" s="124"/>
      <c r="G1314" s="251"/>
      <c r="H1314" s="443"/>
      <c r="I1314" s="126"/>
      <c r="J1314" s="47"/>
      <c r="K1314" s="126"/>
      <c r="L1314" s="126"/>
      <c r="M1314" s="104"/>
      <c r="N1314" s="265"/>
      <c r="O1314" s="260"/>
      <c r="P1314" s="106"/>
      <c r="Q1314" s="107"/>
      <c r="R1314" s="244"/>
      <c r="S1314" s="37"/>
      <c r="T1314" s="36" t="str">
        <f t="shared" ca="1" si="106"/>
        <v/>
      </c>
      <c r="U1314" s="37"/>
      <c r="V1314" s="37"/>
      <c r="W1314" s="38"/>
      <c r="X1314" s="39"/>
      <c r="Y1314" s="150"/>
      <c r="Z1314" s="40"/>
      <c r="AA1314" s="136" t="str">
        <f t="shared" ca="1" si="107"/>
        <v/>
      </c>
      <c r="AB1314" s="40"/>
      <c r="AC1314" s="116"/>
      <c r="AD1314" s="116"/>
      <c r="AE1314" s="40"/>
      <c r="AF1314" s="136" t="str">
        <f t="shared" ca="1" si="108"/>
        <v/>
      </c>
      <c r="AG1314" s="127"/>
      <c r="AH1314" s="127"/>
      <c r="AI1314" s="127"/>
      <c r="AJ1314" s="128"/>
      <c r="AK1314" s="128"/>
      <c r="AL1314" s="129"/>
    </row>
    <row r="1315" spans="1:38" ht="23.25" x14ac:dyDescent="0.25">
      <c r="A1315" s="489" t="str">
        <f t="shared" si="105"/>
        <v/>
      </c>
      <c r="B1315" s="490">
        <v>452</v>
      </c>
      <c r="C1315" s="489"/>
      <c r="D1315" s="491"/>
      <c r="E1315" s="124"/>
      <c r="F1315" s="124"/>
      <c r="G1315" s="251"/>
      <c r="H1315" s="443"/>
      <c r="I1315" s="126"/>
      <c r="J1315" s="47"/>
      <c r="K1315" s="126"/>
      <c r="L1315" s="126"/>
      <c r="M1315" s="104"/>
      <c r="N1315" s="265"/>
      <c r="O1315" s="260"/>
      <c r="P1315" s="106"/>
      <c r="Q1315" s="107"/>
      <c r="R1315" s="244"/>
      <c r="S1315" s="37"/>
      <c r="T1315" s="36" t="str">
        <f t="shared" ca="1" si="106"/>
        <v/>
      </c>
      <c r="U1315" s="37"/>
      <c r="V1315" s="37"/>
      <c r="W1315" s="38"/>
      <c r="X1315" s="39"/>
      <c r="Y1315" s="150"/>
      <c r="Z1315" s="40"/>
      <c r="AA1315" s="136" t="str">
        <f t="shared" ca="1" si="107"/>
        <v/>
      </c>
      <c r="AB1315" s="40"/>
      <c r="AC1315" s="116"/>
      <c r="AD1315" s="116"/>
      <c r="AE1315" s="40"/>
      <c r="AF1315" s="136" t="str">
        <f t="shared" ca="1" si="108"/>
        <v/>
      </c>
      <c r="AG1315" s="127"/>
      <c r="AH1315" s="127"/>
      <c r="AI1315" s="127"/>
      <c r="AJ1315" s="128"/>
      <c r="AK1315" s="128"/>
      <c r="AL1315" s="129"/>
    </row>
    <row r="1316" spans="1:38" ht="23.25" x14ac:dyDescent="0.25">
      <c r="A1316" s="489" t="str">
        <f t="shared" si="105"/>
        <v/>
      </c>
      <c r="B1316" s="490">
        <v>453</v>
      </c>
      <c r="C1316" s="489"/>
      <c r="D1316" s="491"/>
      <c r="E1316" s="124"/>
      <c r="F1316" s="124"/>
      <c r="G1316" s="251"/>
      <c r="H1316" s="443"/>
      <c r="I1316" s="126"/>
      <c r="J1316" s="47"/>
      <c r="K1316" s="126"/>
      <c r="L1316" s="126"/>
      <c r="M1316" s="104"/>
      <c r="N1316" s="265"/>
      <c r="O1316" s="260"/>
      <c r="P1316" s="106"/>
      <c r="Q1316" s="107"/>
      <c r="R1316" s="244"/>
      <c r="S1316" s="37"/>
      <c r="T1316" s="36" t="str">
        <f t="shared" ca="1" si="106"/>
        <v/>
      </c>
      <c r="U1316" s="37"/>
      <c r="V1316" s="37"/>
      <c r="W1316" s="38"/>
      <c r="X1316" s="39"/>
      <c r="Y1316" s="150"/>
      <c r="Z1316" s="40"/>
      <c r="AA1316" s="136" t="str">
        <f t="shared" ca="1" si="107"/>
        <v/>
      </c>
      <c r="AB1316" s="40"/>
      <c r="AC1316" s="116"/>
      <c r="AD1316" s="116"/>
      <c r="AE1316" s="40"/>
      <c r="AF1316" s="136" t="str">
        <f t="shared" ca="1" si="108"/>
        <v/>
      </c>
      <c r="AG1316" s="127"/>
      <c r="AH1316" s="127"/>
      <c r="AI1316" s="127"/>
      <c r="AJ1316" s="128"/>
      <c r="AK1316" s="128"/>
      <c r="AL1316" s="129"/>
    </row>
    <row r="1317" spans="1:38" ht="23.25" x14ac:dyDescent="0.25">
      <c r="A1317" s="489" t="str">
        <f t="shared" si="105"/>
        <v/>
      </c>
      <c r="B1317" s="490">
        <v>454</v>
      </c>
      <c r="C1317" s="489"/>
      <c r="D1317" s="491"/>
      <c r="E1317" s="124"/>
      <c r="F1317" s="124"/>
      <c r="G1317" s="251"/>
      <c r="H1317" s="443"/>
      <c r="I1317" s="126"/>
      <c r="J1317" s="47"/>
      <c r="K1317" s="126"/>
      <c r="L1317" s="126"/>
      <c r="M1317" s="104"/>
      <c r="N1317" s="265"/>
      <c r="O1317" s="260"/>
      <c r="P1317" s="106"/>
      <c r="Q1317" s="107"/>
      <c r="R1317" s="244"/>
      <c r="S1317" s="37"/>
      <c r="T1317" s="36" t="str">
        <f t="shared" ca="1" si="106"/>
        <v/>
      </c>
      <c r="U1317" s="37"/>
      <c r="V1317" s="37"/>
      <c r="W1317" s="38"/>
      <c r="X1317" s="39"/>
      <c r="Y1317" s="150"/>
      <c r="Z1317" s="40"/>
      <c r="AA1317" s="136" t="str">
        <f t="shared" ca="1" si="107"/>
        <v/>
      </c>
      <c r="AB1317" s="40"/>
      <c r="AC1317" s="116"/>
      <c r="AD1317" s="116"/>
      <c r="AE1317" s="40"/>
      <c r="AF1317" s="136" t="str">
        <f t="shared" ca="1" si="108"/>
        <v/>
      </c>
      <c r="AG1317" s="127"/>
      <c r="AH1317" s="127"/>
      <c r="AI1317" s="127"/>
      <c r="AJ1317" s="128"/>
      <c r="AK1317" s="128"/>
      <c r="AL1317" s="129"/>
    </row>
    <row r="1318" spans="1:38" ht="23.25" x14ac:dyDescent="0.25">
      <c r="A1318" s="489" t="str">
        <f t="shared" si="105"/>
        <v/>
      </c>
      <c r="B1318" s="490">
        <v>455</v>
      </c>
      <c r="C1318" s="489"/>
      <c r="D1318" s="491"/>
      <c r="E1318" s="124"/>
      <c r="F1318" s="124"/>
      <c r="G1318" s="251"/>
      <c r="H1318" s="443"/>
      <c r="I1318" s="126"/>
      <c r="J1318" s="47"/>
      <c r="K1318" s="126"/>
      <c r="L1318" s="126"/>
      <c r="M1318" s="104"/>
      <c r="N1318" s="265"/>
      <c r="O1318" s="260"/>
      <c r="P1318" s="106"/>
      <c r="Q1318" s="107"/>
      <c r="R1318" s="244"/>
      <c r="S1318" s="37"/>
      <c r="T1318" s="36" t="str">
        <f t="shared" ca="1" si="106"/>
        <v/>
      </c>
      <c r="U1318" s="37"/>
      <c r="V1318" s="37"/>
      <c r="W1318" s="38"/>
      <c r="X1318" s="39"/>
      <c r="Y1318" s="150"/>
      <c r="Z1318" s="40"/>
      <c r="AA1318" s="136" t="str">
        <f t="shared" ca="1" si="107"/>
        <v/>
      </c>
      <c r="AB1318" s="40"/>
      <c r="AC1318" s="116"/>
      <c r="AD1318" s="116"/>
      <c r="AE1318" s="40"/>
      <c r="AF1318" s="136" t="str">
        <f t="shared" ca="1" si="108"/>
        <v/>
      </c>
      <c r="AG1318" s="127"/>
      <c r="AH1318" s="127"/>
      <c r="AI1318" s="127"/>
      <c r="AJ1318" s="128"/>
      <c r="AK1318" s="128"/>
      <c r="AL1318" s="129"/>
    </row>
    <row r="1319" spans="1:38" ht="23.25" x14ac:dyDescent="0.25">
      <c r="A1319" s="489" t="str">
        <f t="shared" si="105"/>
        <v/>
      </c>
      <c r="B1319" s="490">
        <v>456</v>
      </c>
      <c r="C1319" s="489"/>
      <c r="D1319" s="491"/>
      <c r="E1319" s="124"/>
      <c r="F1319" s="124"/>
      <c r="G1319" s="251"/>
      <c r="H1319" s="443"/>
      <c r="I1319" s="126"/>
      <c r="J1319" s="47"/>
      <c r="K1319" s="126"/>
      <c r="L1319" s="126"/>
      <c r="M1319" s="104"/>
      <c r="N1319" s="265"/>
      <c r="O1319" s="260"/>
      <c r="P1319" s="106"/>
      <c r="Q1319" s="107"/>
      <c r="R1319" s="244"/>
      <c r="S1319" s="37"/>
      <c r="T1319" s="36" t="str">
        <f t="shared" ca="1" si="106"/>
        <v/>
      </c>
      <c r="U1319" s="37"/>
      <c r="V1319" s="37"/>
      <c r="W1319" s="38"/>
      <c r="X1319" s="39"/>
      <c r="Y1319" s="150"/>
      <c r="Z1319" s="40"/>
      <c r="AA1319" s="136" t="str">
        <f t="shared" ca="1" si="107"/>
        <v/>
      </c>
      <c r="AB1319" s="40"/>
      <c r="AC1319" s="116"/>
      <c r="AD1319" s="116"/>
      <c r="AE1319" s="40"/>
      <c r="AF1319" s="136" t="str">
        <f t="shared" ca="1" si="108"/>
        <v/>
      </c>
      <c r="AG1319" s="127"/>
      <c r="AH1319" s="127"/>
      <c r="AI1319" s="127"/>
      <c r="AJ1319" s="128"/>
      <c r="AK1319" s="128"/>
      <c r="AL1319" s="129"/>
    </row>
    <row r="1320" spans="1:38" ht="23.25" x14ac:dyDescent="0.25">
      <c r="A1320" s="489" t="str">
        <f t="shared" si="105"/>
        <v/>
      </c>
      <c r="B1320" s="490">
        <v>457</v>
      </c>
      <c r="C1320" s="489"/>
      <c r="D1320" s="491"/>
      <c r="E1320" s="124"/>
      <c r="F1320" s="124"/>
      <c r="G1320" s="251"/>
      <c r="H1320" s="443"/>
      <c r="I1320" s="126"/>
      <c r="J1320" s="47"/>
      <c r="K1320" s="126"/>
      <c r="L1320" s="126"/>
      <c r="M1320" s="104"/>
      <c r="N1320" s="265"/>
      <c r="O1320" s="260"/>
      <c r="P1320" s="106"/>
      <c r="Q1320" s="107"/>
      <c r="R1320" s="244"/>
      <c r="S1320" s="37"/>
      <c r="T1320" s="36" t="str">
        <f t="shared" ca="1" si="106"/>
        <v/>
      </c>
      <c r="U1320" s="37"/>
      <c r="V1320" s="37"/>
      <c r="W1320" s="38"/>
      <c r="X1320" s="39"/>
      <c r="Y1320" s="150"/>
      <c r="Z1320" s="40"/>
      <c r="AA1320" s="136" t="str">
        <f t="shared" ca="1" si="107"/>
        <v/>
      </c>
      <c r="AB1320" s="40"/>
      <c r="AC1320" s="116"/>
      <c r="AD1320" s="116"/>
      <c r="AE1320" s="40"/>
      <c r="AF1320" s="136" t="str">
        <f t="shared" ca="1" si="108"/>
        <v/>
      </c>
      <c r="AG1320" s="127"/>
      <c r="AH1320" s="127"/>
      <c r="AI1320" s="127"/>
      <c r="AJ1320" s="128"/>
      <c r="AK1320" s="128"/>
      <c r="AL1320" s="129"/>
    </row>
    <row r="1321" spans="1:38" ht="23.25" x14ac:dyDescent="0.25">
      <c r="A1321" s="489" t="str">
        <f t="shared" si="105"/>
        <v/>
      </c>
      <c r="B1321" s="490">
        <v>458</v>
      </c>
      <c r="C1321" s="489"/>
      <c r="D1321" s="491"/>
      <c r="E1321" s="124"/>
      <c r="F1321" s="124"/>
      <c r="G1321" s="251"/>
      <c r="H1321" s="443"/>
      <c r="I1321" s="126"/>
      <c r="J1321" s="47"/>
      <c r="K1321" s="126"/>
      <c r="L1321" s="126"/>
      <c r="M1321" s="104"/>
      <c r="N1321" s="265"/>
      <c r="O1321" s="260"/>
      <c r="P1321" s="106"/>
      <c r="Q1321" s="107"/>
      <c r="R1321" s="244"/>
      <c r="S1321" s="37"/>
      <c r="T1321" s="36" t="str">
        <f t="shared" ca="1" si="106"/>
        <v/>
      </c>
      <c r="U1321" s="37"/>
      <c r="V1321" s="37"/>
      <c r="W1321" s="38"/>
      <c r="X1321" s="39"/>
      <c r="Y1321" s="150"/>
      <c r="Z1321" s="40"/>
      <c r="AA1321" s="136" t="str">
        <f t="shared" ca="1" si="107"/>
        <v/>
      </c>
      <c r="AB1321" s="40"/>
      <c r="AC1321" s="116"/>
      <c r="AD1321" s="116"/>
      <c r="AE1321" s="40"/>
      <c r="AF1321" s="136" t="str">
        <f t="shared" ca="1" si="108"/>
        <v/>
      </c>
      <c r="AG1321" s="127"/>
      <c r="AH1321" s="127"/>
      <c r="AI1321" s="127"/>
      <c r="AJ1321" s="128"/>
      <c r="AK1321" s="128"/>
      <c r="AL1321" s="129"/>
    </row>
    <row r="1322" spans="1:38" ht="23.25" x14ac:dyDescent="0.25">
      <c r="A1322" s="489" t="str">
        <f t="shared" si="105"/>
        <v/>
      </c>
      <c r="B1322" s="490">
        <v>459</v>
      </c>
      <c r="C1322" s="489"/>
      <c r="D1322" s="491"/>
      <c r="E1322" s="124"/>
      <c r="F1322" s="124"/>
      <c r="G1322" s="251"/>
      <c r="H1322" s="443"/>
      <c r="I1322" s="126"/>
      <c r="J1322" s="47"/>
      <c r="K1322" s="126"/>
      <c r="L1322" s="126"/>
      <c r="M1322" s="104"/>
      <c r="N1322" s="265"/>
      <c r="O1322" s="260"/>
      <c r="P1322" s="106"/>
      <c r="Q1322" s="107"/>
      <c r="R1322" s="244"/>
      <c r="S1322" s="37"/>
      <c r="T1322" s="36" t="str">
        <f t="shared" ca="1" si="106"/>
        <v/>
      </c>
      <c r="U1322" s="37"/>
      <c r="V1322" s="37"/>
      <c r="W1322" s="38"/>
      <c r="X1322" s="39"/>
      <c r="Y1322" s="150"/>
      <c r="Z1322" s="40"/>
      <c r="AA1322" s="136" t="str">
        <f t="shared" ca="1" si="107"/>
        <v/>
      </c>
      <c r="AB1322" s="40"/>
      <c r="AC1322" s="116"/>
      <c r="AD1322" s="116"/>
      <c r="AE1322" s="40"/>
      <c r="AF1322" s="136" t="str">
        <f t="shared" ca="1" si="108"/>
        <v/>
      </c>
      <c r="AG1322" s="127"/>
      <c r="AH1322" s="127"/>
      <c r="AI1322" s="127"/>
      <c r="AJ1322" s="128"/>
      <c r="AK1322" s="128"/>
      <c r="AL1322" s="129"/>
    </row>
    <row r="1323" spans="1:38" ht="23.25" x14ac:dyDescent="0.25">
      <c r="A1323" s="489" t="str">
        <f t="shared" si="105"/>
        <v/>
      </c>
      <c r="B1323" s="490">
        <v>460</v>
      </c>
      <c r="C1323" s="489"/>
      <c r="D1323" s="491"/>
      <c r="E1323" s="124"/>
      <c r="F1323" s="124"/>
      <c r="G1323" s="251"/>
      <c r="H1323" s="443"/>
      <c r="I1323" s="126"/>
      <c r="J1323" s="47"/>
      <c r="K1323" s="126"/>
      <c r="L1323" s="126"/>
      <c r="M1323" s="104"/>
      <c r="N1323" s="265"/>
      <c r="O1323" s="260"/>
      <c r="P1323" s="106"/>
      <c r="Q1323" s="107"/>
      <c r="R1323" s="244"/>
      <c r="S1323" s="37"/>
      <c r="T1323" s="36" t="str">
        <f t="shared" ca="1" si="106"/>
        <v/>
      </c>
      <c r="U1323" s="37"/>
      <c r="V1323" s="37"/>
      <c r="W1323" s="38"/>
      <c r="X1323" s="39"/>
      <c r="Y1323" s="150"/>
      <c r="Z1323" s="40"/>
      <c r="AA1323" s="136" t="str">
        <f t="shared" ca="1" si="107"/>
        <v/>
      </c>
      <c r="AB1323" s="40"/>
      <c r="AC1323" s="116"/>
      <c r="AD1323" s="116"/>
      <c r="AE1323" s="40"/>
      <c r="AF1323" s="136" t="str">
        <f t="shared" ca="1" si="108"/>
        <v/>
      </c>
      <c r="AG1323" s="127"/>
      <c r="AH1323" s="127"/>
      <c r="AI1323" s="127"/>
      <c r="AJ1323" s="128"/>
      <c r="AK1323" s="128"/>
      <c r="AL1323" s="129"/>
    </row>
    <row r="1324" spans="1:38" ht="23.25" x14ac:dyDescent="0.25">
      <c r="A1324" s="489" t="str">
        <f t="shared" si="105"/>
        <v/>
      </c>
      <c r="B1324" s="490">
        <v>461</v>
      </c>
      <c r="C1324" s="489"/>
      <c r="D1324" s="491"/>
      <c r="E1324" s="124"/>
      <c r="F1324" s="124"/>
      <c r="G1324" s="251"/>
      <c r="H1324" s="443"/>
      <c r="I1324" s="126"/>
      <c r="J1324" s="47"/>
      <c r="K1324" s="126"/>
      <c r="L1324" s="126"/>
      <c r="M1324" s="104"/>
      <c r="N1324" s="265"/>
      <c r="O1324" s="260"/>
      <c r="P1324" s="106"/>
      <c r="Q1324" s="107"/>
      <c r="R1324" s="244"/>
      <c r="S1324" s="37"/>
      <c r="T1324" s="36" t="str">
        <f t="shared" ca="1" si="106"/>
        <v/>
      </c>
      <c r="U1324" s="37"/>
      <c r="V1324" s="37"/>
      <c r="W1324" s="38"/>
      <c r="X1324" s="39"/>
      <c r="Y1324" s="150"/>
      <c r="Z1324" s="40"/>
      <c r="AA1324" s="136" t="str">
        <f t="shared" ca="1" si="107"/>
        <v/>
      </c>
      <c r="AB1324" s="40"/>
      <c r="AC1324" s="116"/>
      <c r="AD1324" s="116"/>
      <c r="AE1324" s="40"/>
      <c r="AF1324" s="136" t="str">
        <f t="shared" ca="1" si="108"/>
        <v/>
      </c>
      <c r="AG1324" s="127"/>
      <c r="AH1324" s="127"/>
      <c r="AI1324" s="127"/>
      <c r="AJ1324" s="128"/>
      <c r="AK1324" s="128"/>
      <c r="AL1324" s="129"/>
    </row>
    <row r="1325" spans="1:38" ht="23.25" x14ac:dyDescent="0.25">
      <c r="A1325" s="489" t="str">
        <f t="shared" si="105"/>
        <v/>
      </c>
      <c r="B1325" s="490">
        <v>462</v>
      </c>
      <c r="C1325" s="489"/>
      <c r="D1325" s="491"/>
      <c r="E1325" s="124"/>
      <c r="F1325" s="124"/>
      <c r="G1325" s="251"/>
      <c r="H1325" s="443"/>
      <c r="I1325" s="126"/>
      <c r="J1325" s="47"/>
      <c r="K1325" s="126"/>
      <c r="L1325" s="126"/>
      <c r="M1325" s="104"/>
      <c r="N1325" s="265"/>
      <c r="O1325" s="260"/>
      <c r="P1325" s="106"/>
      <c r="Q1325" s="107"/>
      <c r="R1325" s="244"/>
      <c r="S1325" s="37"/>
      <c r="T1325" s="36" t="str">
        <f t="shared" ca="1" si="106"/>
        <v/>
      </c>
      <c r="U1325" s="37"/>
      <c r="V1325" s="37"/>
      <c r="W1325" s="38"/>
      <c r="X1325" s="39"/>
      <c r="Y1325" s="150"/>
      <c r="Z1325" s="40"/>
      <c r="AA1325" s="136" t="str">
        <f t="shared" ca="1" si="107"/>
        <v/>
      </c>
      <c r="AB1325" s="40"/>
      <c r="AC1325" s="116"/>
      <c r="AD1325" s="116"/>
      <c r="AE1325" s="40"/>
      <c r="AF1325" s="136" t="str">
        <f t="shared" ca="1" si="108"/>
        <v/>
      </c>
      <c r="AG1325" s="127"/>
      <c r="AH1325" s="127"/>
      <c r="AI1325" s="127"/>
      <c r="AJ1325" s="128"/>
      <c r="AK1325" s="128"/>
      <c r="AL1325" s="129"/>
    </row>
    <row r="1326" spans="1:38" ht="23.25" x14ac:dyDescent="0.25">
      <c r="A1326" s="489" t="str">
        <f t="shared" si="105"/>
        <v/>
      </c>
      <c r="B1326" s="490">
        <v>463</v>
      </c>
      <c r="C1326" s="489"/>
      <c r="D1326" s="491"/>
      <c r="E1326" s="124"/>
      <c r="F1326" s="124"/>
      <c r="G1326" s="251"/>
      <c r="H1326" s="443"/>
      <c r="I1326" s="126"/>
      <c r="J1326" s="47"/>
      <c r="K1326" s="126"/>
      <c r="L1326" s="126"/>
      <c r="M1326" s="104"/>
      <c r="N1326" s="265"/>
      <c r="O1326" s="260"/>
      <c r="P1326" s="106"/>
      <c r="Q1326" s="107"/>
      <c r="R1326" s="244"/>
      <c r="S1326" s="37"/>
      <c r="T1326" s="36" t="str">
        <f t="shared" ca="1" si="106"/>
        <v/>
      </c>
      <c r="U1326" s="37"/>
      <c r="V1326" s="37"/>
      <c r="W1326" s="38"/>
      <c r="X1326" s="39"/>
      <c r="Y1326" s="150"/>
      <c r="Z1326" s="40"/>
      <c r="AA1326" s="136" t="str">
        <f t="shared" ca="1" si="107"/>
        <v/>
      </c>
      <c r="AB1326" s="40"/>
      <c r="AC1326" s="116"/>
      <c r="AD1326" s="116"/>
      <c r="AE1326" s="40"/>
      <c r="AF1326" s="136" t="str">
        <f t="shared" ca="1" si="108"/>
        <v/>
      </c>
      <c r="AG1326" s="127"/>
      <c r="AH1326" s="127"/>
      <c r="AI1326" s="127"/>
      <c r="AJ1326" s="128"/>
      <c r="AK1326" s="128"/>
      <c r="AL1326" s="129"/>
    </row>
    <row r="1327" spans="1:38" ht="23.25" x14ac:dyDescent="0.25">
      <c r="A1327" s="489" t="str">
        <f t="shared" si="105"/>
        <v/>
      </c>
      <c r="B1327" s="490">
        <v>464</v>
      </c>
      <c r="C1327" s="489"/>
      <c r="D1327" s="491"/>
      <c r="E1327" s="124"/>
      <c r="F1327" s="124"/>
      <c r="G1327" s="251"/>
      <c r="H1327" s="443"/>
      <c r="I1327" s="126"/>
      <c r="J1327" s="47"/>
      <c r="K1327" s="126"/>
      <c r="L1327" s="126"/>
      <c r="M1327" s="104"/>
      <c r="N1327" s="265"/>
      <c r="O1327" s="260"/>
      <c r="P1327" s="106"/>
      <c r="Q1327" s="107"/>
      <c r="R1327" s="244"/>
      <c r="S1327" s="37"/>
      <c r="T1327" s="36" t="str">
        <f t="shared" ca="1" si="106"/>
        <v/>
      </c>
      <c r="U1327" s="37"/>
      <c r="V1327" s="37"/>
      <c r="W1327" s="38"/>
      <c r="X1327" s="39"/>
      <c r="Y1327" s="150"/>
      <c r="Z1327" s="40"/>
      <c r="AA1327" s="136" t="str">
        <f t="shared" ca="1" si="107"/>
        <v/>
      </c>
      <c r="AB1327" s="40"/>
      <c r="AC1327" s="116"/>
      <c r="AD1327" s="116"/>
      <c r="AE1327" s="40"/>
      <c r="AF1327" s="136" t="str">
        <f t="shared" ca="1" si="108"/>
        <v/>
      </c>
      <c r="AG1327" s="127"/>
      <c r="AH1327" s="127"/>
      <c r="AI1327" s="127"/>
      <c r="AJ1327" s="128"/>
      <c r="AK1327" s="128"/>
      <c r="AL1327" s="129"/>
    </row>
    <row r="1328" spans="1:38" ht="23.25" x14ac:dyDescent="0.25">
      <c r="A1328" s="489" t="str">
        <f t="shared" si="105"/>
        <v/>
      </c>
      <c r="B1328" s="490">
        <v>465</v>
      </c>
      <c r="C1328" s="489"/>
      <c r="D1328" s="491"/>
      <c r="E1328" s="124"/>
      <c r="F1328" s="124"/>
      <c r="G1328" s="251"/>
      <c r="H1328" s="443"/>
      <c r="I1328" s="126"/>
      <c r="J1328" s="47"/>
      <c r="K1328" s="126"/>
      <c r="L1328" s="126"/>
      <c r="M1328" s="104"/>
      <c r="N1328" s="265"/>
      <c r="O1328" s="260"/>
      <c r="P1328" s="106"/>
      <c r="Q1328" s="107"/>
      <c r="R1328" s="244"/>
      <c r="S1328" s="37"/>
      <c r="T1328" s="36" t="str">
        <f t="shared" ca="1" si="106"/>
        <v/>
      </c>
      <c r="U1328" s="37"/>
      <c r="V1328" s="37"/>
      <c r="W1328" s="38"/>
      <c r="X1328" s="39"/>
      <c r="Y1328" s="150"/>
      <c r="Z1328" s="40"/>
      <c r="AA1328" s="136" t="str">
        <f t="shared" ca="1" si="107"/>
        <v/>
      </c>
      <c r="AB1328" s="40"/>
      <c r="AC1328" s="116"/>
      <c r="AD1328" s="116"/>
      <c r="AE1328" s="40"/>
      <c r="AF1328" s="136" t="str">
        <f t="shared" ca="1" si="108"/>
        <v/>
      </c>
      <c r="AG1328" s="127"/>
      <c r="AH1328" s="127"/>
      <c r="AI1328" s="127"/>
      <c r="AJ1328" s="128"/>
      <c r="AK1328" s="128"/>
      <c r="AL1328" s="129"/>
    </row>
    <row r="1329" spans="1:38" ht="23.25" x14ac:dyDescent="0.25">
      <c r="A1329" s="489" t="str">
        <f t="shared" si="105"/>
        <v/>
      </c>
      <c r="B1329" s="490">
        <v>466</v>
      </c>
      <c r="C1329" s="489"/>
      <c r="D1329" s="491"/>
      <c r="E1329" s="124"/>
      <c r="F1329" s="124"/>
      <c r="G1329" s="251"/>
      <c r="H1329" s="443"/>
      <c r="I1329" s="126"/>
      <c r="J1329" s="47"/>
      <c r="K1329" s="126"/>
      <c r="L1329" s="126"/>
      <c r="M1329" s="104"/>
      <c r="N1329" s="265"/>
      <c r="O1329" s="260"/>
      <c r="P1329" s="106"/>
      <c r="Q1329" s="107"/>
      <c r="R1329" s="244"/>
      <c r="S1329" s="37"/>
      <c r="T1329" s="36" t="str">
        <f t="shared" ca="1" si="106"/>
        <v/>
      </c>
      <c r="U1329" s="37"/>
      <c r="V1329" s="37"/>
      <c r="W1329" s="38"/>
      <c r="X1329" s="39"/>
      <c r="Y1329" s="150"/>
      <c r="Z1329" s="40"/>
      <c r="AA1329" s="136" t="str">
        <f t="shared" ca="1" si="107"/>
        <v/>
      </c>
      <c r="AB1329" s="40"/>
      <c r="AC1329" s="116"/>
      <c r="AD1329" s="116"/>
      <c r="AE1329" s="40"/>
      <c r="AF1329" s="136" t="str">
        <f t="shared" ca="1" si="108"/>
        <v/>
      </c>
      <c r="AG1329" s="127"/>
      <c r="AH1329" s="127"/>
      <c r="AI1329" s="127"/>
      <c r="AJ1329" s="128"/>
      <c r="AK1329" s="128"/>
      <c r="AL1329" s="129"/>
    </row>
    <row r="1330" spans="1:38" ht="23.25" x14ac:dyDescent="0.25">
      <c r="A1330" s="489" t="str">
        <f t="shared" si="105"/>
        <v/>
      </c>
      <c r="B1330" s="490">
        <v>467</v>
      </c>
      <c r="C1330" s="489"/>
      <c r="D1330" s="491"/>
      <c r="E1330" s="124"/>
      <c r="F1330" s="124"/>
      <c r="G1330" s="251"/>
      <c r="H1330" s="443"/>
      <c r="I1330" s="126"/>
      <c r="J1330" s="47"/>
      <c r="K1330" s="126"/>
      <c r="L1330" s="126"/>
      <c r="M1330" s="104"/>
      <c r="N1330" s="265"/>
      <c r="O1330" s="260"/>
      <c r="P1330" s="106"/>
      <c r="Q1330" s="107"/>
      <c r="R1330" s="244"/>
      <c r="S1330" s="37"/>
      <c r="T1330" s="36" t="str">
        <f t="shared" ca="1" si="106"/>
        <v/>
      </c>
      <c r="U1330" s="37"/>
      <c r="V1330" s="37"/>
      <c r="W1330" s="38"/>
      <c r="X1330" s="39"/>
      <c r="Y1330" s="150"/>
      <c r="Z1330" s="40"/>
      <c r="AA1330" s="136" t="str">
        <f t="shared" ca="1" si="107"/>
        <v/>
      </c>
      <c r="AB1330" s="40"/>
      <c r="AC1330" s="116"/>
      <c r="AD1330" s="116"/>
      <c r="AE1330" s="40"/>
      <c r="AF1330" s="136" t="str">
        <f t="shared" ca="1" si="108"/>
        <v/>
      </c>
      <c r="AG1330" s="127"/>
      <c r="AH1330" s="127"/>
      <c r="AI1330" s="127"/>
      <c r="AJ1330" s="128"/>
      <c r="AK1330" s="128"/>
      <c r="AL1330" s="129"/>
    </row>
    <row r="1331" spans="1:38" ht="23.25" x14ac:dyDescent="0.25">
      <c r="A1331" s="489" t="str">
        <f t="shared" si="105"/>
        <v/>
      </c>
      <c r="B1331" s="490">
        <v>468</v>
      </c>
      <c r="C1331" s="489"/>
      <c r="D1331" s="491"/>
      <c r="E1331" s="124"/>
      <c r="F1331" s="124"/>
      <c r="G1331" s="251"/>
      <c r="H1331" s="443"/>
      <c r="I1331" s="126"/>
      <c r="J1331" s="47"/>
      <c r="K1331" s="126"/>
      <c r="L1331" s="126"/>
      <c r="M1331" s="104"/>
      <c r="N1331" s="265"/>
      <c r="O1331" s="260"/>
      <c r="P1331" s="106"/>
      <c r="Q1331" s="107"/>
      <c r="R1331" s="244"/>
      <c r="S1331" s="37"/>
      <c r="T1331" s="36" t="str">
        <f t="shared" ca="1" si="106"/>
        <v/>
      </c>
      <c r="U1331" s="37"/>
      <c r="V1331" s="37"/>
      <c r="W1331" s="38"/>
      <c r="X1331" s="39"/>
      <c r="Y1331" s="150"/>
      <c r="Z1331" s="40"/>
      <c r="AA1331" s="136" t="str">
        <f t="shared" ca="1" si="107"/>
        <v/>
      </c>
      <c r="AB1331" s="40"/>
      <c r="AC1331" s="116"/>
      <c r="AD1331" s="116"/>
      <c r="AE1331" s="40"/>
      <c r="AF1331" s="136" t="str">
        <f t="shared" ca="1" si="108"/>
        <v/>
      </c>
      <c r="AG1331" s="127"/>
      <c r="AH1331" s="127"/>
      <c r="AI1331" s="127"/>
      <c r="AJ1331" s="128"/>
      <c r="AK1331" s="128"/>
      <c r="AL1331" s="129"/>
    </row>
    <row r="1332" spans="1:38" ht="23.25" x14ac:dyDescent="0.25">
      <c r="A1332" s="489" t="str">
        <f t="shared" si="105"/>
        <v/>
      </c>
      <c r="B1332" s="490">
        <v>469</v>
      </c>
      <c r="C1332" s="489"/>
      <c r="D1332" s="491"/>
      <c r="E1332" s="124"/>
      <c r="F1332" s="124"/>
      <c r="G1332" s="251"/>
      <c r="H1332" s="443"/>
      <c r="I1332" s="126"/>
      <c r="J1332" s="47"/>
      <c r="K1332" s="126"/>
      <c r="L1332" s="126"/>
      <c r="M1332" s="104"/>
      <c r="N1332" s="265"/>
      <c r="O1332" s="260"/>
      <c r="P1332" s="106"/>
      <c r="Q1332" s="107"/>
      <c r="R1332" s="244"/>
      <c r="S1332" s="37"/>
      <c r="T1332" s="36" t="str">
        <f t="shared" ca="1" si="106"/>
        <v/>
      </c>
      <c r="U1332" s="37"/>
      <c r="V1332" s="37"/>
      <c r="W1332" s="38"/>
      <c r="X1332" s="39"/>
      <c r="Y1332" s="150"/>
      <c r="Z1332" s="40"/>
      <c r="AA1332" s="136" t="str">
        <f t="shared" ca="1" si="107"/>
        <v/>
      </c>
      <c r="AB1332" s="40"/>
      <c r="AC1332" s="116"/>
      <c r="AD1332" s="116"/>
      <c r="AE1332" s="40"/>
      <c r="AF1332" s="136" t="str">
        <f t="shared" ca="1" si="108"/>
        <v/>
      </c>
      <c r="AG1332" s="127"/>
      <c r="AH1332" s="127"/>
      <c r="AI1332" s="127"/>
      <c r="AJ1332" s="128"/>
      <c r="AK1332" s="128"/>
      <c r="AL1332" s="129"/>
    </row>
    <row r="1333" spans="1:38" ht="23.25" x14ac:dyDescent="0.25">
      <c r="A1333" s="489" t="str">
        <f t="shared" si="105"/>
        <v/>
      </c>
      <c r="B1333" s="490">
        <v>470</v>
      </c>
      <c r="C1333" s="489"/>
      <c r="D1333" s="491"/>
      <c r="E1333" s="124"/>
      <c r="F1333" s="124"/>
      <c r="G1333" s="251"/>
      <c r="H1333" s="443"/>
      <c r="I1333" s="126"/>
      <c r="J1333" s="47"/>
      <c r="K1333" s="126"/>
      <c r="L1333" s="126"/>
      <c r="M1333" s="104"/>
      <c r="N1333" s="265"/>
      <c r="O1333" s="260"/>
      <c r="P1333" s="106"/>
      <c r="Q1333" s="107"/>
      <c r="R1333" s="244"/>
      <c r="S1333" s="37"/>
      <c r="T1333" s="36" t="str">
        <f t="shared" ca="1" si="106"/>
        <v/>
      </c>
      <c r="U1333" s="37"/>
      <c r="V1333" s="37"/>
      <c r="W1333" s="38"/>
      <c r="X1333" s="39"/>
      <c r="Y1333" s="150"/>
      <c r="Z1333" s="40"/>
      <c r="AA1333" s="136" t="str">
        <f t="shared" ca="1" si="107"/>
        <v/>
      </c>
      <c r="AB1333" s="40"/>
      <c r="AC1333" s="116"/>
      <c r="AD1333" s="116"/>
      <c r="AE1333" s="40"/>
      <c r="AF1333" s="136" t="str">
        <f t="shared" ca="1" si="108"/>
        <v/>
      </c>
      <c r="AG1333" s="127"/>
      <c r="AH1333" s="127"/>
      <c r="AI1333" s="127"/>
      <c r="AJ1333" s="128"/>
      <c r="AK1333" s="128"/>
      <c r="AL1333" s="129"/>
    </row>
    <row r="1334" spans="1:38" ht="23.25" x14ac:dyDescent="0.25">
      <c r="A1334" s="489" t="str">
        <f t="shared" si="105"/>
        <v/>
      </c>
      <c r="B1334" s="490">
        <v>471</v>
      </c>
      <c r="C1334" s="489"/>
      <c r="D1334" s="491"/>
      <c r="E1334" s="124"/>
      <c r="F1334" s="124"/>
      <c r="G1334" s="251"/>
      <c r="H1334" s="443"/>
      <c r="I1334" s="126"/>
      <c r="J1334" s="47"/>
      <c r="K1334" s="126"/>
      <c r="L1334" s="126"/>
      <c r="M1334" s="104"/>
      <c r="N1334" s="265"/>
      <c r="O1334" s="260"/>
      <c r="P1334" s="106"/>
      <c r="Q1334" s="107"/>
      <c r="R1334" s="244"/>
      <c r="S1334" s="37"/>
      <c r="T1334" s="36" t="str">
        <f t="shared" ca="1" si="106"/>
        <v/>
      </c>
      <c r="U1334" s="37"/>
      <c r="V1334" s="37"/>
      <c r="W1334" s="38"/>
      <c r="X1334" s="39"/>
      <c r="Y1334" s="150"/>
      <c r="Z1334" s="40"/>
      <c r="AA1334" s="136" t="str">
        <f t="shared" ca="1" si="107"/>
        <v/>
      </c>
      <c r="AB1334" s="40"/>
      <c r="AC1334" s="116"/>
      <c r="AD1334" s="116"/>
      <c r="AE1334" s="40"/>
      <c r="AF1334" s="136" t="str">
        <f t="shared" ca="1" si="108"/>
        <v/>
      </c>
      <c r="AG1334" s="127"/>
      <c r="AH1334" s="127"/>
      <c r="AI1334" s="127"/>
      <c r="AJ1334" s="128"/>
      <c r="AK1334" s="128"/>
      <c r="AL1334" s="129"/>
    </row>
    <row r="1335" spans="1:38" ht="23.25" x14ac:dyDescent="0.25">
      <c r="A1335" s="489" t="str">
        <f t="shared" si="105"/>
        <v/>
      </c>
      <c r="B1335" s="490">
        <v>472</v>
      </c>
      <c r="C1335" s="489"/>
      <c r="D1335" s="491"/>
      <c r="E1335" s="124"/>
      <c r="F1335" s="124"/>
      <c r="G1335" s="251"/>
      <c r="H1335" s="443"/>
      <c r="I1335" s="126"/>
      <c r="J1335" s="47"/>
      <c r="K1335" s="126"/>
      <c r="L1335" s="126"/>
      <c r="M1335" s="104"/>
      <c r="N1335" s="265"/>
      <c r="O1335" s="260"/>
      <c r="P1335" s="106"/>
      <c r="Q1335" s="107"/>
      <c r="R1335" s="244"/>
      <c r="S1335" s="37"/>
      <c r="T1335" s="36" t="str">
        <f t="shared" ca="1" si="106"/>
        <v/>
      </c>
      <c r="U1335" s="37"/>
      <c r="V1335" s="37"/>
      <c r="W1335" s="38"/>
      <c r="X1335" s="39"/>
      <c r="Y1335" s="150"/>
      <c r="Z1335" s="40"/>
      <c r="AA1335" s="136" t="str">
        <f t="shared" ca="1" si="107"/>
        <v/>
      </c>
      <c r="AB1335" s="40"/>
      <c r="AC1335" s="116"/>
      <c r="AD1335" s="116"/>
      <c r="AE1335" s="40"/>
      <c r="AF1335" s="136" t="str">
        <f t="shared" ca="1" si="108"/>
        <v/>
      </c>
      <c r="AG1335" s="127"/>
      <c r="AH1335" s="127"/>
      <c r="AI1335" s="127"/>
      <c r="AJ1335" s="128"/>
      <c r="AK1335" s="128"/>
      <c r="AL1335" s="129"/>
    </row>
    <row r="1336" spans="1:38" ht="23.25" x14ac:dyDescent="0.25">
      <c r="A1336" s="489" t="str">
        <f t="shared" si="105"/>
        <v/>
      </c>
      <c r="B1336" s="490">
        <v>473</v>
      </c>
      <c r="C1336" s="489"/>
      <c r="D1336" s="491"/>
      <c r="E1336" s="124"/>
      <c r="F1336" s="124"/>
      <c r="G1336" s="251"/>
      <c r="H1336" s="443"/>
      <c r="I1336" s="126"/>
      <c r="J1336" s="47"/>
      <c r="K1336" s="126"/>
      <c r="L1336" s="126"/>
      <c r="M1336" s="104"/>
      <c r="N1336" s="265"/>
      <c r="O1336" s="260"/>
      <c r="P1336" s="106"/>
      <c r="Q1336" s="107"/>
      <c r="R1336" s="244"/>
      <c r="S1336" s="37"/>
      <c r="T1336" s="36" t="str">
        <f t="shared" ca="1" si="106"/>
        <v/>
      </c>
      <c r="U1336" s="37"/>
      <c r="V1336" s="37"/>
      <c r="W1336" s="38"/>
      <c r="X1336" s="39"/>
      <c r="Y1336" s="150"/>
      <c r="Z1336" s="40"/>
      <c r="AA1336" s="136" t="str">
        <f t="shared" ca="1" si="107"/>
        <v/>
      </c>
      <c r="AB1336" s="40"/>
      <c r="AC1336" s="116"/>
      <c r="AD1336" s="116"/>
      <c r="AE1336" s="40"/>
      <c r="AF1336" s="136" t="str">
        <f t="shared" ca="1" si="108"/>
        <v/>
      </c>
      <c r="AG1336" s="127"/>
      <c r="AH1336" s="127"/>
      <c r="AI1336" s="127"/>
      <c r="AJ1336" s="128"/>
      <c r="AK1336" s="128"/>
      <c r="AL1336" s="129"/>
    </row>
    <row r="1337" spans="1:38" ht="23.25" x14ac:dyDescent="0.25">
      <c r="A1337" s="489" t="str">
        <f t="shared" si="105"/>
        <v/>
      </c>
      <c r="B1337" s="490">
        <v>474</v>
      </c>
      <c r="C1337" s="489"/>
      <c r="D1337" s="491"/>
      <c r="E1337" s="124"/>
      <c r="F1337" s="124"/>
      <c r="G1337" s="251"/>
      <c r="H1337" s="443"/>
      <c r="I1337" s="126"/>
      <c r="J1337" s="47"/>
      <c r="K1337" s="126"/>
      <c r="L1337" s="126"/>
      <c r="M1337" s="104"/>
      <c r="N1337" s="265"/>
      <c r="O1337" s="260"/>
      <c r="P1337" s="106"/>
      <c r="Q1337" s="107"/>
      <c r="R1337" s="244"/>
      <c r="S1337" s="37"/>
      <c r="T1337" s="36" t="str">
        <f t="shared" ca="1" si="106"/>
        <v/>
      </c>
      <c r="U1337" s="37"/>
      <c r="V1337" s="37"/>
      <c r="W1337" s="38"/>
      <c r="X1337" s="39"/>
      <c r="Y1337" s="150"/>
      <c r="Z1337" s="40"/>
      <c r="AA1337" s="136" t="str">
        <f t="shared" ca="1" si="107"/>
        <v/>
      </c>
      <c r="AB1337" s="40"/>
      <c r="AC1337" s="116"/>
      <c r="AD1337" s="116"/>
      <c r="AE1337" s="40"/>
      <c r="AF1337" s="136" t="str">
        <f t="shared" ca="1" si="108"/>
        <v/>
      </c>
      <c r="AG1337" s="127"/>
      <c r="AH1337" s="127"/>
      <c r="AI1337" s="127"/>
      <c r="AJ1337" s="128"/>
      <c r="AK1337" s="128"/>
      <c r="AL1337" s="129"/>
    </row>
    <row r="1338" spans="1:38" ht="23.25" x14ac:dyDescent="0.25">
      <c r="A1338" s="489" t="str">
        <f t="shared" si="105"/>
        <v/>
      </c>
      <c r="B1338" s="490">
        <v>475</v>
      </c>
      <c r="C1338" s="489"/>
      <c r="D1338" s="491"/>
      <c r="E1338" s="124"/>
      <c r="F1338" s="124"/>
      <c r="G1338" s="251"/>
      <c r="H1338" s="443"/>
      <c r="I1338" s="126"/>
      <c r="J1338" s="47"/>
      <c r="K1338" s="126"/>
      <c r="L1338" s="126"/>
      <c r="M1338" s="104"/>
      <c r="N1338" s="265"/>
      <c r="O1338" s="260"/>
      <c r="P1338" s="106"/>
      <c r="Q1338" s="107"/>
      <c r="R1338" s="244"/>
      <c r="S1338" s="37"/>
      <c r="T1338" s="36" t="str">
        <f t="shared" ca="1" si="106"/>
        <v/>
      </c>
      <c r="U1338" s="37"/>
      <c r="V1338" s="37"/>
      <c r="W1338" s="38"/>
      <c r="X1338" s="39"/>
      <c r="Y1338" s="150"/>
      <c r="Z1338" s="40"/>
      <c r="AA1338" s="136" t="str">
        <f t="shared" ca="1" si="107"/>
        <v/>
      </c>
      <c r="AB1338" s="40"/>
      <c r="AC1338" s="116"/>
      <c r="AD1338" s="116"/>
      <c r="AE1338" s="40"/>
      <c r="AF1338" s="136" t="str">
        <f t="shared" ca="1" si="108"/>
        <v/>
      </c>
      <c r="AG1338" s="127"/>
      <c r="AH1338" s="127"/>
      <c r="AI1338" s="127"/>
      <c r="AJ1338" s="128"/>
      <c r="AK1338" s="128"/>
      <c r="AL1338" s="129"/>
    </row>
    <row r="1339" spans="1:38" ht="23.25" x14ac:dyDescent="0.25">
      <c r="A1339" s="489" t="str">
        <f t="shared" si="105"/>
        <v/>
      </c>
      <c r="B1339" s="490">
        <v>476</v>
      </c>
      <c r="C1339" s="489"/>
      <c r="D1339" s="491"/>
      <c r="E1339" s="124"/>
      <c r="F1339" s="124"/>
      <c r="G1339" s="251"/>
      <c r="H1339" s="443"/>
      <c r="I1339" s="126"/>
      <c r="J1339" s="47"/>
      <c r="K1339" s="126"/>
      <c r="L1339" s="126"/>
      <c r="M1339" s="104"/>
      <c r="N1339" s="265"/>
      <c r="O1339" s="260"/>
      <c r="P1339" s="106"/>
      <c r="Q1339" s="107"/>
      <c r="R1339" s="244"/>
      <c r="S1339" s="37"/>
      <c r="T1339" s="36" t="str">
        <f t="shared" ca="1" si="106"/>
        <v/>
      </c>
      <c r="U1339" s="37"/>
      <c r="V1339" s="37"/>
      <c r="W1339" s="38"/>
      <c r="X1339" s="39"/>
      <c r="Y1339" s="150"/>
      <c r="Z1339" s="40"/>
      <c r="AA1339" s="136" t="str">
        <f t="shared" ca="1" si="107"/>
        <v/>
      </c>
      <c r="AB1339" s="40"/>
      <c r="AC1339" s="116"/>
      <c r="AD1339" s="116"/>
      <c r="AE1339" s="40"/>
      <c r="AF1339" s="136" t="str">
        <f t="shared" ca="1" si="108"/>
        <v/>
      </c>
      <c r="AG1339" s="127"/>
      <c r="AH1339" s="127"/>
      <c r="AI1339" s="127"/>
      <c r="AJ1339" s="128"/>
      <c r="AK1339" s="128"/>
      <c r="AL1339" s="129"/>
    </row>
    <row r="1340" spans="1:38" ht="23.25" x14ac:dyDescent="0.25">
      <c r="A1340" s="489" t="str">
        <f t="shared" si="105"/>
        <v/>
      </c>
      <c r="B1340" s="490">
        <v>477</v>
      </c>
      <c r="C1340" s="489"/>
      <c r="D1340" s="491"/>
      <c r="E1340" s="124"/>
      <c r="F1340" s="124"/>
      <c r="G1340" s="251"/>
      <c r="H1340" s="443"/>
      <c r="I1340" s="126"/>
      <c r="J1340" s="47"/>
      <c r="K1340" s="126"/>
      <c r="L1340" s="126"/>
      <c r="M1340" s="104"/>
      <c r="N1340" s="265"/>
      <c r="O1340" s="260"/>
      <c r="P1340" s="106"/>
      <c r="Q1340" s="107"/>
      <c r="R1340" s="244"/>
      <c r="S1340" s="37"/>
      <c r="T1340" s="36" t="str">
        <f t="shared" ca="1" si="106"/>
        <v/>
      </c>
      <c r="U1340" s="37"/>
      <c r="V1340" s="37"/>
      <c r="W1340" s="38"/>
      <c r="X1340" s="39"/>
      <c r="Y1340" s="150"/>
      <c r="Z1340" s="40"/>
      <c r="AA1340" s="136" t="str">
        <f t="shared" ca="1" si="107"/>
        <v/>
      </c>
      <c r="AB1340" s="40"/>
      <c r="AC1340" s="116"/>
      <c r="AD1340" s="116"/>
      <c r="AE1340" s="40"/>
      <c r="AF1340" s="136" t="str">
        <f t="shared" ca="1" si="108"/>
        <v/>
      </c>
      <c r="AG1340" s="127"/>
      <c r="AH1340" s="127"/>
      <c r="AI1340" s="127"/>
      <c r="AJ1340" s="128"/>
      <c r="AK1340" s="128"/>
      <c r="AL1340" s="129"/>
    </row>
    <row r="1341" spans="1:38" ht="23.25" x14ac:dyDescent="0.25">
      <c r="A1341" s="489" t="str">
        <f t="shared" si="105"/>
        <v/>
      </c>
      <c r="B1341" s="490">
        <v>478</v>
      </c>
      <c r="C1341" s="489"/>
      <c r="D1341" s="491"/>
      <c r="E1341" s="124"/>
      <c r="F1341" s="124"/>
      <c r="G1341" s="251"/>
      <c r="H1341" s="443"/>
      <c r="I1341" s="126"/>
      <c r="J1341" s="47"/>
      <c r="K1341" s="126"/>
      <c r="L1341" s="126"/>
      <c r="M1341" s="104"/>
      <c r="N1341" s="265"/>
      <c r="O1341" s="260"/>
      <c r="P1341" s="106"/>
      <c r="Q1341" s="107"/>
      <c r="R1341" s="244"/>
      <c r="S1341" s="37"/>
      <c r="T1341" s="36" t="str">
        <f t="shared" ca="1" si="106"/>
        <v/>
      </c>
      <c r="U1341" s="37"/>
      <c r="V1341" s="37"/>
      <c r="W1341" s="38"/>
      <c r="X1341" s="39"/>
      <c r="Y1341" s="150"/>
      <c r="Z1341" s="40"/>
      <c r="AA1341" s="136" t="str">
        <f t="shared" ca="1" si="107"/>
        <v/>
      </c>
      <c r="AB1341" s="40"/>
      <c r="AC1341" s="116"/>
      <c r="AD1341" s="116"/>
      <c r="AE1341" s="40"/>
      <c r="AF1341" s="136" t="str">
        <f t="shared" ca="1" si="108"/>
        <v/>
      </c>
      <c r="AG1341" s="127"/>
      <c r="AH1341" s="127"/>
      <c r="AI1341" s="127"/>
      <c r="AJ1341" s="128"/>
      <c r="AK1341" s="128"/>
      <c r="AL1341" s="129"/>
    </row>
    <row r="1342" spans="1:38" ht="23.25" x14ac:dyDescent="0.25">
      <c r="A1342" s="489" t="str">
        <f t="shared" si="105"/>
        <v/>
      </c>
      <c r="B1342" s="490">
        <v>479</v>
      </c>
      <c r="C1342" s="489"/>
      <c r="D1342" s="491"/>
      <c r="E1342" s="124"/>
      <c r="F1342" s="124"/>
      <c r="G1342" s="251"/>
      <c r="H1342" s="443"/>
      <c r="I1342" s="126"/>
      <c r="J1342" s="47"/>
      <c r="K1342" s="126"/>
      <c r="L1342" s="126"/>
      <c r="M1342" s="104"/>
      <c r="N1342" s="265"/>
      <c r="O1342" s="260"/>
      <c r="P1342" s="106"/>
      <c r="Q1342" s="107"/>
      <c r="R1342" s="244"/>
      <c r="S1342" s="37"/>
      <c r="T1342" s="36" t="str">
        <f t="shared" ca="1" si="106"/>
        <v/>
      </c>
      <c r="U1342" s="37"/>
      <c r="V1342" s="37"/>
      <c r="W1342" s="38"/>
      <c r="X1342" s="39"/>
      <c r="Y1342" s="150"/>
      <c r="Z1342" s="40"/>
      <c r="AA1342" s="136" t="str">
        <f t="shared" ca="1" si="107"/>
        <v/>
      </c>
      <c r="AB1342" s="40"/>
      <c r="AC1342" s="116"/>
      <c r="AD1342" s="116"/>
      <c r="AE1342" s="40"/>
      <c r="AF1342" s="136" t="str">
        <f t="shared" ca="1" si="108"/>
        <v/>
      </c>
      <c r="AG1342" s="127"/>
      <c r="AH1342" s="127"/>
      <c r="AI1342" s="127"/>
      <c r="AJ1342" s="128"/>
      <c r="AK1342" s="128"/>
      <c r="AL1342" s="129"/>
    </row>
    <row r="1343" spans="1:38" ht="23.25" x14ac:dyDescent="0.25">
      <c r="A1343" s="489" t="str">
        <f t="shared" si="105"/>
        <v/>
      </c>
      <c r="B1343" s="490">
        <v>480</v>
      </c>
      <c r="C1343" s="489"/>
      <c r="D1343" s="491"/>
      <c r="E1343" s="124"/>
      <c r="F1343" s="124"/>
      <c r="G1343" s="251"/>
      <c r="H1343" s="443"/>
      <c r="I1343" s="126"/>
      <c r="J1343" s="47"/>
      <c r="K1343" s="126"/>
      <c r="L1343" s="126"/>
      <c r="M1343" s="104"/>
      <c r="N1343" s="265"/>
      <c r="O1343" s="260"/>
      <c r="P1343" s="106"/>
      <c r="Q1343" s="107"/>
      <c r="R1343" s="244"/>
      <c r="S1343" s="37"/>
      <c r="T1343" s="36" t="str">
        <f t="shared" ca="1" si="106"/>
        <v/>
      </c>
      <c r="U1343" s="37"/>
      <c r="V1343" s="37"/>
      <c r="W1343" s="38"/>
      <c r="X1343" s="39"/>
      <c r="Y1343" s="150"/>
      <c r="Z1343" s="40"/>
      <c r="AA1343" s="136" t="str">
        <f t="shared" ca="1" si="107"/>
        <v/>
      </c>
      <c r="AB1343" s="40"/>
      <c r="AC1343" s="116"/>
      <c r="AD1343" s="116"/>
      <c r="AE1343" s="40"/>
      <c r="AF1343" s="136" t="str">
        <f t="shared" ca="1" si="108"/>
        <v/>
      </c>
      <c r="AG1343" s="127"/>
      <c r="AH1343" s="127"/>
      <c r="AI1343" s="127"/>
      <c r="AJ1343" s="128"/>
      <c r="AK1343" s="128"/>
      <c r="AL1343" s="129"/>
    </row>
    <row r="1344" spans="1:38" ht="23.25" x14ac:dyDescent="0.25">
      <c r="A1344" s="489" t="str">
        <f t="shared" si="105"/>
        <v/>
      </c>
      <c r="B1344" s="490">
        <v>481</v>
      </c>
      <c r="C1344" s="489"/>
      <c r="D1344" s="491"/>
      <c r="E1344" s="124"/>
      <c r="F1344" s="124"/>
      <c r="G1344" s="251"/>
      <c r="H1344" s="443"/>
      <c r="I1344" s="126"/>
      <c r="J1344" s="47"/>
      <c r="K1344" s="126"/>
      <c r="L1344" s="126"/>
      <c r="M1344" s="104"/>
      <c r="N1344" s="265"/>
      <c r="O1344" s="260"/>
      <c r="P1344" s="106"/>
      <c r="Q1344" s="107"/>
      <c r="R1344" s="244"/>
      <c r="S1344" s="37"/>
      <c r="T1344" s="36" t="str">
        <f t="shared" ca="1" si="106"/>
        <v/>
      </c>
      <c r="U1344" s="37"/>
      <c r="V1344" s="37"/>
      <c r="W1344" s="38"/>
      <c r="X1344" s="39"/>
      <c r="Y1344" s="150"/>
      <c r="Z1344" s="40"/>
      <c r="AA1344" s="136" t="str">
        <f t="shared" ca="1" si="107"/>
        <v/>
      </c>
      <c r="AB1344" s="40"/>
      <c r="AC1344" s="116"/>
      <c r="AD1344" s="116"/>
      <c r="AE1344" s="40"/>
      <c r="AF1344" s="136" t="str">
        <f t="shared" ca="1" si="108"/>
        <v/>
      </c>
      <c r="AG1344" s="127"/>
      <c r="AH1344" s="127"/>
      <c r="AI1344" s="127"/>
      <c r="AJ1344" s="128"/>
      <c r="AK1344" s="128"/>
      <c r="AL1344" s="129"/>
    </row>
    <row r="1345" spans="1:38" ht="23.25" x14ac:dyDescent="0.25">
      <c r="A1345" s="489" t="str">
        <f t="shared" si="105"/>
        <v/>
      </c>
      <c r="B1345" s="490">
        <v>482</v>
      </c>
      <c r="C1345" s="489"/>
      <c r="D1345" s="491"/>
      <c r="E1345" s="124"/>
      <c r="F1345" s="124"/>
      <c r="G1345" s="251"/>
      <c r="H1345" s="443"/>
      <c r="I1345" s="126"/>
      <c r="J1345" s="47"/>
      <c r="K1345" s="126"/>
      <c r="L1345" s="126"/>
      <c r="M1345" s="104"/>
      <c r="N1345" s="265"/>
      <c r="O1345" s="260"/>
      <c r="P1345" s="106"/>
      <c r="Q1345" s="107"/>
      <c r="R1345" s="244"/>
      <c r="S1345" s="37"/>
      <c r="T1345" s="36" t="str">
        <f t="shared" ca="1" si="106"/>
        <v/>
      </c>
      <c r="U1345" s="37"/>
      <c r="V1345" s="37"/>
      <c r="W1345" s="38"/>
      <c r="X1345" s="39"/>
      <c r="Y1345" s="150"/>
      <c r="Z1345" s="40"/>
      <c r="AA1345" s="136" t="str">
        <f t="shared" ca="1" si="107"/>
        <v/>
      </c>
      <c r="AB1345" s="40"/>
      <c r="AC1345" s="116"/>
      <c r="AD1345" s="116"/>
      <c r="AE1345" s="40"/>
      <c r="AF1345" s="136" t="str">
        <f t="shared" ca="1" si="108"/>
        <v/>
      </c>
      <c r="AG1345" s="127"/>
      <c r="AH1345" s="127"/>
      <c r="AI1345" s="127"/>
      <c r="AJ1345" s="128"/>
      <c r="AK1345" s="128"/>
      <c r="AL1345" s="129"/>
    </row>
    <row r="1346" spans="1:38" ht="23.25" x14ac:dyDescent="0.25">
      <c r="A1346" s="489" t="str">
        <f t="shared" si="105"/>
        <v/>
      </c>
      <c r="B1346" s="490">
        <v>483</v>
      </c>
      <c r="C1346" s="489"/>
      <c r="D1346" s="491"/>
      <c r="E1346" s="124"/>
      <c r="F1346" s="124"/>
      <c r="G1346" s="251"/>
      <c r="H1346" s="443"/>
      <c r="I1346" s="126"/>
      <c r="J1346" s="47"/>
      <c r="K1346" s="126"/>
      <c r="L1346" s="126"/>
      <c r="M1346" s="104"/>
      <c r="N1346" s="265"/>
      <c r="O1346" s="260"/>
      <c r="P1346" s="106"/>
      <c r="Q1346" s="107"/>
      <c r="R1346" s="244"/>
      <c r="S1346" s="37"/>
      <c r="T1346" s="36" t="str">
        <f t="shared" ca="1" si="106"/>
        <v/>
      </c>
      <c r="U1346" s="37"/>
      <c r="V1346" s="37"/>
      <c r="W1346" s="38"/>
      <c r="X1346" s="39"/>
      <c r="Y1346" s="150"/>
      <c r="Z1346" s="40"/>
      <c r="AA1346" s="136" t="str">
        <f t="shared" ca="1" si="107"/>
        <v/>
      </c>
      <c r="AB1346" s="40"/>
      <c r="AC1346" s="116"/>
      <c r="AD1346" s="116"/>
      <c r="AE1346" s="40"/>
      <c r="AF1346" s="136" t="str">
        <f t="shared" ca="1" si="108"/>
        <v/>
      </c>
      <c r="AG1346" s="127"/>
      <c r="AH1346" s="127"/>
      <c r="AI1346" s="127"/>
      <c r="AJ1346" s="128"/>
      <c r="AK1346" s="128"/>
      <c r="AL1346" s="129"/>
    </row>
    <row r="1347" spans="1:38" ht="23.25" x14ac:dyDescent="0.25">
      <c r="A1347" s="489" t="str">
        <f t="shared" si="105"/>
        <v/>
      </c>
      <c r="B1347" s="490">
        <v>484</v>
      </c>
      <c r="C1347" s="489"/>
      <c r="D1347" s="491"/>
      <c r="E1347" s="124"/>
      <c r="F1347" s="124"/>
      <c r="G1347" s="251"/>
      <c r="H1347" s="443"/>
      <c r="I1347" s="126"/>
      <c r="J1347" s="47"/>
      <c r="K1347" s="126"/>
      <c r="L1347" s="126"/>
      <c r="M1347" s="104"/>
      <c r="N1347" s="265"/>
      <c r="O1347" s="260"/>
      <c r="P1347" s="106"/>
      <c r="Q1347" s="107"/>
      <c r="R1347" s="244"/>
      <c r="S1347" s="37"/>
      <c r="T1347" s="36" t="str">
        <f t="shared" ca="1" si="106"/>
        <v/>
      </c>
      <c r="U1347" s="37"/>
      <c r="V1347" s="37"/>
      <c r="W1347" s="38"/>
      <c r="X1347" s="39"/>
      <c r="Y1347" s="150"/>
      <c r="Z1347" s="40"/>
      <c r="AA1347" s="136" t="str">
        <f t="shared" ca="1" si="107"/>
        <v/>
      </c>
      <c r="AB1347" s="40"/>
      <c r="AC1347" s="116"/>
      <c r="AD1347" s="116"/>
      <c r="AE1347" s="40"/>
      <c r="AF1347" s="136" t="str">
        <f t="shared" ca="1" si="108"/>
        <v/>
      </c>
      <c r="AG1347" s="127"/>
      <c r="AH1347" s="127"/>
      <c r="AI1347" s="127"/>
      <c r="AJ1347" s="128"/>
      <c r="AK1347" s="128"/>
      <c r="AL1347" s="129"/>
    </row>
    <row r="1348" spans="1:38" ht="23.25" x14ac:dyDescent="0.25">
      <c r="A1348" s="489" t="str">
        <f t="shared" ref="A1348:A1411" si="109">IF(C1348="","",CONCATENATE(18,MID(C1348,1,3),IF(B1348&lt;10,"00",),B1348))</f>
        <v/>
      </c>
      <c r="B1348" s="490">
        <v>485</v>
      </c>
      <c r="C1348" s="489"/>
      <c r="D1348" s="491"/>
      <c r="E1348" s="124"/>
      <c r="F1348" s="124"/>
      <c r="G1348" s="251"/>
      <c r="H1348" s="443"/>
      <c r="I1348" s="126"/>
      <c r="J1348" s="47"/>
      <c r="K1348" s="126"/>
      <c r="L1348" s="126"/>
      <c r="M1348" s="104"/>
      <c r="N1348" s="265"/>
      <c r="O1348" s="260"/>
      <c r="P1348" s="106"/>
      <c r="Q1348" s="107"/>
      <c r="R1348" s="244"/>
      <c r="S1348" s="37"/>
      <c r="T1348" s="36" t="str">
        <f t="shared" ca="1" si="106"/>
        <v/>
      </c>
      <c r="U1348" s="37"/>
      <c r="V1348" s="37"/>
      <c r="W1348" s="38"/>
      <c r="X1348" s="39"/>
      <c r="Y1348" s="150"/>
      <c r="Z1348" s="40"/>
      <c r="AA1348" s="136" t="str">
        <f t="shared" ca="1" si="107"/>
        <v/>
      </c>
      <c r="AB1348" s="40"/>
      <c r="AC1348" s="116"/>
      <c r="AD1348" s="116"/>
      <c r="AE1348" s="40"/>
      <c r="AF1348" s="136" t="str">
        <f t="shared" ca="1" si="108"/>
        <v/>
      </c>
      <c r="AG1348" s="127"/>
      <c r="AH1348" s="127"/>
      <c r="AI1348" s="127"/>
      <c r="AJ1348" s="128"/>
      <c r="AK1348" s="128"/>
      <c r="AL1348" s="129"/>
    </row>
    <row r="1349" spans="1:38" ht="23.25" x14ac:dyDescent="0.25">
      <c r="A1349" s="489" t="str">
        <f t="shared" si="109"/>
        <v/>
      </c>
      <c r="B1349" s="490">
        <v>486</v>
      </c>
      <c r="C1349" s="489"/>
      <c r="D1349" s="491"/>
      <c r="E1349" s="124"/>
      <c r="F1349" s="124"/>
      <c r="G1349" s="251"/>
      <c r="H1349" s="443"/>
      <c r="I1349" s="126"/>
      <c r="J1349" s="47"/>
      <c r="K1349" s="126"/>
      <c r="L1349" s="126"/>
      <c r="M1349" s="104"/>
      <c r="N1349" s="265"/>
      <c r="O1349" s="260"/>
      <c r="P1349" s="106"/>
      <c r="Q1349" s="107"/>
      <c r="R1349" s="244"/>
      <c r="S1349" s="37"/>
      <c r="T1349" s="36" t="str">
        <f t="shared" ca="1" si="106"/>
        <v/>
      </c>
      <c r="U1349" s="37"/>
      <c r="V1349" s="37"/>
      <c r="W1349" s="38"/>
      <c r="X1349" s="39"/>
      <c r="Y1349" s="150"/>
      <c r="Z1349" s="40"/>
      <c r="AA1349" s="136" t="str">
        <f t="shared" ca="1" si="107"/>
        <v/>
      </c>
      <c r="AB1349" s="40"/>
      <c r="AC1349" s="116"/>
      <c r="AD1349" s="116"/>
      <c r="AE1349" s="40"/>
      <c r="AF1349" s="136" t="str">
        <f t="shared" ca="1" si="108"/>
        <v/>
      </c>
      <c r="AG1349" s="127"/>
      <c r="AH1349" s="127"/>
      <c r="AI1349" s="127"/>
      <c r="AJ1349" s="128"/>
      <c r="AK1349" s="128"/>
      <c r="AL1349" s="129"/>
    </row>
    <row r="1350" spans="1:38" ht="23.25" x14ac:dyDescent="0.25">
      <c r="A1350" s="489" t="str">
        <f t="shared" si="109"/>
        <v/>
      </c>
      <c r="B1350" s="490">
        <v>487</v>
      </c>
      <c r="C1350" s="489"/>
      <c r="D1350" s="491"/>
      <c r="E1350" s="124"/>
      <c r="F1350" s="124"/>
      <c r="G1350" s="251"/>
      <c r="H1350" s="443"/>
      <c r="I1350" s="126"/>
      <c r="J1350" s="47"/>
      <c r="K1350" s="126"/>
      <c r="L1350" s="126"/>
      <c r="M1350" s="104"/>
      <c r="N1350" s="265"/>
      <c r="O1350" s="260"/>
      <c r="P1350" s="106"/>
      <c r="Q1350" s="107"/>
      <c r="R1350" s="244"/>
      <c r="S1350" s="37"/>
      <c r="T1350" s="36" t="str">
        <f t="shared" ca="1" si="106"/>
        <v/>
      </c>
      <c r="U1350" s="37"/>
      <c r="V1350" s="37"/>
      <c r="W1350" s="38"/>
      <c r="X1350" s="39"/>
      <c r="Y1350" s="150"/>
      <c r="Z1350" s="40"/>
      <c r="AA1350" s="136" t="str">
        <f t="shared" ca="1" si="107"/>
        <v/>
      </c>
      <c r="AB1350" s="40"/>
      <c r="AC1350" s="116"/>
      <c r="AD1350" s="116"/>
      <c r="AE1350" s="40"/>
      <c r="AF1350" s="136" t="str">
        <f t="shared" ca="1" si="108"/>
        <v/>
      </c>
      <c r="AG1350" s="127"/>
      <c r="AH1350" s="127"/>
      <c r="AI1350" s="127"/>
      <c r="AJ1350" s="128"/>
      <c r="AK1350" s="128"/>
      <c r="AL1350" s="129"/>
    </row>
    <row r="1351" spans="1:38" ht="23.25" x14ac:dyDescent="0.25">
      <c r="A1351" s="489" t="str">
        <f t="shared" si="109"/>
        <v/>
      </c>
      <c r="B1351" s="490">
        <v>488</v>
      </c>
      <c r="C1351" s="489"/>
      <c r="D1351" s="491"/>
      <c r="E1351" s="124"/>
      <c r="F1351" s="124"/>
      <c r="G1351" s="251"/>
      <c r="H1351" s="443"/>
      <c r="I1351" s="126"/>
      <c r="J1351" s="47"/>
      <c r="K1351" s="126"/>
      <c r="L1351" s="126"/>
      <c r="M1351" s="104"/>
      <c r="N1351" s="265"/>
      <c r="O1351" s="260"/>
      <c r="P1351" s="106"/>
      <c r="Q1351" s="107"/>
      <c r="R1351" s="244"/>
      <c r="S1351" s="37"/>
      <c r="T1351" s="36" t="str">
        <f t="shared" ca="1" si="106"/>
        <v/>
      </c>
      <c r="U1351" s="37"/>
      <c r="V1351" s="37"/>
      <c r="W1351" s="38"/>
      <c r="X1351" s="39"/>
      <c r="Y1351" s="150"/>
      <c r="Z1351" s="40"/>
      <c r="AA1351" s="136" t="str">
        <f t="shared" ca="1" si="107"/>
        <v/>
      </c>
      <c r="AB1351" s="40"/>
      <c r="AC1351" s="116"/>
      <c r="AD1351" s="116"/>
      <c r="AE1351" s="40"/>
      <c r="AF1351" s="136" t="str">
        <f t="shared" ca="1" si="108"/>
        <v/>
      </c>
      <c r="AG1351" s="127"/>
      <c r="AH1351" s="127"/>
      <c r="AI1351" s="127"/>
      <c r="AJ1351" s="128"/>
      <c r="AK1351" s="128"/>
      <c r="AL1351" s="129"/>
    </row>
    <row r="1352" spans="1:38" ht="23.25" x14ac:dyDescent="0.25">
      <c r="A1352" s="489" t="str">
        <f t="shared" si="109"/>
        <v/>
      </c>
      <c r="B1352" s="490">
        <v>489</v>
      </c>
      <c r="C1352" s="489"/>
      <c r="D1352" s="491"/>
      <c r="E1352" s="124"/>
      <c r="F1352" s="124"/>
      <c r="G1352" s="251"/>
      <c r="H1352" s="443"/>
      <c r="I1352" s="126"/>
      <c r="J1352" s="47"/>
      <c r="K1352" s="126"/>
      <c r="L1352" s="126"/>
      <c r="M1352" s="104"/>
      <c r="N1352" s="265"/>
      <c r="O1352" s="260"/>
      <c r="P1352" s="106"/>
      <c r="Q1352" s="107"/>
      <c r="R1352" s="244"/>
      <c r="S1352" s="37"/>
      <c r="T1352" s="36" t="str">
        <f t="shared" ca="1" si="106"/>
        <v/>
      </c>
      <c r="U1352" s="37"/>
      <c r="V1352" s="37"/>
      <c r="W1352" s="38"/>
      <c r="X1352" s="39"/>
      <c r="Y1352" s="150"/>
      <c r="Z1352" s="40"/>
      <c r="AA1352" s="136" t="str">
        <f t="shared" ca="1" si="107"/>
        <v/>
      </c>
      <c r="AB1352" s="40"/>
      <c r="AC1352" s="116"/>
      <c r="AD1352" s="116"/>
      <c r="AE1352" s="40"/>
      <c r="AF1352" s="136" t="str">
        <f t="shared" ca="1" si="108"/>
        <v/>
      </c>
      <c r="AG1352" s="127"/>
      <c r="AH1352" s="127"/>
      <c r="AI1352" s="127"/>
      <c r="AJ1352" s="128"/>
      <c r="AK1352" s="128"/>
      <c r="AL1352" s="129"/>
    </row>
    <row r="1353" spans="1:38" ht="23.25" x14ac:dyDescent="0.25">
      <c r="A1353" s="489" t="str">
        <f t="shared" si="109"/>
        <v/>
      </c>
      <c r="B1353" s="490">
        <v>490</v>
      </c>
      <c r="C1353" s="489"/>
      <c r="D1353" s="491"/>
      <c r="E1353" s="124"/>
      <c r="F1353" s="124"/>
      <c r="G1353" s="251"/>
      <c r="H1353" s="443"/>
      <c r="I1353" s="126"/>
      <c r="J1353" s="47"/>
      <c r="K1353" s="126"/>
      <c r="L1353" s="126"/>
      <c r="M1353" s="104"/>
      <c r="N1353" s="265"/>
      <c r="O1353" s="260"/>
      <c r="P1353" s="106"/>
      <c r="Q1353" s="107"/>
      <c r="R1353" s="244"/>
      <c r="S1353" s="37"/>
      <c r="T1353" s="36" t="str">
        <f t="shared" ca="1" si="106"/>
        <v/>
      </c>
      <c r="U1353" s="37"/>
      <c r="V1353" s="37"/>
      <c r="W1353" s="38"/>
      <c r="X1353" s="39"/>
      <c r="Y1353" s="150"/>
      <c r="Z1353" s="40"/>
      <c r="AA1353" s="136" t="str">
        <f t="shared" ca="1" si="107"/>
        <v/>
      </c>
      <c r="AB1353" s="40"/>
      <c r="AC1353" s="116"/>
      <c r="AD1353" s="116"/>
      <c r="AE1353" s="40"/>
      <c r="AF1353" s="136" t="str">
        <f t="shared" ca="1" si="108"/>
        <v/>
      </c>
      <c r="AG1353" s="127"/>
      <c r="AH1353" s="127"/>
      <c r="AI1353" s="127"/>
      <c r="AJ1353" s="128"/>
      <c r="AK1353" s="128"/>
      <c r="AL1353" s="129"/>
    </row>
    <row r="1354" spans="1:38" ht="23.25" x14ac:dyDescent="0.25">
      <c r="A1354" s="489" t="str">
        <f t="shared" si="109"/>
        <v/>
      </c>
      <c r="B1354" s="490">
        <v>491</v>
      </c>
      <c r="C1354" s="489"/>
      <c r="D1354" s="491"/>
      <c r="E1354" s="124"/>
      <c r="F1354" s="124"/>
      <c r="G1354" s="251"/>
      <c r="H1354" s="443"/>
      <c r="I1354" s="126"/>
      <c r="J1354" s="47"/>
      <c r="K1354" s="126"/>
      <c r="L1354" s="126"/>
      <c r="M1354" s="104"/>
      <c r="N1354" s="265"/>
      <c r="O1354" s="260"/>
      <c r="P1354" s="106"/>
      <c r="Q1354" s="107"/>
      <c r="R1354" s="244"/>
      <c r="S1354" s="37"/>
      <c r="T1354" s="36" t="str">
        <f t="shared" ca="1" si="106"/>
        <v/>
      </c>
      <c r="U1354" s="37"/>
      <c r="V1354" s="37"/>
      <c r="W1354" s="38"/>
      <c r="X1354" s="39"/>
      <c r="Y1354" s="150"/>
      <c r="Z1354" s="40"/>
      <c r="AA1354" s="136" t="str">
        <f t="shared" ca="1" si="107"/>
        <v/>
      </c>
      <c r="AB1354" s="40"/>
      <c r="AC1354" s="116"/>
      <c r="AD1354" s="116"/>
      <c r="AE1354" s="40"/>
      <c r="AF1354" s="136" t="str">
        <f t="shared" ca="1" si="108"/>
        <v/>
      </c>
      <c r="AG1354" s="127"/>
      <c r="AH1354" s="127"/>
      <c r="AI1354" s="127"/>
      <c r="AJ1354" s="128"/>
      <c r="AK1354" s="128"/>
      <c r="AL1354" s="129"/>
    </row>
    <row r="1355" spans="1:38" ht="23.25" x14ac:dyDescent="0.25">
      <c r="A1355" s="489" t="str">
        <f t="shared" si="109"/>
        <v/>
      </c>
      <c r="B1355" s="490">
        <v>492</v>
      </c>
      <c r="C1355" s="489"/>
      <c r="D1355" s="491"/>
      <c r="E1355" s="124"/>
      <c r="F1355" s="124"/>
      <c r="G1355" s="251"/>
      <c r="H1355" s="443"/>
      <c r="I1355" s="126"/>
      <c r="J1355" s="47"/>
      <c r="K1355" s="126"/>
      <c r="L1355" s="126"/>
      <c r="M1355" s="104"/>
      <c r="N1355" s="265"/>
      <c r="O1355" s="260"/>
      <c r="P1355" s="106"/>
      <c r="Q1355" s="107"/>
      <c r="R1355" s="244"/>
      <c r="S1355" s="37"/>
      <c r="T1355" s="36" t="str">
        <f t="shared" ca="1" si="106"/>
        <v/>
      </c>
      <c r="U1355" s="37"/>
      <c r="V1355" s="37"/>
      <c r="W1355" s="38"/>
      <c r="X1355" s="39"/>
      <c r="Y1355" s="150"/>
      <c r="Z1355" s="40"/>
      <c r="AA1355" s="136" t="str">
        <f t="shared" ca="1" si="107"/>
        <v/>
      </c>
      <c r="AB1355" s="40"/>
      <c r="AC1355" s="116"/>
      <c r="AD1355" s="116"/>
      <c r="AE1355" s="40"/>
      <c r="AF1355" s="136" t="str">
        <f t="shared" ca="1" si="108"/>
        <v/>
      </c>
      <c r="AG1355" s="127"/>
      <c r="AH1355" s="127"/>
      <c r="AI1355" s="127"/>
      <c r="AJ1355" s="128"/>
      <c r="AK1355" s="128"/>
      <c r="AL1355" s="129"/>
    </row>
    <row r="1356" spans="1:38" ht="23.25" x14ac:dyDescent="0.25">
      <c r="A1356" s="489" t="str">
        <f t="shared" si="109"/>
        <v/>
      </c>
      <c r="B1356" s="490">
        <v>493</v>
      </c>
      <c r="C1356" s="489"/>
      <c r="D1356" s="491"/>
      <c r="E1356" s="124"/>
      <c r="F1356" s="124"/>
      <c r="G1356" s="251"/>
      <c r="H1356" s="443"/>
      <c r="I1356" s="126"/>
      <c r="J1356" s="47"/>
      <c r="K1356" s="126"/>
      <c r="L1356" s="126"/>
      <c r="M1356" s="104"/>
      <c r="N1356" s="265"/>
      <c r="O1356" s="260"/>
      <c r="P1356" s="106"/>
      <c r="Q1356" s="107"/>
      <c r="R1356" s="244"/>
      <c r="S1356" s="37"/>
      <c r="T1356" s="36" t="str">
        <f t="shared" ca="1" si="106"/>
        <v/>
      </c>
      <c r="U1356" s="37"/>
      <c r="V1356" s="37"/>
      <c r="W1356" s="38"/>
      <c r="X1356" s="39"/>
      <c r="Y1356" s="150"/>
      <c r="Z1356" s="40"/>
      <c r="AA1356" s="136" t="str">
        <f t="shared" ca="1" si="107"/>
        <v/>
      </c>
      <c r="AB1356" s="40"/>
      <c r="AC1356" s="116"/>
      <c r="AD1356" s="116"/>
      <c r="AE1356" s="40"/>
      <c r="AF1356" s="136" t="str">
        <f t="shared" ca="1" si="108"/>
        <v/>
      </c>
      <c r="AG1356" s="127"/>
      <c r="AH1356" s="127"/>
      <c r="AI1356" s="127"/>
      <c r="AJ1356" s="128"/>
      <c r="AK1356" s="128"/>
      <c r="AL1356" s="129"/>
    </row>
    <row r="1357" spans="1:38" ht="23.25" x14ac:dyDescent="0.25">
      <c r="A1357" s="489" t="str">
        <f t="shared" si="109"/>
        <v/>
      </c>
      <c r="B1357" s="490">
        <v>494</v>
      </c>
      <c r="C1357" s="489"/>
      <c r="D1357" s="491"/>
      <c r="E1357" s="124"/>
      <c r="F1357" s="124"/>
      <c r="G1357" s="251"/>
      <c r="H1357" s="443"/>
      <c r="I1357" s="126"/>
      <c r="J1357" s="47"/>
      <c r="K1357" s="126"/>
      <c r="L1357" s="126"/>
      <c r="M1357" s="104"/>
      <c r="N1357" s="265"/>
      <c r="O1357" s="260"/>
      <c r="P1357" s="106"/>
      <c r="Q1357" s="107"/>
      <c r="R1357" s="244"/>
      <c r="S1357" s="37"/>
      <c r="T1357" s="36" t="str">
        <f t="shared" ca="1" si="106"/>
        <v/>
      </c>
      <c r="U1357" s="37"/>
      <c r="V1357" s="37"/>
      <c r="W1357" s="38"/>
      <c r="X1357" s="39"/>
      <c r="Y1357" s="150"/>
      <c r="Z1357" s="40"/>
      <c r="AA1357" s="136" t="str">
        <f t="shared" ca="1" si="107"/>
        <v/>
      </c>
      <c r="AB1357" s="40"/>
      <c r="AC1357" s="116"/>
      <c r="AD1357" s="116"/>
      <c r="AE1357" s="40"/>
      <c r="AF1357" s="136" t="str">
        <f t="shared" ca="1" si="108"/>
        <v/>
      </c>
      <c r="AG1357" s="127"/>
      <c r="AH1357" s="127"/>
      <c r="AI1357" s="127"/>
      <c r="AJ1357" s="128"/>
      <c r="AK1357" s="128"/>
      <c r="AL1357" s="129"/>
    </row>
    <row r="1358" spans="1:38" ht="23.25" x14ac:dyDescent="0.25">
      <c r="A1358" s="489" t="str">
        <f t="shared" si="109"/>
        <v/>
      </c>
      <c r="B1358" s="490">
        <v>495</v>
      </c>
      <c r="C1358" s="489"/>
      <c r="D1358" s="491"/>
      <c r="E1358" s="124"/>
      <c r="F1358" s="124"/>
      <c r="G1358" s="251"/>
      <c r="H1358" s="443"/>
      <c r="I1358" s="126"/>
      <c r="J1358" s="47"/>
      <c r="K1358" s="126"/>
      <c r="L1358" s="126"/>
      <c r="M1358" s="104"/>
      <c r="N1358" s="265"/>
      <c r="O1358" s="260"/>
      <c r="P1358" s="106"/>
      <c r="Q1358" s="107"/>
      <c r="R1358" s="244"/>
      <c r="S1358" s="37"/>
      <c r="T1358" s="36" t="str">
        <f t="shared" ca="1" si="106"/>
        <v/>
      </c>
      <c r="U1358" s="37"/>
      <c r="V1358" s="37"/>
      <c r="W1358" s="38"/>
      <c r="X1358" s="39"/>
      <c r="Y1358" s="150"/>
      <c r="Z1358" s="40"/>
      <c r="AA1358" s="136" t="str">
        <f t="shared" ca="1" si="107"/>
        <v/>
      </c>
      <c r="AB1358" s="40"/>
      <c r="AC1358" s="116"/>
      <c r="AD1358" s="116"/>
      <c r="AE1358" s="40"/>
      <c r="AF1358" s="136" t="str">
        <f t="shared" ca="1" si="108"/>
        <v/>
      </c>
      <c r="AG1358" s="127"/>
      <c r="AH1358" s="127"/>
      <c r="AI1358" s="127"/>
      <c r="AJ1358" s="128"/>
      <c r="AK1358" s="128"/>
      <c r="AL1358" s="129"/>
    </row>
    <row r="1359" spans="1:38" ht="23.25" x14ac:dyDescent="0.25">
      <c r="A1359" s="489" t="str">
        <f t="shared" si="109"/>
        <v/>
      </c>
      <c r="B1359" s="490">
        <v>496</v>
      </c>
      <c r="C1359" s="489"/>
      <c r="D1359" s="491"/>
      <c r="E1359" s="124"/>
      <c r="F1359" s="124"/>
      <c r="G1359" s="251"/>
      <c r="H1359" s="443"/>
      <c r="I1359" s="126"/>
      <c r="J1359" s="47"/>
      <c r="K1359" s="126"/>
      <c r="L1359" s="126"/>
      <c r="M1359" s="104"/>
      <c r="N1359" s="265"/>
      <c r="O1359" s="260"/>
      <c r="P1359" s="106"/>
      <c r="Q1359" s="107"/>
      <c r="R1359" s="244"/>
      <c r="S1359" s="37"/>
      <c r="T1359" s="36" t="str">
        <f t="shared" ca="1" si="106"/>
        <v/>
      </c>
      <c r="U1359" s="37"/>
      <c r="V1359" s="37"/>
      <c r="W1359" s="38"/>
      <c r="X1359" s="39"/>
      <c r="Y1359" s="150"/>
      <c r="Z1359" s="40"/>
      <c r="AA1359" s="136" t="str">
        <f t="shared" ca="1" si="107"/>
        <v/>
      </c>
      <c r="AB1359" s="40"/>
      <c r="AC1359" s="116"/>
      <c r="AD1359" s="116"/>
      <c r="AE1359" s="40"/>
      <c r="AF1359" s="136" t="str">
        <f t="shared" ca="1" si="108"/>
        <v/>
      </c>
      <c r="AG1359" s="127"/>
      <c r="AH1359" s="127"/>
      <c r="AI1359" s="127"/>
      <c r="AJ1359" s="128"/>
      <c r="AK1359" s="128"/>
      <c r="AL1359" s="129"/>
    </row>
    <row r="1360" spans="1:38" ht="23.25" x14ac:dyDescent="0.25">
      <c r="A1360" s="489" t="str">
        <f t="shared" si="109"/>
        <v/>
      </c>
      <c r="B1360" s="490">
        <v>497</v>
      </c>
      <c r="C1360" s="489"/>
      <c r="D1360" s="491"/>
      <c r="E1360" s="124"/>
      <c r="F1360" s="124"/>
      <c r="G1360" s="251"/>
      <c r="H1360" s="443"/>
      <c r="I1360" s="126"/>
      <c r="J1360" s="47"/>
      <c r="K1360" s="126"/>
      <c r="L1360" s="126"/>
      <c r="M1360" s="104"/>
      <c r="N1360" s="265"/>
      <c r="O1360" s="260"/>
      <c r="P1360" s="106"/>
      <c r="Q1360" s="107"/>
      <c r="R1360" s="244"/>
      <c r="S1360" s="37"/>
      <c r="T1360" s="36" t="str">
        <f t="shared" ref="T1360:T1422" ca="1" si="110">IF(S1360="","",IF(S1360=0,"Empty",IF(O1360="","",IF(O1360,DAYS360(O1360,TODAY())))))</f>
        <v/>
      </c>
      <c r="U1360" s="37"/>
      <c r="V1360" s="37"/>
      <c r="W1360" s="38"/>
      <c r="X1360" s="39"/>
      <c r="Y1360" s="150"/>
      <c r="Z1360" s="40"/>
      <c r="AA1360" s="136" t="str">
        <f t="shared" ref="AA1360:AA1422" ca="1" si="111">IF(W1360="","",IF(W1360,DAYS360(W1360,TODAY())))</f>
        <v/>
      </c>
      <c r="AB1360" s="40"/>
      <c r="AC1360" s="116"/>
      <c r="AD1360" s="116"/>
      <c r="AE1360" s="40"/>
      <c r="AF1360" s="136" t="str">
        <f t="shared" ref="AF1360:AF1422" ca="1" si="112">IF(AB1360="","",IF(AB1360,DAYS360(AB1360,TODAY())))</f>
        <v/>
      </c>
      <c r="AG1360" s="127"/>
      <c r="AH1360" s="127"/>
      <c r="AI1360" s="127"/>
      <c r="AJ1360" s="128"/>
      <c r="AK1360" s="128"/>
      <c r="AL1360" s="129"/>
    </row>
    <row r="1361" spans="1:38" ht="23.25" x14ac:dyDescent="0.25">
      <c r="A1361" s="489" t="str">
        <f t="shared" si="109"/>
        <v/>
      </c>
      <c r="B1361" s="490">
        <v>498</v>
      </c>
      <c r="C1361" s="489"/>
      <c r="D1361" s="491"/>
      <c r="E1361" s="124"/>
      <c r="F1361" s="124"/>
      <c r="G1361" s="251"/>
      <c r="H1361" s="443"/>
      <c r="I1361" s="126"/>
      <c r="J1361" s="47"/>
      <c r="K1361" s="126"/>
      <c r="L1361" s="126"/>
      <c r="M1361" s="104"/>
      <c r="N1361" s="265"/>
      <c r="O1361" s="260"/>
      <c r="P1361" s="106"/>
      <c r="Q1361" s="107"/>
      <c r="R1361" s="244"/>
      <c r="S1361" s="37"/>
      <c r="T1361" s="36" t="str">
        <f t="shared" ca="1" si="110"/>
        <v/>
      </c>
      <c r="U1361" s="37"/>
      <c r="V1361" s="37"/>
      <c r="W1361" s="38"/>
      <c r="X1361" s="39"/>
      <c r="Y1361" s="150"/>
      <c r="Z1361" s="40"/>
      <c r="AA1361" s="136" t="str">
        <f t="shared" ca="1" si="111"/>
        <v/>
      </c>
      <c r="AB1361" s="40"/>
      <c r="AC1361" s="116"/>
      <c r="AD1361" s="116"/>
      <c r="AE1361" s="40"/>
      <c r="AF1361" s="136" t="str">
        <f t="shared" ca="1" si="112"/>
        <v/>
      </c>
      <c r="AG1361" s="127"/>
      <c r="AH1361" s="127"/>
      <c r="AI1361" s="127"/>
      <c r="AJ1361" s="128"/>
      <c r="AK1361" s="128"/>
      <c r="AL1361" s="129"/>
    </row>
    <row r="1362" spans="1:38" ht="23.25" x14ac:dyDescent="0.25">
      <c r="A1362" s="489" t="str">
        <f t="shared" si="109"/>
        <v/>
      </c>
      <c r="B1362" s="490">
        <v>499</v>
      </c>
      <c r="C1362" s="489"/>
      <c r="D1362" s="491"/>
      <c r="E1362" s="124"/>
      <c r="F1362" s="124"/>
      <c r="G1362" s="251"/>
      <c r="H1362" s="443"/>
      <c r="I1362" s="126"/>
      <c r="J1362" s="47"/>
      <c r="K1362" s="126"/>
      <c r="L1362" s="126"/>
      <c r="M1362" s="104"/>
      <c r="N1362" s="265"/>
      <c r="O1362" s="260"/>
      <c r="P1362" s="106"/>
      <c r="Q1362" s="107"/>
      <c r="R1362" s="244"/>
      <c r="S1362" s="37"/>
      <c r="T1362" s="36" t="str">
        <f t="shared" ca="1" si="110"/>
        <v/>
      </c>
      <c r="U1362" s="37"/>
      <c r="V1362" s="37"/>
      <c r="W1362" s="38"/>
      <c r="X1362" s="39"/>
      <c r="Y1362" s="150"/>
      <c r="Z1362" s="40"/>
      <c r="AA1362" s="136" t="str">
        <f t="shared" ca="1" si="111"/>
        <v/>
      </c>
      <c r="AB1362" s="40"/>
      <c r="AC1362" s="116"/>
      <c r="AD1362" s="116"/>
      <c r="AE1362" s="40"/>
      <c r="AF1362" s="136" t="str">
        <f t="shared" ca="1" si="112"/>
        <v/>
      </c>
      <c r="AG1362" s="127"/>
      <c r="AH1362" s="127"/>
      <c r="AI1362" s="127"/>
      <c r="AJ1362" s="128"/>
      <c r="AK1362" s="128"/>
      <c r="AL1362" s="129"/>
    </row>
    <row r="1363" spans="1:38" ht="23.25" x14ac:dyDescent="0.25">
      <c r="A1363" s="489" t="str">
        <f t="shared" si="109"/>
        <v/>
      </c>
      <c r="B1363" s="490">
        <v>500</v>
      </c>
      <c r="C1363" s="489"/>
      <c r="D1363" s="491"/>
      <c r="E1363" s="124"/>
      <c r="F1363" s="124"/>
      <c r="G1363" s="251"/>
      <c r="H1363" s="443"/>
      <c r="I1363" s="126"/>
      <c r="J1363" s="47"/>
      <c r="K1363" s="126"/>
      <c r="L1363" s="126"/>
      <c r="M1363" s="104"/>
      <c r="N1363" s="265"/>
      <c r="O1363" s="260"/>
      <c r="P1363" s="106"/>
      <c r="Q1363" s="107"/>
      <c r="R1363" s="244"/>
      <c r="S1363" s="37"/>
      <c r="T1363" s="36" t="str">
        <f t="shared" ca="1" si="110"/>
        <v/>
      </c>
      <c r="U1363" s="37"/>
      <c r="V1363" s="37"/>
      <c r="W1363" s="38"/>
      <c r="X1363" s="39"/>
      <c r="Y1363" s="150"/>
      <c r="Z1363" s="40"/>
      <c r="AA1363" s="136" t="str">
        <f t="shared" ca="1" si="111"/>
        <v/>
      </c>
      <c r="AB1363" s="40"/>
      <c r="AC1363" s="116"/>
      <c r="AD1363" s="116"/>
      <c r="AE1363" s="40"/>
      <c r="AF1363" s="136" t="str">
        <f t="shared" ca="1" si="112"/>
        <v/>
      </c>
      <c r="AG1363" s="127"/>
      <c r="AH1363" s="127"/>
      <c r="AI1363" s="127"/>
      <c r="AJ1363" s="128"/>
      <c r="AK1363" s="128"/>
      <c r="AL1363" s="129"/>
    </row>
    <row r="1364" spans="1:38" ht="23.25" x14ac:dyDescent="0.25">
      <c r="A1364" s="489" t="str">
        <f t="shared" si="109"/>
        <v/>
      </c>
      <c r="B1364" s="490">
        <v>501</v>
      </c>
      <c r="C1364" s="489"/>
      <c r="D1364" s="491"/>
      <c r="E1364" s="124"/>
      <c r="F1364" s="124"/>
      <c r="G1364" s="251"/>
      <c r="H1364" s="443"/>
      <c r="I1364" s="126"/>
      <c r="J1364" s="47"/>
      <c r="K1364" s="126"/>
      <c r="L1364" s="126"/>
      <c r="M1364" s="104"/>
      <c r="N1364" s="265"/>
      <c r="O1364" s="260"/>
      <c r="P1364" s="106"/>
      <c r="Q1364" s="107"/>
      <c r="R1364" s="244"/>
      <c r="S1364" s="37"/>
      <c r="T1364" s="36" t="str">
        <f t="shared" ca="1" si="110"/>
        <v/>
      </c>
      <c r="U1364" s="37"/>
      <c r="V1364" s="37"/>
      <c r="W1364" s="38"/>
      <c r="X1364" s="39"/>
      <c r="Y1364" s="150"/>
      <c r="Z1364" s="40"/>
      <c r="AA1364" s="136" t="str">
        <f t="shared" ca="1" si="111"/>
        <v/>
      </c>
      <c r="AB1364" s="40"/>
      <c r="AC1364" s="116"/>
      <c r="AD1364" s="116"/>
      <c r="AE1364" s="40"/>
      <c r="AF1364" s="136" t="str">
        <f t="shared" ca="1" si="112"/>
        <v/>
      </c>
      <c r="AG1364" s="127"/>
      <c r="AH1364" s="127"/>
      <c r="AI1364" s="127"/>
      <c r="AJ1364" s="128"/>
      <c r="AK1364" s="128"/>
      <c r="AL1364" s="129"/>
    </row>
    <row r="1365" spans="1:38" ht="23.25" x14ac:dyDescent="0.25">
      <c r="A1365" s="489" t="str">
        <f t="shared" si="109"/>
        <v/>
      </c>
      <c r="B1365" s="490">
        <v>502</v>
      </c>
      <c r="C1365" s="489"/>
      <c r="D1365" s="491"/>
      <c r="E1365" s="124"/>
      <c r="F1365" s="124"/>
      <c r="G1365" s="251"/>
      <c r="H1365" s="443"/>
      <c r="I1365" s="126"/>
      <c r="J1365" s="47"/>
      <c r="K1365" s="126"/>
      <c r="L1365" s="126"/>
      <c r="M1365" s="104"/>
      <c r="N1365" s="265"/>
      <c r="O1365" s="260"/>
      <c r="P1365" s="106"/>
      <c r="Q1365" s="107"/>
      <c r="R1365" s="244"/>
      <c r="S1365" s="37"/>
      <c r="T1365" s="36" t="str">
        <f t="shared" ca="1" si="110"/>
        <v/>
      </c>
      <c r="U1365" s="37"/>
      <c r="V1365" s="37"/>
      <c r="W1365" s="38"/>
      <c r="X1365" s="39"/>
      <c r="Y1365" s="150"/>
      <c r="Z1365" s="40"/>
      <c r="AA1365" s="136" t="str">
        <f t="shared" ca="1" si="111"/>
        <v/>
      </c>
      <c r="AB1365" s="40"/>
      <c r="AC1365" s="116"/>
      <c r="AD1365" s="116"/>
      <c r="AE1365" s="40"/>
      <c r="AF1365" s="136" t="str">
        <f t="shared" ca="1" si="112"/>
        <v/>
      </c>
      <c r="AG1365" s="127"/>
      <c r="AH1365" s="127"/>
      <c r="AI1365" s="127"/>
      <c r="AJ1365" s="128"/>
      <c r="AK1365" s="128"/>
      <c r="AL1365" s="129"/>
    </row>
    <row r="1366" spans="1:38" ht="23.25" x14ac:dyDescent="0.25">
      <c r="A1366" s="489" t="str">
        <f t="shared" si="109"/>
        <v/>
      </c>
      <c r="B1366" s="490">
        <v>503</v>
      </c>
      <c r="C1366" s="489"/>
      <c r="D1366" s="491"/>
      <c r="E1366" s="124"/>
      <c r="F1366" s="124"/>
      <c r="G1366" s="251"/>
      <c r="H1366" s="443"/>
      <c r="I1366" s="126"/>
      <c r="J1366" s="47"/>
      <c r="K1366" s="126"/>
      <c r="L1366" s="126"/>
      <c r="M1366" s="104"/>
      <c r="N1366" s="265"/>
      <c r="O1366" s="260"/>
      <c r="P1366" s="106"/>
      <c r="Q1366" s="107"/>
      <c r="R1366" s="244"/>
      <c r="S1366" s="37"/>
      <c r="T1366" s="36" t="str">
        <f t="shared" ca="1" si="110"/>
        <v/>
      </c>
      <c r="U1366" s="37"/>
      <c r="V1366" s="37"/>
      <c r="W1366" s="38"/>
      <c r="X1366" s="39"/>
      <c r="Y1366" s="150"/>
      <c r="Z1366" s="40"/>
      <c r="AA1366" s="136" t="str">
        <f t="shared" ca="1" si="111"/>
        <v/>
      </c>
      <c r="AB1366" s="40"/>
      <c r="AC1366" s="116"/>
      <c r="AD1366" s="116"/>
      <c r="AE1366" s="40"/>
      <c r="AF1366" s="136" t="str">
        <f t="shared" ca="1" si="112"/>
        <v/>
      </c>
      <c r="AG1366" s="127"/>
      <c r="AH1366" s="127"/>
      <c r="AI1366" s="127"/>
      <c r="AJ1366" s="128"/>
      <c r="AK1366" s="128"/>
      <c r="AL1366" s="129"/>
    </row>
    <row r="1367" spans="1:38" ht="23.25" x14ac:dyDescent="0.25">
      <c r="A1367" s="489" t="str">
        <f t="shared" si="109"/>
        <v/>
      </c>
      <c r="B1367" s="490">
        <v>504</v>
      </c>
      <c r="C1367" s="489"/>
      <c r="D1367" s="491"/>
      <c r="E1367" s="124"/>
      <c r="F1367" s="124"/>
      <c r="G1367" s="251"/>
      <c r="H1367" s="443"/>
      <c r="I1367" s="126"/>
      <c r="J1367" s="47"/>
      <c r="K1367" s="126"/>
      <c r="L1367" s="126"/>
      <c r="M1367" s="104"/>
      <c r="N1367" s="265"/>
      <c r="O1367" s="260"/>
      <c r="P1367" s="106"/>
      <c r="Q1367" s="107"/>
      <c r="R1367" s="244"/>
      <c r="S1367" s="37"/>
      <c r="T1367" s="36" t="str">
        <f t="shared" ca="1" si="110"/>
        <v/>
      </c>
      <c r="U1367" s="37"/>
      <c r="V1367" s="37"/>
      <c r="W1367" s="38"/>
      <c r="X1367" s="39"/>
      <c r="Y1367" s="150"/>
      <c r="Z1367" s="40"/>
      <c r="AA1367" s="136" t="str">
        <f t="shared" ca="1" si="111"/>
        <v/>
      </c>
      <c r="AB1367" s="40"/>
      <c r="AC1367" s="116"/>
      <c r="AD1367" s="116"/>
      <c r="AE1367" s="40"/>
      <c r="AF1367" s="136" t="str">
        <f t="shared" ca="1" si="112"/>
        <v/>
      </c>
      <c r="AG1367" s="127"/>
      <c r="AH1367" s="127"/>
      <c r="AI1367" s="127"/>
      <c r="AJ1367" s="128"/>
      <c r="AK1367" s="128"/>
      <c r="AL1367" s="129"/>
    </row>
    <row r="1368" spans="1:38" ht="23.25" x14ac:dyDescent="0.25">
      <c r="A1368" s="489" t="str">
        <f t="shared" si="109"/>
        <v/>
      </c>
      <c r="B1368" s="490">
        <v>505</v>
      </c>
      <c r="C1368" s="489"/>
      <c r="D1368" s="491"/>
      <c r="E1368" s="124"/>
      <c r="F1368" s="124"/>
      <c r="G1368" s="251"/>
      <c r="H1368" s="443"/>
      <c r="I1368" s="126"/>
      <c r="J1368" s="47"/>
      <c r="K1368" s="126"/>
      <c r="L1368" s="126"/>
      <c r="M1368" s="104"/>
      <c r="N1368" s="265"/>
      <c r="O1368" s="260"/>
      <c r="P1368" s="106"/>
      <c r="Q1368" s="107"/>
      <c r="R1368" s="244"/>
      <c r="S1368" s="37"/>
      <c r="T1368" s="36" t="str">
        <f t="shared" ca="1" si="110"/>
        <v/>
      </c>
      <c r="U1368" s="37"/>
      <c r="V1368" s="37"/>
      <c r="W1368" s="38"/>
      <c r="X1368" s="39"/>
      <c r="Y1368" s="150"/>
      <c r="Z1368" s="40"/>
      <c r="AA1368" s="136" t="str">
        <f t="shared" ca="1" si="111"/>
        <v/>
      </c>
      <c r="AB1368" s="40"/>
      <c r="AC1368" s="116"/>
      <c r="AD1368" s="116"/>
      <c r="AE1368" s="40"/>
      <c r="AF1368" s="136" t="str">
        <f t="shared" ca="1" si="112"/>
        <v/>
      </c>
      <c r="AG1368" s="127"/>
      <c r="AH1368" s="127"/>
      <c r="AI1368" s="127"/>
      <c r="AJ1368" s="128"/>
      <c r="AK1368" s="128"/>
      <c r="AL1368" s="129"/>
    </row>
    <row r="1369" spans="1:38" ht="23.25" x14ac:dyDescent="0.25">
      <c r="A1369" s="489" t="str">
        <f t="shared" si="109"/>
        <v/>
      </c>
      <c r="B1369" s="490">
        <v>506</v>
      </c>
      <c r="C1369" s="489"/>
      <c r="D1369" s="491"/>
      <c r="E1369" s="124"/>
      <c r="F1369" s="124"/>
      <c r="G1369" s="251"/>
      <c r="H1369" s="443"/>
      <c r="I1369" s="126"/>
      <c r="J1369" s="47"/>
      <c r="K1369" s="126"/>
      <c r="L1369" s="126"/>
      <c r="M1369" s="104"/>
      <c r="N1369" s="265"/>
      <c r="O1369" s="260"/>
      <c r="P1369" s="106"/>
      <c r="Q1369" s="107"/>
      <c r="R1369" s="244"/>
      <c r="S1369" s="37"/>
      <c r="T1369" s="36" t="str">
        <f t="shared" ca="1" si="110"/>
        <v/>
      </c>
      <c r="U1369" s="37"/>
      <c r="V1369" s="37"/>
      <c r="W1369" s="38"/>
      <c r="X1369" s="39"/>
      <c r="Y1369" s="150"/>
      <c r="Z1369" s="40"/>
      <c r="AA1369" s="136" t="str">
        <f t="shared" ca="1" si="111"/>
        <v/>
      </c>
      <c r="AB1369" s="40"/>
      <c r="AC1369" s="116"/>
      <c r="AD1369" s="116"/>
      <c r="AE1369" s="40"/>
      <c r="AF1369" s="136" t="str">
        <f t="shared" ca="1" si="112"/>
        <v/>
      </c>
      <c r="AG1369" s="127"/>
      <c r="AH1369" s="127"/>
      <c r="AI1369" s="127"/>
      <c r="AJ1369" s="128"/>
      <c r="AK1369" s="128"/>
      <c r="AL1369" s="129"/>
    </row>
    <row r="1370" spans="1:38" ht="23.25" x14ac:dyDescent="0.25">
      <c r="A1370" s="489" t="str">
        <f t="shared" si="109"/>
        <v/>
      </c>
      <c r="B1370" s="490">
        <v>507</v>
      </c>
      <c r="C1370" s="489"/>
      <c r="D1370" s="491"/>
      <c r="E1370" s="124"/>
      <c r="F1370" s="124"/>
      <c r="G1370" s="251"/>
      <c r="H1370" s="443"/>
      <c r="I1370" s="126"/>
      <c r="J1370" s="47"/>
      <c r="K1370" s="126"/>
      <c r="L1370" s="126"/>
      <c r="M1370" s="104"/>
      <c r="N1370" s="265"/>
      <c r="O1370" s="260"/>
      <c r="P1370" s="106"/>
      <c r="Q1370" s="107"/>
      <c r="R1370" s="244"/>
      <c r="S1370" s="37"/>
      <c r="T1370" s="36" t="str">
        <f t="shared" ca="1" si="110"/>
        <v/>
      </c>
      <c r="U1370" s="37"/>
      <c r="V1370" s="37"/>
      <c r="W1370" s="38"/>
      <c r="X1370" s="39"/>
      <c r="Y1370" s="150"/>
      <c r="Z1370" s="40"/>
      <c r="AA1370" s="136" t="str">
        <f t="shared" ca="1" si="111"/>
        <v/>
      </c>
      <c r="AB1370" s="40"/>
      <c r="AC1370" s="116"/>
      <c r="AD1370" s="116"/>
      <c r="AE1370" s="40"/>
      <c r="AF1370" s="136" t="str">
        <f t="shared" ca="1" si="112"/>
        <v/>
      </c>
      <c r="AG1370" s="127"/>
      <c r="AH1370" s="127"/>
      <c r="AI1370" s="127"/>
      <c r="AJ1370" s="128"/>
      <c r="AK1370" s="128"/>
      <c r="AL1370" s="129"/>
    </row>
    <row r="1371" spans="1:38" ht="23.25" x14ac:dyDescent="0.25">
      <c r="A1371" s="489" t="str">
        <f t="shared" si="109"/>
        <v/>
      </c>
      <c r="B1371" s="490">
        <v>508</v>
      </c>
      <c r="C1371" s="489"/>
      <c r="D1371" s="491"/>
      <c r="E1371" s="124"/>
      <c r="F1371" s="124"/>
      <c r="G1371" s="251"/>
      <c r="H1371" s="443"/>
      <c r="I1371" s="126"/>
      <c r="J1371" s="47"/>
      <c r="K1371" s="126"/>
      <c r="L1371" s="126"/>
      <c r="M1371" s="104"/>
      <c r="N1371" s="265"/>
      <c r="O1371" s="260"/>
      <c r="P1371" s="106"/>
      <c r="Q1371" s="107"/>
      <c r="R1371" s="244"/>
      <c r="S1371" s="37"/>
      <c r="T1371" s="36" t="str">
        <f t="shared" ca="1" si="110"/>
        <v/>
      </c>
      <c r="U1371" s="37"/>
      <c r="V1371" s="37"/>
      <c r="W1371" s="38"/>
      <c r="X1371" s="39"/>
      <c r="Y1371" s="150"/>
      <c r="Z1371" s="40"/>
      <c r="AA1371" s="136" t="str">
        <f t="shared" ca="1" si="111"/>
        <v/>
      </c>
      <c r="AB1371" s="40"/>
      <c r="AC1371" s="116"/>
      <c r="AD1371" s="116"/>
      <c r="AE1371" s="40"/>
      <c r="AF1371" s="136" t="str">
        <f t="shared" ca="1" si="112"/>
        <v/>
      </c>
      <c r="AG1371" s="127"/>
      <c r="AH1371" s="127"/>
      <c r="AI1371" s="127"/>
      <c r="AJ1371" s="128"/>
      <c r="AK1371" s="128"/>
      <c r="AL1371" s="129"/>
    </row>
    <row r="1372" spans="1:38" ht="23.25" x14ac:dyDescent="0.25">
      <c r="A1372" s="489" t="str">
        <f t="shared" si="109"/>
        <v/>
      </c>
      <c r="B1372" s="490">
        <v>509</v>
      </c>
      <c r="C1372" s="489"/>
      <c r="D1372" s="491"/>
      <c r="E1372" s="124"/>
      <c r="F1372" s="124"/>
      <c r="G1372" s="251"/>
      <c r="H1372" s="443"/>
      <c r="I1372" s="126"/>
      <c r="J1372" s="47"/>
      <c r="K1372" s="126"/>
      <c r="L1372" s="126"/>
      <c r="M1372" s="104"/>
      <c r="N1372" s="265"/>
      <c r="O1372" s="260"/>
      <c r="P1372" s="106"/>
      <c r="Q1372" s="107"/>
      <c r="R1372" s="244"/>
      <c r="S1372" s="37"/>
      <c r="T1372" s="36" t="str">
        <f t="shared" ca="1" si="110"/>
        <v/>
      </c>
      <c r="U1372" s="37"/>
      <c r="V1372" s="37"/>
      <c r="W1372" s="38"/>
      <c r="X1372" s="39"/>
      <c r="Y1372" s="150"/>
      <c r="Z1372" s="40"/>
      <c r="AA1372" s="136" t="str">
        <f t="shared" ca="1" si="111"/>
        <v/>
      </c>
      <c r="AB1372" s="40"/>
      <c r="AC1372" s="116"/>
      <c r="AD1372" s="116"/>
      <c r="AE1372" s="40"/>
      <c r="AF1372" s="136" t="str">
        <f t="shared" ca="1" si="112"/>
        <v/>
      </c>
      <c r="AG1372" s="127"/>
      <c r="AH1372" s="127"/>
      <c r="AI1372" s="127"/>
      <c r="AJ1372" s="128"/>
      <c r="AK1372" s="128"/>
      <c r="AL1372" s="129"/>
    </row>
    <row r="1373" spans="1:38" ht="23.25" x14ac:dyDescent="0.25">
      <c r="A1373" s="489" t="str">
        <f t="shared" si="109"/>
        <v/>
      </c>
      <c r="B1373" s="490">
        <v>510</v>
      </c>
      <c r="C1373" s="489"/>
      <c r="D1373" s="491"/>
      <c r="E1373" s="124"/>
      <c r="F1373" s="124"/>
      <c r="G1373" s="251"/>
      <c r="H1373" s="443"/>
      <c r="I1373" s="126"/>
      <c r="J1373" s="47"/>
      <c r="K1373" s="126"/>
      <c r="L1373" s="126"/>
      <c r="M1373" s="104"/>
      <c r="N1373" s="265"/>
      <c r="O1373" s="260"/>
      <c r="P1373" s="106"/>
      <c r="Q1373" s="107"/>
      <c r="R1373" s="244"/>
      <c r="S1373" s="37"/>
      <c r="T1373" s="36" t="str">
        <f t="shared" ca="1" si="110"/>
        <v/>
      </c>
      <c r="U1373" s="37"/>
      <c r="V1373" s="37"/>
      <c r="W1373" s="38"/>
      <c r="X1373" s="39"/>
      <c r="Y1373" s="150"/>
      <c r="Z1373" s="40"/>
      <c r="AA1373" s="136" t="str">
        <f t="shared" ca="1" si="111"/>
        <v/>
      </c>
      <c r="AB1373" s="40"/>
      <c r="AC1373" s="116"/>
      <c r="AD1373" s="116"/>
      <c r="AE1373" s="40"/>
      <c r="AF1373" s="136" t="str">
        <f t="shared" ca="1" si="112"/>
        <v/>
      </c>
      <c r="AG1373" s="127"/>
      <c r="AH1373" s="127"/>
      <c r="AI1373" s="127"/>
      <c r="AJ1373" s="128"/>
      <c r="AK1373" s="128"/>
      <c r="AL1373" s="129"/>
    </row>
    <row r="1374" spans="1:38" ht="23.25" x14ac:dyDescent="0.25">
      <c r="A1374" s="489" t="str">
        <f t="shared" si="109"/>
        <v/>
      </c>
      <c r="B1374" s="490">
        <v>511</v>
      </c>
      <c r="C1374" s="489"/>
      <c r="D1374" s="491"/>
      <c r="E1374" s="124"/>
      <c r="F1374" s="124"/>
      <c r="G1374" s="251"/>
      <c r="H1374" s="443"/>
      <c r="I1374" s="126"/>
      <c r="J1374" s="47"/>
      <c r="K1374" s="126"/>
      <c r="L1374" s="126"/>
      <c r="M1374" s="104"/>
      <c r="N1374" s="265"/>
      <c r="O1374" s="260"/>
      <c r="P1374" s="106"/>
      <c r="Q1374" s="107"/>
      <c r="R1374" s="244"/>
      <c r="S1374" s="37"/>
      <c r="T1374" s="36" t="str">
        <f t="shared" ca="1" si="110"/>
        <v/>
      </c>
      <c r="U1374" s="37"/>
      <c r="V1374" s="37"/>
      <c r="W1374" s="38"/>
      <c r="X1374" s="39"/>
      <c r="Y1374" s="150"/>
      <c r="Z1374" s="40"/>
      <c r="AA1374" s="136" t="str">
        <f t="shared" ca="1" si="111"/>
        <v/>
      </c>
      <c r="AB1374" s="40"/>
      <c r="AC1374" s="116"/>
      <c r="AD1374" s="116"/>
      <c r="AE1374" s="40"/>
      <c r="AF1374" s="136" t="str">
        <f t="shared" ca="1" si="112"/>
        <v/>
      </c>
      <c r="AG1374" s="127"/>
      <c r="AH1374" s="127"/>
      <c r="AI1374" s="127"/>
      <c r="AJ1374" s="128"/>
      <c r="AK1374" s="128"/>
      <c r="AL1374" s="129"/>
    </row>
    <row r="1375" spans="1:38" ht="23.25" x14ac:dyDescent="0.25">
      <c r="A1375" s="489" t="str">
        <f t="shared" si="109"/>
        <v/>
      </c>
      <c r="B1375" s="490">
        <v>512</v>
      </c>
      <c r="C1375" s="489"/>
      <c r="D1375" s="491"/>
      <c r="E1375" s="124"/>
      <c r="F1375" s="124"/>
      <c r="G1375" s="251"/>
      <c r="H1375" s="443"/>
      <c r="I1375" s="126"/>
      <c r="J1375" s="47"/>
      <c r="K1375" s="126"/>
      <c r="L1375" s="126"/>
      <c r="M1375" s="104"/>
      <c r="N1375" s="265"/>
      <c r="O1375" s="260"/>
      <c r="P1375" s="106"/>
      <c r="Q1375" s="107"/>
      <c r="R1375" s="244"/>
      <c r="S1375" s="37"/>
      <c r="T1375" s="36" t="str">
        <f t="shared" ca="1" si="110"/>
        <v/>
      </c>
      <c r="U1375" s="37"/>
      <c r="V1375" s="37"/>
      <c r="W1375" s="38"/>
      <c r="X1375" s="39"/>
      <c r="Y1375" s="150"/>
      <c r="Z1375" s="40"/>
      <c r="AA1375" s="136" t="str">
        <f t="shared" ca="1" si="111"/>
        <v/>
      </c>
      <c r="AB1375" s="40"/>
      <c r="AC1375" s="116"/>
      <c r="AD1375" s="116"/>
      <c r="AE1375" s="40"/>
      <c r="AF1375" s="136" t="str">
        <f t="shared" ca="1" si="112"/>
        <v/>
      </c>
      <c r="AG1375" s="127"/>
      <c r="AH1375" s="127"/>
      <c r="AI1375" s="127"/>
      <c r="AJ1375" s="128"/>
      <c r="AK1375" s="128"/>
      <c r="AL1375" s="129"/>
    </row>
    <row r="1376" spans="1:38" ht="23.25" x14ac:dyDescent="0.25">
      <c r="A1376" s="489" t="str">
        <f t="shared" si="109"/>
        <v/>
      </c>
      <c r="B1376" s="490">
        <v>513</v>
      </c>
      <c r="C1376" s="489"/>
      <c r="D1376" s="491"/>
      <c r="E1376" s="124"/>
      <c r="F1376" s="124"/>
      <c r="G1376" s="251"/>
      <c r="H1376" s="443"/>
      <c r="I1376" s="126"/>
      <c r="J1376" s="47"/>
      <c r="K1376" s="126"/>
      <c r="L1376" s="126"/>
      <c r="M1376" s="104"/>
      <c r="N1376" s="265"/>
      <c r="O1376" s="260"/>
      <c r="P1376" s="106"/>
      <c r="Q1376" s="107"/>
      <c r="R1376" s="244"/>
      <c r="S1376" s="37"/>
      <c r="T1376" s="36" t="str">
        <f t="shared" ca="1" si="110"/>
        <v/>
      </c>
      <c r="U1376" s="37"/>
      <c r="V1376" s="37"/>
      <c r="W1376" s="38"/>
      <c r="X1376" s="39"/>
      <c r="Y1376" s="150"/>
      <c r="Z1376" s="40"/>
      <c r="AA1376" s="136" t="str">
        <f t="shared" ca="1" si="111"/>
        <v/>
      </c>
      <c r="AB1376" s="40"/>
      <c r="AC1376" s="116"/>
      <c r="AD1376" s="116"/>
      <c r="AE1376" s="40"/>
      <c r="AF1376" s="136" t="str">
        <f t="shared" ca="1" si="112"/>
        <v/>
      </c>
      <c r="AG1376" s="127"/>
      <c r="AH1376" s="127"/>
      <c r="AI1376" s="127"/>
      <c r="AJ1376" s="128"/>
      <c r="AK1376" s="128"/>
      <c r="AL1376" s="129"/>
    </row>
    <row r="1377" spans="1:38" ht="23.25" x14ac:dyDescent="0.25">
      <c r="A1377" s="489" t="str">
        <f t="shared" si="109"/>
        <v/>
      </c>
      <c r="B1377" s="490">
        <v>514</v>
      </c>
      <c r="C1377" s="489"/>
      <c r="D1377" s="491"/>
      <c r="E1377" s="124"/>
      <c r="F1377" s="124"/>
      <c r="G1377" s="251"/>
      <c r="H1377" s="443"/>
      <c r="I1377" s="126"/>
      <c r="J1377" s="47"/>
      <c r="K1377" s="126"/>
      <c r="L1377" s="126"/>
      <c r="M1377" s="104"/>
      <c r="N1377" s="265"/>
      <c r="O1377" s="260"/>
      <c r="P1377" s="106"/>
      <c r="Q1377" s="107"/>
      <c r="R1377" s="244"/>
      <c r="S1377" s="37"/>
      <c r="T1377" s="36" t="str">
        <f t="shared" ca="1" si="110"/>
        <v/>
      </c>
      <c r="U1377" s="37"/>
      <c r="V1377" s="37"/>
      <c r="W1377" s="38"/>
      <c r="X1377" s="39"/>
      <c r="Y1377" s="150"/>
      <c r="Z1377" s="40"/>
      <c r="AA1377" s="136" t="str">
        <f t="shared" ca="1" si="111"/>
        <v/>
      </c>
      <c r="AB1377" s="40"/>
      <c r="AC1377" s="116"/>
      <c r="AD1377" s="116"/>
      <c r="AE1377" s="40"/>
      <c r="AF1377" s="136" t="str">
        <f t="shared" ca="1" si="112"/>
        <v/>
      </c>
      <c r="AG1377" s="127"/>
      <c r="AH1377" s="127"/>
      <c r="AI1377" s="127"/>
      <c r="AJ1377" s="128"/>
      <c r="AK1377" s="128"/>
      <c r="AL1377" s="129"/>
    </row>
    <row r="1378" spans="1:38" ht="23.25" x14ac:dyDescent="0.25">
      <c r="A1378" s="489" t="str">
        <f t="shared" si="109"/>
        <v/>
      </c>
      <c r="B1378" s="490">
        <v>515</v>
      </c>
      <c r="C1378" s="489"/>
      <c r="D1378" s="491"/>
      <c r="E1378" s="124"/>
      <c r="F1378" s="124"/>
      <c r="G1378" s="251"/>
      <c r="H1378" s="443"/>
      <c r="I1378" s="126"/>
      <c r="J1378" s="47"/>
      <c r="K1378" s="126"/>
      <c r="L1378" s="126"/>
      <c r="M1378" s="104"/>
      <c r="N1378" s="265"/>
      <c r="O1378" s="260"/>
      <c r="P1378" s="106"/>
      <c r="Q1378" s="107"/>
      <c r="R1378" s="244"/>
      <c r="S1378" s="37"/>
      <c r="T1378" s="36" t="str">
        <f t="shared" ca="1" si="110"/>
        <v/>
      </c>
      <c r="U1378" s="37"/>
      <c r="V1378" s="37"/>
      <c r="W1378" s="38"/>
      <c r="X1378" s="39"/>
      <c r="Y1378" s="150"/>
      <c r="Z1378" s="40"/>
      <c r="AA1378" s="136" t="str">
        <f t="shared" ca="1" si="111"/>
        <v/>
      </c>
      <c r="AB1378" s="40"/>
      <c r="AC1378" s="116"/>
      <c r="AD1378" s="116"/>
      <c r="AE1378" s="40"/>
      <c r="AF1378" s="136" t="str">
        <f t="shared" ca="1" si="112"/>
        <v/>
      </c>
      <c r="AG1378" s="127"/>
      <c r="AH1378" s="127"/>
      <c r="AI1378" s="127"/>
      <c r="AJ1378" s="128"/>
      <c r="AK1378" s="128"/>
      <c r="AL1378" s="129"/>
    </row>
    <row r="1379" spans="1:38" ht="23.25" x14ac:dyDescent="0.25">
      <c r="A1379" s="489" t="str">
        <f t="shared" si="109"/>
        <v/>
      </c>
      <c r="B1379" s="490">
        <v>516</v>
      </c>
      <c r="C1379" s="489"/>
      <c r="D1379" s="491"/>
      <c r="E1379" s="124"/>
      <c r="F1379" s="124"/>
      <c r="G1379" s="251"/>
      <c r="H1379" s="443"/>
      <c r="I1379" s="126"/>
      <c r="J1379" s="47"/>
      <c r="K1379" s="126"/>
      <c r="L1379" s="126"/>
      <c r="M1379" s="104"/>
      <c r="N1379" s="265"/>
      <c r="O1379" s="260"/>
      <c r="P1379" s="106"/>
      <c r="Q1379" s="107"/>
      <c r="R1379" s="244"/>
      <c r="S1379" s="37"/>
      <c r="T1379" s="36" t="str">
        <f t="shared" ca="1" si="110"/>
        <v/>
      </c>
      <c r="U1379" s="37"/>
      <c r="V1379" s="37"/>
      <c r="W1379" s="38"/>
      <c r="X1379" s="39"/>
      <c r="Y1379" s="150"/>
      <c r="Z1379" s="40"/>
      <c r="AA1379" s="136" t="str">
        <f t="shared" ca="1" si="111"/>
        <v/>
      </c>
      <c r="AB1379" s="40"/>
      <c r="AC1379" s="116"/>
      <c r="AD1379" s="116"/>
      <c r="AE1379" s="40"/>
      <c r="AF1379" s="136" t="str">
        <f t="shared" ca="1" si="112"/>
        <v/>
      </c>
      <c r="AG1379" s="127"/>
      <c r="AH1379" s="127"/>
      <c r="AI1379" s="127"/>
      <c r="AJ1379" s="128"/>
      <c r="AK1379" s="128"/>
      <c r="AL1379" s="129"/>
    </row>
    <row r="1380" spans="1:38" ht="23.25" x14ac:dyDescent="0.25">
      <c r="A1380" s="489" t="str">
        <f t="shared" si="109"/>
        <v/>
      </c>
      <c r="B1380" s="490">
        <v>517</v>
      </c>
      <c r="C1380" s="489"/>
      <c r="D1380" s="491"/>
      <c r="E1380" s="124"/>
      <c r="F1380" s="124"/>
      <c r="G1380" s="251"/>
      <c r="H1380" s="443"/>
      <c r="I1380" s="126"/>
      <c r="J1380" s="47"/>
      <c r="K1380" s="126"/>
      <c r="L1380" s="126"/>
      <c r="M1380" s="104"/>
      <c r="N1380" s="265"/>
      <c r="O1380" s="260"/>
      <c r="P1380" s="106"/>
      <c r="Q1380" s="107"/>
      <c r="R1380" s="244"/>
      <c r="S1380" s="37"/>
      <c r="T1380" s="36" t="str">
        <f t="shared" ca="1" si="110"/>
        <v/>
      </c>
      <c r="U1380" s="37"/>
      <c r="V1380" s="37"/>
      <c r="W1380" s="38"/>
      <c r="X1380" s="39"/>
      <c r="Y1380" s="150"/>
      <c r="Z1380" s="40"/>
      <c r="AA1380" s="136" t="str">
        <f t="shared" ca="1" si="111"/>
        <v/>
      </c>
      <c r="AB1380" s="40"/>
      <c r="AC1380" s="116"/>
      <c r="AD1380" s="116"/>
      <c r="AE1380" s="40"/>
      <c r="AF1380" s="136" t="str">
        <f t="shared" ca="1" si="112"/>
        <v/>
      </c>
      <c r="AG1380" s="127"/>
      <c r="AH1380" s="127"/>
      <c r="AI1380" s="127"/>
      <c r="AJ1380" s="128"/>
      <c r="AK1380" s="128"/>
      <c r="AL1380" s="129"/>
    </row>
    <row r="1381" spans="1:38" ht="23.25" x14ac:dyDescent="0.25">
      <c r="A1381" s="489" t="str">
        <f t="shared" si="109"/>
        <v/>
      </c>
      <c r="B1381" s="490">
        <v>518</v>
      </c>
      <c r="C1381" s="489"/>
      <c r="D1381" s="491"/>
      <c r="E1381" s="124"/>
      <c r="F1381" s="124"/>
      <c r="G1381" s="251"/>
      <c r="H1381" s="443"/>
      <c r="I1381" s="126"/>
      <c r="J1381" s="47"/>
      <c r="K1381" s="126"/>
      <c r="L1381" s="126"/>
      <c r="M1381" s="104"/>
      <c r="N1381" s="265"/>
      <c r="O1381" s="260"/>
      <c r="P1381" s="106"/>
      <c r="Q1381" s="107"/>
      <c r="R1381" s="244"/>
      <c r="S1381" s="37"/>
      <c r="T1381" s="36" t="str">
        <f t="shared" ca="1" si="110"/>
        <v/>
      </c>
      <c r="U1381" s="37"/>
      <c r="V1381" s="37"/>
      <c r="W1381" s="38"/>
      <c r="X1381" s="39"/>
      <c r="Y1381" s="150"/>
      <c r="Z1381" s="40"/>
      <c r="AA1381" s="136" t="str">
        <f t="shared" ca="1" si="111"/>
        <v/>
      </c>
      <c r="AB1381" s="40"/>
      <c r="AC1381" s="116"/>
      <c r="AD1381" s="116"/>
      <c r="AE1381" s="40"/>
      <c r="AF1381" s="136" t="str">
        <f t="shared" ca="1" si="112"/>
        <v/>
      </c>
      <c r="AG1381" s="127"/>
      <c r="AH1381" s="127"/>
      <c r="AI1381" s="127"/>
      <c r="AJ1381" s="128"/>
      <c r="AK1381" s="128"/>
      <c r="AL1381" s="129"/>
    </row>
    <row r="1382" spans="1:38" ht="23.25" x14ac:dyDescent="0.25">
      <c r="A1382" s="489" t="str">
        <f t="shared" si="109"/>
        <v/>
      </c>
      <c r="B1382" s="490">
        <v>519</v>
      </c>
      <c r="C1382" s="489"/>
      <c r="D1382" s="491"/>
      <c r="E1382" s="124"/>
      <c r="F1382" s="124"/>
      <c r="G1382" s="251"/>
      <c r="H1382" s="443"/>
      <c r="I1382" s="126"/>
      <c r="J1382" s="47"/>
      <c r="K1382" s="126"/>
      <c r="L1382" s="126"/>
      <c r="M1382" s="104"/>
      <c r="N1382" s="265"/>
      <c r="O1382" s="260"/>
      <c r="P1382" s="106"/>
      <c r="Q1382" s="107"/>
      <c r="R1382" s="244"/>
      <c r="S1382" s="37"/>
      <c r="T1382" s="36" t="str">
        <f t="shared" ca="1" si="110"/>
        <v/>
      </c>
      <c r="U1382" s="37"/>
      <c r="V1382" s="37"/>
      <c r="W1382" s="38"/>
      <c r="X1382" s="39"/>
      <c r="Y1382" s="150"/>
      <c r="Z1382" s="40"/>
      <c r="AA1382" s="136" t="str">
        <f t="shared" ca="1" si="111"/>
        <v/>
      </c>
      <c r="AB1382" s="40"/>
      <c r="AC1382" s="116"/>
      <c r="AD1382" s="116"/>
      <c r="AE1382" s="40"/>
      <c r="AF1382" s="136" t="str">
        <f t="shared" ca="1" si="112"/>
        <v/>
      </c>
      <c r="AG1382" s="127"/>
      <c r="AH1382" s="127"/>
      <c r="AI1382" s="127"/>
      <c r="AJ1382" s="128"/>
      <c r="AK1382" s="128"/>
      <c r="AL1382" s="129"/>
    </row>
    <row r="1383" spans="1:38" ht="23.25" x14ac:dyDescent="0.25">
      <c r="A1383" s="489" t="str">
        <f t="shared" si="109"/>
        <v/>
      </c>
      <c r="B1383" s="490">
        <v>520</v>
      </c>
      <c r="C1383" s="489"/>
      <c r="D1383" s="491"/>
      <c r="E1383" s="124"/>
      <c r="F1383" s="124"/>
      <c r="G1383" s="251"/>
      <c r="H1383" s="443"/>
      <c r="I1383" s="126"/>
      <c r="J1383" s="47"/>
      <c r="K1383" s="126"/>
      <c r="L1383" s="126"/>
      <c r="M1383" s="104"/>
      <c r="N1383" s="265"/>
      <c r="O1383" s="260"/>
      <c r="P1383" s="106"/>
      <c r="Q1383" s="107"/>
      <c r="R1383" s="244"/>
      <c r="S1383" s="37"/>
      <c r="T1383" s="36" t="str">
        <f t="shared" ca="1" si="110"/>
        <v/>
      </c>
      <c r="U1383" s="37"/>
      <c r="V1383" s="37"/>
      <c r="W1383" s="38"/>
      <c r="X1383" s="39"/>
      <c r="Y1383" s="150"/>
      <c r="Z1383" s="40"/>
      <c r="AA1383" s="136" t="str">
        <f t="shared" ca="1" si="111"/>
        <v/>
      </c>
      <c r="AB1383" s="40"/>
      <c r="AC1383" s="116"/>
      <c r="AD1383" s="116"/>
      <c r="AE1383" s="40"/>
      <c r="AF1383" s="136" t="str">
        <f t="shared" ca="1" si="112"/>
        <v/>
      </c>
      <c r="AG1383" s="127"/>
      <c r="AH1383" s="127"/>
      <c r="AI1383" s="127"/>
      <c r="AJ1383" s="128"/>
      <c r="AK1383" s="128"/>
      <c r="AL1383" s="129"/>
    </row>
    <row r="1384" spans="1:38" ht="23.25" x14ac:dyDescent="0.25">
      <c r="A1384" s="489" t="str">
        <f t="shared" si="109"/>
        <v/>
      </c>
      <c r="B1384" s="490">
        <v>521</v>
      </c>
      <c r="C1384" s="489"/>
      <c r="D1384" s="491"/>
      <c r="E1384" s="124"/>
      <c r="F1384" s="124"/>
      <c r="G1384" s="251"/>
      <c r="H1384" s="443"/>
      <c r="I1384" s="126"/>
      <c r="J1384" s="47"/>
      <c r="K1384" s="126"/>
      <c r="L1384" s="126"/>
      <c r="M1384" s="104"/>
      <c r="N1384" s="265"/>
      <c r="O1384" s="260"/>
      <c r="P1384" s="106"/>
      <c r="Q1384" s="107"/>
      <c r="R1384" s="244"/>
      <c r="S1384" s="37"/>
      <c r="T1384" s="36" t="str">
        <f t="shared" ca="1" si="110"/>
        <v/>
      </c>
      <c r="U1384" s="37"/>
      <c r="V1384" s="37"/>
      <c r="W1384" s="38"/>
      <c r="X1384" s="39"/>
      <c r="Y1384" s="150"/>
      <c r="Z1384" s="40"/>
      <c r="AA1384" s="136" t="str">
        <f t="shared" ca="1" si="111"/>
        <v/>
      </c>
      <c r="AB1384" s="40"/>
      <c r="AC1384" s="116"/>
      <c r="AD1384" s="116"/>
      <c r="AE1384" s="40"/>
      <c r="AF1384" s="136" t="str">
        <f t="shared" ca="1" si="112"/>
        <v/>
      </c>
      <c r="AG1384" s="127"/>
      <c r="AH1384" s="127"/>
      <c r="AI1384" s="127"/>
      <c r="AJ1384" s="128"/>
      <c r="AK1384" s="128"/>
      <c r="AL1384" s="129"/>
    </row>
    <row r="1385" spans="1:38" ht="23.25" x14ac:dyDescent="0.25">
      <c r="A1385" s="489" t="str">
        <f t="shared" si="109"/>
        <v/>
      </c>
      <c r="B1385" s="490">
        <v>522</v>
      </c>
      <c r="C1385" s="489"/>
      <c r="D1385" s="491"/>
      <c r="E1385" s="124"/>
      <c r="F1385" s="124"/>
      <c r="G1385" s="251"/>
      <c r="H1385" s="443"/>
      <c r="I1385" s="126"/>
      <c r="J1385" s="47"/>
      <c r="K1385" s="126"/>
      <c r="L1385" s="126"/>
      <c r="M1385" s="104"/>
      <c r="N1385" s="265"/>
      <c r="O1385" s="260"/>
      <c r="P1385" s="106"/>
      <c r="Q1385" s="107"/>
      <c r="R1385" s="244"/>
      <c r="S1385" s="37"/>
      <c r="T1385" s="36" t="str">
        <f t="shared" ca="1" si="110"/>
        <v/>
      </c>
      <c r="U1385" s="37"/>
      <c r="V1385" s="37"/>
      <c r="W1385" s="38"/>
      <c r="X1385" s="39"/>
      <c r="Y1385" s="150"/>
      <c r="Z1385" s="40"/>
      <c r="AA1385" s="136" t="str">
        <f t="shared" ca="1" si="111"/>
        <v/>
      </c>
      <c r="AB1385" s="40"/>
      <c r="AC1385" s="116"/>
      <c r="AD1385" s="116"/>
      <c r="AE1385" s="40"/>
      <c r="AF1385" s="136" t="str">
        <f t="shared" ca="1" si="112"/>
        <v/>
      </c>
      <c r="AG1385" s="127"/>
      <c r="AH1385" s="127"/>
      <c r="AI1385" s="127"/>
      <c r="AJ1385" s="128"/>
      <c r="AK1385" s="128"/>
      <c r="AL1385" s="129"/>
    </row>
    <row r="1386" spans="1:38" ht="23.25" x14ac:dyDescent="0.25">
      <c r="A1386" s="489" t="str">
        <f t="shared" si="109"/>
        <v/>
      </c>
      <c r="B1386" s="490">
        <v>523</v>
      </c>
      <c r="C1386" s="489"/>
      <c r="D1386" s="491"/>
      <c r="E1386" s="124"/>
      <c r="F1386" s="124"/>
      <c r="G1386" s="251"/>
      <c r="H1386" s="443"/>
      <c r="I1386" s="126"/>
      <c r="J1386" s="47"/>
      <c r="K1386" s="126"/>
      <c r="L1386" s="126"/>
      <c r="M1386" s="104"/>
      <c r="N1386" s="265"/>
      <c r="O1386" s="260"/>
      <c r="P1386" s="106"/>
      <c r="Q1386" s="107"/>
      <c r="R1386" s="244"/>
      <c r="S1386" s="37"/>
      <c r="T1386" s="36" t="str">
        <f t="shared" ca="1" si="110"/>
        <v/>
      </c>
      <c r="U1386" s="37"/>
      <c r="V1386" s="37"/>
      <c r="W1386" s="38"/>
      <c r="X1386" s="39"/>
      <c r="Y1386" s="150"/>
      <c r="Z1386" s="40"/>
      <c r="AA1386" s="136" t="str">
        <f t="shared" ca="1" si="111"/>
        <v/>
      </c>
      <c r="AB1386" s="40"/>
      <c r="AC1386" s="116"/>
      <c r="AD1386" s="116"/>
      <c r="AE1386" s="40"/>
      <c r="AF1386" s="136" t="str">
        <f t="shared" ca="1" si="112"/>
        <v/>
      </c>
      <c r="AG1386" s="127"/>
      <c r="AH1386" s="127"/>
      <c r="AI1386" s="127"/>
      <c r="AJ1386" s="128"/>
      <c r="AK1386" s="128"/>
      <c r="AL1386" s="129"/>
    </row>
    <row r="1387" spans="1:38" ht="23.25" x14ac:dyDescent="0.25">
      <c r="A1387" s="489" t="str">
        <f t="shared" si="109"/>
        <v/>
      </c>
      <c r="B1387" s="490">
        <v>524</v>
      </c>
      <c r="C1387" s="489"/>
      <c r="D1387" s="491"/>
      <c r="E1387" s="124"/>
      <c r="F1387" s="124"/>
      <c r="G1387" s="251"/>
      <c r="H1387" s="443"/>
      <c r="I1387" s="126"/>
      <c r="J1387" s="47"/>
      <c r="K1387" s="126"/>
      <c r="L1387" s="126"/>
      <c r="M1387" s="104"/>
      <c r="N1387" s="265"/>
      <c r="O1387" s="260"/>
      <c r="P1387" s="106"/>
      <c r="Q1387" s="107"/>
      <c r="R1387" s="244"/>
      <c r="S1387" s="37"/>
      <c r="T1387" s="36" t="str">
        <f t="shared" ca="1" si="110"/>
        <v/>
      </c>
      <c r="U1387" s="37"/>
      <c r="V1387" s="37"/>
      <c r="W1387" s="38"/>
      <c r="X1387" s="39"/>
      <c r="Y1387" s="150"/>
      <c r="Z1387" s="40"/>
      <c r="AA1387" s="136" t="str">
        <f t="shared" ca="1" si="111"/>
        <v/>
      </c>
      <c r="AB1387" s="40"/>
      <c r="AC1387" s="116"/>
      <c r="AD1387" s="116"/>
      <c r="AE1387" s="40"/>
      <c r="AF1387" s="136" t="str">
        <f t="shared" ca="1" si="112"/>
        <v/>
      </c>
      <c r="AG1387" s="127"/>
      <c r="AH1387" s="127"/>
      <c r="AI1387" s="127"/>
      <c r="AJ1387" s="128"/>
      <c r="AK1387" s="128"/>
      <c r="AL1387" s="129"/>
    </row>
    <row r="1388" spans="1:38" ht="23.25" x14ac:dyDescent="0.25">
      <c r="A1388" s="489" t="str">
        <f t="shared" si="109"/>
        <v/>
      </c>
      <c r="B1388" s="490">
        <v>525</v>
      </c>
      <c r="C1388" s="489"/>
      <c r="D1388" s="491"/>
      <c r="E1388" s="124"/>
      <c r="F1388" s="124"/>
      <c r="G1388" s="251"/>
      <c r="H1388" s="443"/>
      <c r="I1388" s="126"/>
      <c r="J1388" s="47"/>
      <c r="K1388" s="126"/>
      <c r="L1388" s="126"/>
      <c r="M1388" s="104"/>
      <c r="N1388" s="265"/>
      <c r="O1388" s="260"/>
      <c r="P1388" s="106"/>
      <c r="Q1388" s="107"/>
      <c r="R1388" s="244"/>
      <c r="S1388" s="37"/>
      <c r="T1388" s="36" t="str">
        <f t="shared" ca="1" si="110"/>
        <v/>
      </c>
      <c r="U1388" s="37"/>
      <c r="V1388" s="37"/>
      <c r="W1388" s="38"/>
      <c r="X1388" s="39"/>
      <c r="Y1388" s="150"/>
      <c r="Z1388" s="40"/>
      <c r="AA1388" s="136" t="str">
        <f t="shared" ca="1" si="111"/>
        <v/>
      </c>
      <c r="AB1388" s="40"/>
      <c r="AC1388" s="116"/>
      <c r="AD1388" s="116"/>
      <c r="AE1388" s="40"/>
      <c r="AF1388" s="136" t="str">
        <f t="shared" ca="1" si="112"/>
        <v/>
      </c>
      <c r="AG1388" s="127"/>
      <c r="AH1388" s="127"/>
      <c r="AI1388" s="127"/>
      <c r="AJ1388" s="128"/>
      <c r="AK1388" s="128"/>
      <c r="AL1388" s="129"/>
    </row>
    <row r="1389" spans="1:38" ht="23.25" x14ac:dyDescent="0.25">
      <c r="A1389" s="489" t="str">
        <f t="shared" si="109"/>
        <v/>
      </c>
      <c r="B1389" s="490">
        <v>526</v>
      </c>
      <c r="C1389" s="489"/>
      <c r="D1389" s="491"/>
      <c r="E1389" s="124"/>
      <c r="F1389" s="124"/>
      <c r="G1389" s="251"/>
      <c r="H1389" s="443"/>
      <c r="I1389" s="126"/>
      <c r="J1389" s="47"/>
      <c r="K1389" s="126"/>
      <c r="L1389" s="126"/>
      <c r="M1389" s="104"/>
      <c r="N1389" s="265"/>
      <c r="O1389" s="260"/>
      <c r="P1389" s="106"/>
      <c r="Q1389" s="107"/>
      <c r="R1389" s="244"/>
      <c r="S1389" s="37"/>
      <c r="T1389" s="36" t="str">
        <f t="shared" ca="1" si="110"/>
        <v/>
      </c>
      <c r="U1389" s="37"/>
      <c r="V1389" s="37"/>
      <c r="W1389" s="38"/>
      <c r="X1389" s="39"/>
      <c r="Y1389" s="150"/>
      <c r="Z1389" s="40"/>
      <c r="AA1389" s="136" t="str">
        <f t="shared" ca="1" si="111"/>
        <v/>
      </c>
      <c r="AB1389" s="40"/>
      <c r="AC1389" s="116"/>
      <c r="AD1389" s="116"/>
      <c r="AE1389" s="40"/>
      <c r="AF1389" s="136" t="str">
        <f t="shared" ca="1" si="112"/>
        <v/>
      </c>
      <c r="AG1389" s="127"/>
      <c r="AH1389" s="127"/>
      <c r="AI1389" s="127"/>
      <c r="AJ1389" s="128"/>
      <c r="AK1389" s="128"/>
      <c r="AL1389" s="129"/>
    </row>
    <row r="1390" spans="1:38" ht="23.25" x14ac:dyDescent="0.25">
      <c r="A1390" s="489" t="str">
        <f t="shared" si="109"/>
        <v/>
      </c>
      <c r="B1390" s="490">
        <v>527</v>
      </c>
      <c r="C1390" s="489"/>
      <c r="D1390" s="491"/>
      <c r="E1390" s="124"/>
      <c r="F1390" s="124"/>
      <c r="G1390" s="251"/>
      <c r="H1390" s="443"/>
      <c r="I1390" s="126"/>
      <c r="J1390" s="47"/>
      <c r="K1390" s="126"/>
      <c r="L1390" s="126"/>
      <c r="M1390" s="104"/>
      <c r="N1390" s="265"/>
      <c r="O1390" s="260"/>
      <c r="P1390" s="106"/>
      <c r="Q1390" s="107"/>
      <c r="R1390" s="244"/>
      <c r="S1390" s="37"/>
      <c r="T1390" s="36" t="str">
        <f t="shared" ca="1" si="110"/>
        <v/>
      </c>
      <c r="U1390" s="37"/>
      <c r="V1390" s="37"/>
      <c r="W1390" s="38"/>
      <c r="X1390" s="39"/>
      <c r="Y1390" s="150"/>
      <c r="Z1390" s="40"/>
      <c r="AA1390" s="136" t="str">
        <f t="shared" ca="1" si="111"/>
        <v/>
      </c>
      <c r="AB1390" s="40"/>
      <c r="AC1390" s="116"/>
      <c r="AD1390" s="116"/>
      <c r="AE1390" s="40"/>
      <c r="AF1390" s="136" t="str">
        <f t="shared" ca="1" si="112"/>
        <v/>
      </c>
      <c r="AG1390" s="127"/>
      <c r="AH1390" s="127"/>
      <c r="AI1390" s="127"/>
      <c r="AJ1390" s="128"/>
      <c r="AK1390" s="128"/>
      <c r="AL1390" s="129"/>
    </row>
    <row r="1391" spans="1:38" ht="23.25" x14ac:dyDescent="0.25">
      <c r="A1391" s="489" t="str">
        <f t="shared" si="109"/>
        <v/>
      </c>
      <c r="B1391" s="490">
        <v>528</v>
      </c>
      <c r="C1391" s="489"/>
      <c r="D1391" s="491"/>
      <c r="E1391" s="124"/>
      <c r="F1391" s="124"/>
      <c r="G1391" s="251"/>
      <c r="H1391" s="443"/>
      <c r="I1391" s="126"/>
      <c r="J1391" s="47"/>
      <c r="K1391" s="126"/>
      <c r="L1391" s="126"/>
      <c r="M1391" s="104"/>
      <c r="N1391" s="265"/>
      <c r="O1391" s="260"/>
      <c r="P1391" s="106"/>
      <c r="Q1391" s="107"/>
      <c r="R1391" s="244"/>
      <c r="S1391" s="37"/>
      <c r="T1391" s="36" t="str">
        <f t="shared" ca="1" si="110"/>
        <v/>
      </c>
      <c r="U1391" s="37"/>
      <c r="V1391" s="37"/>
      <c r="W1391" s="38"/>
      <c r="X1391" s="39"/>
      <c r="Y1391" s="150"/>
      <c r="Z1391" s="40"/>
      <c r="AA1391" s="136" t="str">
        <f t="shared" ca="1" si="111"/>
        <v/>
      </c>
      <c r="AB1391" s="40"/>
      <c r="AC1391" s="116"/>
      <c r="AD1391" s="116"/>
      <c r="AE1391" s="40"/>
      <c r="AF1391" s="136" t="str">
        <f t="shared" ca="1" si="112"/>
        <v/>
      </c>
      <c r="AG1391" s="127"/>
      <c r="AH1391" s="127"/>
      <c r="AI1391" s="127"/>
      <c r="AJ1391" s="128"/>
      <c r="AK1391" s="128"/>
      <c r="AL1391" s="129"/>
    </row>
    <row r="1392" spans="1:38" ht="23.25" x14ac:dyDescent="0.25">
      <c r="A1392" s="489" t="str">
        <f t="shared" si="109"/>
        <v/>
      </c>
      <c r="B1392" s="490">
        <v>529</v>
      </c>
      <c r="C1392" s="489"/>
      <c r="D1392" s="491"/>
      <c r="E1392" s="124"/>
      <c r="F1392" s="124"/>
      <c r="G1392" s="251"/>
      <c r="H1392" s="443"/>
      <c r="I1392" s="126"/>
      <c r="J1392" s="47"/>
      <c r="K1392" s="126"/>
      <c r="L1392" s="126"/>
      <c r="M1392" s="104"/>
      <c r="N1392" s="265"/>
      <c r="O1392" s="260"/>
      <c r="P1392" s="106"/>
      <c r="Q1392" s="107"/>
      <c r="R1392" s="244"/>
      <c r="S1392" s="37"/>
      <c r="T1392" s="36" t="str">
        <f t="shared" ca="1" si="110"/>
        <v/>
      </c>
      <c r="U1392" s="37"/>
      <c r="V1392" s="37"/>
      <c r="W1392" s="38"/>
      <c r="X1392" s="39"/>
      <c r="Y1392" s="150"/>
      <c r="Z1392" s="40"/>
      <c r="AA1392" s="136" t="str">
        <f t="shared" ca="1" si="111"/>
        <v/>
      </c>
      <c r="AB1392" s="40"/>
      <c r="AC1392" s="116"/>
      <c r="AD1392" s="116"/>
      <c r="AE1392" s="40"/>
      <c r="AF1392" s="136" t="str">
        <f t="shared" ca="1" si="112"/>
        <v/>
      </c>
      <c r="AG1392" s="127"/>
      <c r="AH1392" s="127"/>
      <c r="AI1392" s="127"/>
      <c r="AJ1392" s="128"/>
      <c r="AK1392" s="128"/>
      <c r="AL1392" s="129"/>
    </row>
    <row r="1393" spans="1:38" ht="23.25" x14ac:dyDescent="0.25">
      <c r="A1393" s="489" t="str">
        <f t="shared" si="109"/>
        <v/>
      </c>
      <c r="B1393" s="490">
        <v>530</v>
      </c>
      <c r="C1393" s="489"/>
      <c r="D1393" s="491"/>
      <c r="E1393" s="124"/>
      <c r="F1393" s="124"/>
      <c r="G1393" s="251"/>
      <c r="H1393" s="443"/>
      <c r="I1393" s="126"/>
      <c r="J1393" s="47"/>
      <c r="K1393" s="126"/>
      <c r="L1393" s="126"/>
      <c r="M1393" s="104"/>
      <c r="N1393" s="265"/>
      <c r="O1393" s="260"/>
      <c r="P1393" s="106"/>
      <c r="Q1393" s="107"/>
      <c r="R1393" s="244"/>
      <c r="S1393" s="37"/>
      <c r="T1393" s="36" t="str">
        <f t="shared" ca="1" si="110"/>
        <v/>
      </c>
      <c r="U1393" s="37"/>
      <c r="V1393" s="37"/>
      <c r="W1393" s="38"/>
      <c r="X1393" s="39"/>
      <c r="Y1393" s="150"/>
      <c r="Z1393" s="40"/>
      <c r="AA1393" s="136" t="str">
        <f t="shared" ca="1" si="111"/>
        <v/>
      </c>
      <c r="AB1393" s="40"/>
      <c r="AC1393" s="116"/>
      <c r="AD1393" s="116"/>
      <c r="AE1393" s="40"/>
      <c r="AF1393" s="136" t="str">
        <f t="shared" ca="1" si="112"/>
        <v/>
      </c>
      <c r="AG1393" s="127"/>
      <c r="AH1393" s="127"/>
      <c r="AI1393" s="127"/>
      <c r="AJ1393" s="128"/>
      <c r="AK1393" s="128"/>
      <c r="AL1393" s="129"/>
    </row>
    <row r="1394" spans="1:38" ht="23.25" x14ac:dyDescent="0.25">
      <c r="A1394" s="489" t="str">
        <f t="shared" si="109"/>
        <v/>
      </c>
      <c r="B1394" s="490">
        <v>531</v>
      </c>
      <c r="C1394" s="489"/>
      <c r="D1394" s="491"/>
      <c r="E1394" s="124"/>
      <c r="F1394" s="124"/>
      <c r="G1394" s="251"/>
      <c r="H1394" s="443"/>
      <c r="I1394" s="126"/>
      <c r="J1394" s="47"/>
      <c r="K1394" s="126"/>
      <c r="L1394" s="126"/>
      <c r="M1394" s="104"/>
      <c r="N1394" s="265"/>
      <c r="O1394" s="260"/>
      <c r="P1394" s="106"/>
      <c r="Q1394" s="107"/>
      <c r="R1394" s="244"/>
      <c r="S1394" s="37"/>
      <c r="T1394" s="36" t="str">
        <f t="shared" ca="1" si="110"/>
        <v/>
      </c>
      <c r="U1394" s="37"/>
      <c r="V1394" s="37"/>
      <c r="W1394" s="38"/>
      <c r="X1394" s="39"/>
      <c r="Y1394" s="150"/>
      <c r="Z1394" s="40"/>
      <c r="AA1394" s="136" t="str">
        <f t="shared" ca="1" si="111"/>
        <v/>
      </c>
      <c r="AB1394" s="40"/>
      <c r="AC1394" s="116"/>
      <c r="AD1394" s="116"/>
      <c r="AE1394" s="40"/>
      <c r="AF1394" s="136" t="str">
        <f t="shared" ca="1" si="112"/>
        <v/>
      </c>
      <c r="AG1394" s="127"/>
      <c r="AH1394" s="127"/>
      <c r="AI1394" s="127"/>
      <c r="AJ1394" s="128"/>
      <c r="AK1394" s="128"/>
      <c r="AL1394" s="129"/>
    </row>
    <row r="1395" spans="1:38" ht="23.25" x14ac:dyDescent="0.25">
      <c r="A1395" s="489" t="str">
        <f t="shared" si="109"/>
        <v/>
      </c>
      <c r="B1395" s="490">
        <v>532</v>
      </c>
      <c r="C1395" s="489"/>
      <c r="D1395" s="491"/>
      <c r="E1395" s="124"/>
      <c r="F1395" s="124"/>
      <c r="G1395" s="251"/>
      <c r="H1395" s="443"/>
      <c r="I1395" s="126"/>
      <c r="J1395" s="47"/>
      <c r="K1395" s="126"/>
      <c r="L1395" s="126"/>
      <c r="M1395" s="104"/>
      <c r="N1395" s="265"/>
      <c r="O1395" s="260"/>
      <c r="P1395" s="106"/>
      <c r="Q1395" s="107"/>
      <c r="R1395" s="244"/>
      <c r="S1395" s="37"/>
      <c r="T1395" s="36" t="str">
        <f t="shared" ca="1" si="110"/>
        <v/>
      </c>
      <c r="U1395" s="37"/>
      <c r="V1395" s="37"/>
      <c r="W1395" s="38"/>
      <c r="X1395" s="39"/>
      <c r="Y1395" s="150"/>
      <c r="Z1395" s="40"/>
      <c r="AA1395" s="136" t="str">
        <f t="shared" ca="1" si="111"/>
        <v/>
      </c>
      <c r="AB1395" s="40"/>
      <c r="AC1395" s="116"/>
      <c r="AD1395" s="116"/>
      <c r="AE1395" s="40"/>
      <c r="AF1395" s="136" t="str">
        <f t="shared" ca="1" si="112"/>
        <v/>
      </c>
      <c r="AG1395" s="127"/>
      <c r="AH1395" s="127"/>
      <c r="AI1395" s="127"/>
      <c r="AJ1395" s="128"/>
      <c r="AK1395" s="128"/>
      <c r="AL1395" s="129"/>
    </row>
    <row r="1396" spans="1:38" ht="23.25" x14ac:dyDescent="0.25">
      <c r="A1396" s="489" t="str">
        <f t="shared" si="109"/>
        <v/>
      </c>
      <c r="B1396" s="490">
        <v>533</v>
      </c>
      <c r="C1396" s="489"/>
      <c r="D1396" s="491"/>
      <c r="E1396" s="124"/>
      <c r="F1396" s="124"/>
      <c r="G1396" s="251"/>
      <c r="H1396" s="443"/>
      <c r="I1396" s="126"/>
      <c r="J1396" s="47"/>
      <c r="K1396" s="126"/>
      <c r="L1396" s="126"/>
      <c r="M1396" s="104"/>
      <c r="N1396" s="265"/>
      <c r="O1396" s="260"/>
      <c r="P1396" s="106"/>
      <c r="Q1396" s="107"/>
      <c r="R1396" s="244"/>
      <c r="S1396" s="37"/>
      <c r="T1396" s="36" t="str">
        <f t="shared" ca="1" si="110"/>
        <v/>
      </c>
      <c r="U1396" s="37"/>
      <c r="V1396" s="37"/>
      <c r="W1396" s="38"/>
      <c r="X1396" s="39"/>
      <c r="Y1396" s="150"/>
      <c r="Z1396" s="40"/>
      <c r="AA1396" s="136" t="str">
        <f t="shared" ca="1" si="111"/>
        <v/>
      </c>
      <c r="AB1396" s="40"/>
      <c r="AC1396" s="116"/>
      <c r="AD1396" s="116"/>
      <c r="AE1396" s="40"/>
      <c r="AF1396" s="136" t="str">
        <f t="shared" ca="1" si="112"/>
        <v/>
      </c>
      <c r="AG1396" s="127"/>
      <c r="AH1396" s="127"/>
      <c r="AI1396" s="127"/>
      <c r="AJ1396" s="128"/>
      <c r="AK1396" s="128"/>
      <c r="AL1396" s="129"/>
    </row>
    <row r="1397" spans="1:38" ht="23.25" x14ac:dyDescent="0.25">
      <c r="A1397" s="489" t="str">
        <f t="shared" si="109"/>
        <v/>
      </c>
      <c r="B1397" s="490">
        <v>534</v>
      </c>
      <c r="C1397" s="489"/>
      <c r="D1397" s="491"/>
      <c r="E1397" s="124"/>
      <c r="F1397" s="124"/>
      <c r="G1397" s="251"/>
      <c r="H1397" s="443"/>
      <c r="I1397" s="126"/>
      <c r="J1397" s="47"/>
      <c r="K1397" s="126"/>
      <c r="L1397" s="126"/>
      <c r="M1397" s="104"/>
      <c r="N1397" s="265"/>
      <c r="O1397" s="260"/>
      <c r="P1397" s="106"/>
      <c r="Q1397" s="107"/>
      <c r="R1397" s="244"/>
      <c r="S1397" s="37"/>
      <c r="T1397" s="36" t="str">
        <f t="shared" ca="1" si="110"/>
        <v/>
      </c>
      <c r="U1397" s="37"/>
      <c r="V1397" s="37"/>
      <c r="W1397" s="38"/>
      <c r="X1397" s="39"/>
      <c r="Y1397" s="150"/>
      <c r="Z1397" s="40"/>
      <c r="AA1397" s="136" t="str">
        <f t="shared" ca="1" si="111"/>
        <v/>
      </c>
      <c r="AB1397" s="40"/>
      <c r="AC1397" s="116"/>
      <c r="AD1397" s="116"/>
      <c r="AE1397" s="40"/>
      <c r="AF1397" s="136" t="str">
        <f t="shared" ca="1" si="112"/>
        <v/>
      </c>
      <c r="AG1397" s="127"/>
      <c r="AH1397" s="127"/>
      <c r="AI1397" s="127"/>
      <c r="AJ1397" s="128"/>
      <c r="AK1397" s="128"/>
      <c r="AL1397" s="129"/>
    </row>
    <row r="1398" spans="1:38" ht="23.25" x14ac:dyDescent="0.25">
      <c r="A1398" s="489" t="str">
        <f t="shared" si="109"/>
        <v/>
      </c>
      <c r="B1398" s="490">
        <v>535</v>
      </c>
      <c r="C1398" s="489"/>
      <c r="D1398" s="491"/>
      <c r="E1398" s="124"/>
      <c r="F1398" s="124"/>
      <c r="G1398" s="251"/>
      <c r="H1398" s="443"/>
      <c r="I1398" s="126"/>
      <c r="J1398" s="47"/>
      <c r="K1398" s="126"/>
      <c r="L1398" s="126"/>
      <c r="M1398" s="104"/>
      <c r="N1398" s="265"/>
      <c r="O1398" s="260"/>
      <c r="P1398" s="106"/>
      <c r="Q1398" s="107"/>
      <c r="R1398" s="244"/>
      <c r="S1398" s="37"/>
      <c r="T1398" s="36" t="str">
        <f t="shared" ca="1" si="110"/>
        <v/>
      </c>
      <c r="U1398" s="37"/>
      <c r="V1398" s="37"/>
      <c r="W1398" s="38"/>
      <c r="X1398" s="39"/>
      <c r="Y1398" s="150"/>
      <c r="Z1398" s="40"/>
      <c r="AA1398" s="136" t="str">
        <f t="shared" ca="1" si="111"/>
        <v/>
      </c>
      <c r="AB1398" s="40"/>
      <c r="AC1398" s="116"/>
      <c r="AD1398" s="116"/>
      <c r="AE1398" s="40"/>
      <c r="AF1398" s="136" t="str">
        <f t="shared" ca="1" si="112"/>
        <v/>
      </c>
      <c r="AG1398" s="127"/>
      <c r="AH1398" s="127"/>
      <c r="AI1398" s="127"/>
      <c r="AJ1398" s="128"/>
      <c r="AK1398" s="128"/>
      <c r="AL1398" s="129"/>
    </row>
    <row r="1399" spans="1:38" ht="23.25" x14ac:dyDescent="0.25">
      <c r="A1399" s="489" t="str">
        <f t="shared" si="109"/>
        <v/>
      </c>
      <c r="B1399" s="490">
        <v>536</v>
      </c>
      <c r="C1399" s="489"/>
      <c r="D1399" s="491"/>
      <c r="E1399" s="124"/>
      <c r="F1399" s="124"/>
      <c r="G1399" s="251"/>
      <c r="H1399" s="443"/>
      <c r="I1399" s="126"/>
      <c r="J1399" s="47"/>
      <c r="K1399" s="126"/>
      <c r="L1399" s="126"/>
      <c r="M1399" s="104"/>
      <c r="N1399" s="265"/>
      <c r="O1399" s="260"/>
      <c r="P1399" s="106"/>
      <c r="Q1399" s="107"/>
      <c r="R1399" s="244"/>
      <c r="S1399" s="37"/>
      <c r="T1399" s="36" t="str">
        <f t="shared" ca="1" si="110"/>
        <v/>
      </c>
      <c r="U1399" s="37"/>
      <c r="V1399" s="37"/>
      <c r="W1399" s="38"/>
      <c r="X1399" s="39"/>
      <c r="Y1399" s="150"/>
      <c r="Z1399" s="40"/>
      <c r="AA1399" s="136" t="str">
        <f t="shared" ca="1" si="111"/>
        <v/>
      </c>
      <c r="AB1399" s="40"/>
      <c r="AC1399" s="116"/>
      <c r="AD1399" s="116"/>
      <c r="AE1399" s="40"/>
      <c r="AF1399" s="136" t="str">
        <f t="shared" ca="1" si="112"/>
        <v/>
      </c>
      <c r="AG1399" s="127"/>
      <c r="AH1399" s="127"/>
      <c r="AI1399" s="127"/>
      <c r="AJ1399" s="128"/>
      <c r="AK1399" s="128"/>
      <c r="AL1399" s="129"/>
    </row>
    <row r="1400" spans="1:38" ht="23.25" x14ac:dyDescent="0.25">
      <c r="A1400" s="489" t="str">
        <f t="shared" si="109"/>
        <v/>
      </c>
      <c r="B1400" s="490">
        <v>537</v>
      </c>
      <c r="C1400" s="489"/>
      <c r="D1400" s="491"/>
      <c r="E1400" s="124"/>
      <c r="F1400" s="124"/>
      <c r="G1400" s="251"/>
      <c r="H1400" s="443"/>
      <c r="I1400" s="126"/>
      <c r="J1400" s="47"/>
      <c r="K1400" s="126"/>
      <c r="L1400" s="126"/>
      <c r="M1400" s="104"/>
      <c r="N1400" s="265"/>
      <c r="O1400" s="260"/>
      <c r="P1400" s="106"/>
      <c r="Q1400" s="107"/>
      <c r="R1400" s="244"/>
      <c r="S1400" s="37"/>
      <c r="T1400" s="36" t="str">
        <f t="shared" ca="1" si="110"/>
        <v/>
      </c>
      <c r="U1400" s="37"/>
      <c r="V1400" s="37"/>
      <c r="W1400" s="38"/>
      <c r="X1400" s="39"/>
      <c r="Y1400" s="150"/>
      <c r="Z1400" s="40"/>
      <c r="AA1400" s="136" t="str">
        <f t="shared" ca="1" si="111"/>
        <v/>
      </c>
      <c r="AB1400" s="40"/>
      <c r="AC1400" s="116"/>
      <c r="AD1400" s="116"/>
      <c r="AE1400" s="40"/>
      <c r="AF1400" s="136" t="str">
        <f t="shared" ca="1" si="112"/>
        <v/>
      </c>
      <c r="AG1400" s="127"/>
      <c r="AH1400" s="127"/>
      <c r="AI1400" s="127"/>
      <c r="AJ1400" s="128"/>
      <c r="AK1400" s="128"/>
      <c r="AL1400" s="129"/>
    </row>
    <row r="1401" spans="1:38" ht="23.25" x14ac:dyDescent="0.25">
      <c r="A1401" s="489" t="str">
        <f t="shared" si="109"/>
        <v/>
      </c>
      <c r="B1401" s="490">
        <v>538</v>
      </c>
      <c r="C1401" s="489"/>
      <c r="D1401" s="491"/>
      <c r="E1401" s="124"/>
      <c r="F1401" s="124"/>
      <c r="G1401" s="251"/>
      <c r="H1401" s="443"/>
      <c r="I1401" s="126"/>
      <c r="J1401" s="47"/>
      <c r="K1401" s="126"/>
      <c r="L1401" s="126"/>
      <c r="M1401" s="104"/>
      <c r="N1401" s="265"/>
      <c r="O1401" s="260"/>
      <c r="P1401" s="106"/>
      <c r="Q1401" s="107"/>
      <c r="R1401" s="244"/>
      <c r="S1401" s="37"/>
      <c r="T1401" s="36" t="str">
        <f t="shared" ca="1" si="110"/>
        <v/>
      </c>
      <c r="U1401" s="37"/>
      <c r="V1401" s="37"/>
      <c r="W1401" s="38"/>
      <c r="X1401" s="39"/>
      <c r="Y1401" s="150"/>
      <c r="Z1401" s="40"/>
      <c r="AA1401" s="136" t="str">
        <f t="shared" ca="1" si="111"/>
        <v/>
      </c>
      <c r="AB1401" s="40"/>
      <c r="AC1401" s="116"/>
      <c r="AD1401" s="116"/>
      <c r="AE1401" s="40"/>
      <c r="AF1401" s="136" t="str">
        <f t="shared" ca="1" si="112"/>
        <v/>
      </c>
      <c r="AG1401" s="127"/>
      <c r="AH1401" s="127"/>
      <c r="AI1401" s="127"/>
      <c r="AJ1401" s="128"/>
      <c r="AK1401" s="128"/>
      <c r="AL1401" s="129"/>
    </row>
    <row r="1402" spans="1:38" ht="23.25" x14ac:dyDescent="0.25">
      <c r="A1402" s="489" t="str">
        <f t="shared" si="109"/>
        <v/>
      </c>
      <c r="B1402" s="490">
        <v>539</v>
      </c>
      <c r="C1402" s="489"/>
      <c r="D1402" s="491"/>
      <c r="E1402" s="124"/>
      <c r="F1402" s="124"/>
      <c r="G1402" s="251"/>
      <c r="H1402" s="443"/>
      <c r="I1402" s="126"/>
      <c r="J1402" s="47"/>
      <c r="K1402" s="126"/>
      <c r="L1402" s="126"/>
      <c r="M1402" s="104"/>
      <c r="N1402" s="265"/>
      <c r="O1402" s="260"/>
      <c r="P1402" s="106"/>
      <c r="Q1402" s="107"/>
      <c r="R1402" s="244"/>
      <c r="S1402" s="37"/>
      <c r="T1402" s="36" t="str">
        <f t="shared" ca="1" si="110"/>
        <v/>
      </c>
      <c r="U1402" s="37"/>
      <c r="V1402" s="37"/>
      <c r="W1402" s="38"/>
      <c r="X1402" s="39"/>
      <c r="Y1402" s="150"/>
      <c r="Z1402" s="40"/>
      <c r="AA1402" s="136" t="str">
        <f t="shared" ca="1" si="111"/>
        <v/>
      </c>
      <c r="AB1402" s="40"/>
      <c r="AC1402" s="116"/>
      <c r="AD1402" s="116"/>
      <c r="AE1402" s="40"/>
      <c r="AF1402" s="136" t="str">
        <f t="shared" ca="1" si="112"/>
        <v/>
      </c>
      <c r="AG1402" s="127"/>
      <c r="AH1402" s="127"/>
      <c r="AI1402" s="127"/>
      <c r="AJ1402" s="128"/>
      <c r="AK1402" s="128"/>
      <c r="AL1402" s="129"/>
    </row>
    <row r="1403" spans="1:38" ht="23.25" x14ac:dyDescent="0.25">
      <c r="A1403" s="489" t="str">
        <f t="shared" si="109"/>
        <v/>
      </c>
      <c r="B1403" s="490">
        <v>540</v>
      </c>
      <c r="C1403" s="489"/>
      <c r="D1403" s="491"/>
      <c r="E1403" s="124"/>
      <c r="F1403" s="124"/>
      <c r="G1403" s="251"/>
      <c r="H1403" s="443"/>
      <c r="I1403" s="126"/>
      <c r="J1403" s="47"/>
      <c r="K1403" s="126"/>
      <c r="L1403" s="126"/>
      <c r="M1403" s="104"/>
      <c r="N1403" s="265"/>
      <c r="O1403" s="260"/>
      <c r="P1403" s="106"/>
      <c r="Q1403" s="107"/>
      <c r="R1403" s="244"/>
      <c r="S1403" s="37"/>
      <c r="T1403" s="36" t="str">
        <f t="shared" ca="1" si="110"/>
        <v/>
      </c>
      <c r="U1403" s="37"/>
      <c r="V1403" s="37"/>
      <c r="W1403" s="38"/>
      <c r="X1403" s="39"/>
      <c r="Y1403" s="150"/>
      <c r="Z1403" s="40"/>
      <c r="AA1403" s="136" t="str">
        <f t="shared" ca="1" si="111"/>
        <v/>
      </c>
      <c r="AB1403" s="40"/>
      <c r="AC1403" s="116"/>
      <c r="AD1403" s="116"/>
      <c r="AE1403" s="40"/>
      <c r="AF1403" s="136" t="str">
        <f t="shared" ca="1" si="112"/>
        <v/>
      </c>
      <c r="AG1403" s="127"/>
      <c r="AH1403" s="127"/>
      <c r="AI1403" s="127"/>
      <c r="AJ1403" s="128"/>
      <c r="AK1403" s="128"/>
      <c r="AL1403" s="129"/>
    </row>
    <row r="1404" spans="1:38" ht="23.25" x14ac:dyDescent="0.25">
      <c r="A1404" s="489" t="str">
        <f t="shared" si="109"/>
        <v/>
      </c>
      <c r="B1404" s="490">
        <v>541</v>
      </c>
      <c r="C1404" s="489"/>
      <c r="D1404" s="491"/>
      <c r="E1404" s="124"/>
      <c r="F1404" s="124"/>
      <c r="G1404" s="251"/>
      <c r="H1404" s="443"/>
      <c r="I1404" s="126"/>
      <c r="J1404" s="47"/>
      <c r="K1404" s="126"/>
      <c r="L1404" s="126"/>
      <c r="M1404" s="104"/>
      <c r="N1404" s="265"/>
      <c r="O1404" s="260"/>
      <c r="P1404" s="106"/>
      <c r="Q1404" s="107"/>
      <c r="R1404" s="244"/>
      <c r="S1404" s="37"/>
      <c r="T1404" s="36" t="str">
        <f t="shared" ca="1" si="110"/>
        <v/>
      </c>
      <c r="U1404" s="37"/>
      <c r="V1404" s="37"/>
      <c r="W1404" s="38"/>
      <c r="X1404" s="39"/>
      <c r="Y1404" s="150"/>
      <c r="Z1404" s="40"/>
      <c r="AA1404" s="136" t="str">
        <f t="shared" ca="1" si="111"/>
        <v/>
      </c>
      <c r="AB1404" s="40"/>
      <c r="AC1404" s="116"/>
      <c r="AD1404" s="116"/>
      <c r="AE1404" s="40"/>
      <c r="AF1404" s="136" t="str">
        <f t="shared" ca="1" si="112"/>
        <v/>
      </c>
      <c r="AG1404" s="127"/>
      <c r="AH1404" s="127"/>
      <c r="AI1404" s="127"/>
      <c r="AJ1404" s="128"/>
      <c r="AK1404" s="128"/>
      <c r="AL1404" s="129"/>
    </row>
    <row r="1405" spans="1:38" ht="23.25" x14ac:dyDescent="0.25">
      <c r="A1405" s="489" t="str">
        <f t="shared" si="109"/>
        <v/>
      </c>
      <c r="B1405" s="490">
        <v>542</v>
      </c>
      <c r="C1405" s="489"/>
      <c r="D1405" s="491"/>
      <c r="E1405" s="124"/>
      <c r="F1405" s="124"/>
      <c r="G1405" s="251"/>
      <c r="H1405" s="443"/>
      <c r="I1405" s="126"/>
      <c r="J1405" s="47"/>
      <c r="K1405" s="126"/>
      <c r="L1405" s="126"/>
      <c r="M1405" s="104"/>
      <c r="N1405" s="265"/>
      <c r="O1405" s="260"/>
      <c r="P1405" s="106"/>
      <c r="Q1405" s="107"/>
      <c r="R1405" s="244"/>
      <c r="S1405" s="37"/>
      <c r="T1405" s="36" t="str">
        <f t="shared" ca="1" si="110"/>
        <v/>
      </c>
      <c r="U1405" s="37"/>
      <c r="V1405" s="37"/>
      <c r="W1405" s="38"/>
      <c r="X1405" s="39"/>
      <c r="Y1405" s="150"/>
      <c r="Z1405" s="40"/>
      <c r="AA1405" s="136" t="str">
        <f t="shared" ca="1" si="111"/>
        <v/>
      </c>
      <c r="AB1405" s="40"/>
      <c r="AC1405" s="116"/>
      <c r="AD1405" s="116"/>
      <c r="AE1405" s="40"/>
      <c r="AF1405" s="136" t="str">
        <f t="shared" ca="1" si="112"/>
        <v/>
      </c>
      <c r="AG1405" s="127"/>
      <c r="AH1405" s="127"/>
      <c r="AI1405" s="127"/>
      <c r="AJ1405" s="128"/>
      <c r="AK1405" s="128"/>
      <c r="AL1405" s="129"/>
    </row>
    <row r="1406" spans="1:38" ht="23.25" x14ac:dyDescent="0.25">
      <c r="A1406" s="489" t="str">
        <f t="shared" si="109"/>
        <v/>
      </c>
      <c r="B1406" s="490">
        <v>543</v>
      </c>
      <c r="C1406" s="489"/>
      <c r="D1406" s="491"/>
      <c r="E1406" s="124"/>
      <c r="F1406" s="124"/>
      <c r="G1406" s="251"/>
      <c r="H1406" s="443"/>
      <c r="I1406" s="126"/>
      <c r="J1406" s="47"/>
      <c r="K1406" s="126"/>
      <c r="L1406" s="126"/>
      <c r="M1406" s="104"/>
      <c r="N1406" s="265"/>
      <c r="O1406" s="260"/>
      <c r="P1406" s="106"/>
      <c r="Q1406" s="107"/>
      <c r="R1406" s="244"/>
      <c r="S1406" s="37"/>
      <c r="T1406" s="36" t="str">
        <f t="shared" ca="1" si="110"/>
        <v/>
      </c>
      <c r="U1406" s="37"/>
      <c r="V1406" s="37"/>
      <c r="W1406" s="38"/>
      <c r="X1406" s="39"/>
      <c r="Y1406" s="150"/>
      <c r="Z1406" s="40"/>
      <c r="AA1406" s="136" t="str">
        <f t="shared" ca="1" si="111"/>
        <v/>
      </c>
      <c r="AB1406" s="40"/>
      <c r="AC1406" s="116"/>
      <c r="AD1406" s="116"/>
      <c r="AE1406" s="40"/>
      <c r="AF1406" s="136" t="str">
        <f t="shared" ca="1" si="112"/>
        <v/>
      </c>
      <c r="AG1406" s="127"/>
      <c r="AH1406" s="127"/>
      <c r="AI1406" s="127"/>
      <c r="AJ1406" s="128"/>
      <c r="AK1406" s="128"/>
      <c r="AL1406" s="129"/>
    </row>
    <row r="1407" spans="1:38" ht="23.25" x14ac:dyDescent="0.25">
      <c r="A1407" s="489" t="str">
        <f t="shared" si="109"/>
        <v/>
      </c>
      <c r="B1407" s="490">
        <v>544</v>
      </c>
      <c r="C1407" s="489"/>
      <c r="D1407" s="491"/>
      <c r="E1407" s="124"/>
      <c r="F1407" s="124"/>
      <c r="G1407" s="251"/>
      <c r="H1407" s="443"/>
      <c r="I1407" s="126"/>
      <c r="J1407" s="47"/>
      <c r="K1407" s="126"/>
      <c r="L1407" s="126"/>
      <c r="M1407" s="104"/>
      <c r="N1407" s="265"/>
      <c r="O1407" s="260"/>
      <c r="P1407" s="106"/>
      <c r="Q1407" s="107"/>
      <c r="R1407" s="244"/>
      <c r="S1407" s="37"/>
      <c r="T1407" s="36" t="str">
        <f t="shared" ca="1" si="110"/>
        <v/>
      </c>
      <c r="U1407" s="37"/>
      <c r="V1407" s="37"/>
      <c r="W1407" s="38"/>
      <c r="X1407" s="39"/>
      <c r="Y1407" s="150"/>
      <c r="Z1407" s="40"/>
      <c r="AA1407" s="136" t="str">
        <f t="shared" ca="1" si="111"/>
        <v/>
      </c>
      <c r="AB1407" s="40"/>
      <c r="AC1407" s="116"/>
      <c r="AD1407" s="116"/>
      <c r="AE1407" s="40"/>
      <c r="AF1407" s="136" t="str">
        <f t="shared" ca="1" si="112"/>
        <v/>
      </c>
      <c r="AG1407" s="127"/>
      <c r="AH1407" s="127"/>
      <c r="AI1407" s="127"/>
      <c r="AJ1407" s="128"/>
      <c r="AK1407" s="128"/>
      <c r="AL1407" s="129"/>
    </row>
    <row r="1408" spans="1:38" ht="23.25" x14ac:dyDescent="0.25">
      <c r="A1408" s="489" t="str">
        <f t="shared" si="109"/>
        <v/>
      </c>
      <c r="B1408" s="490">
        <v>545</v>
      </c>
      <c r="C1408" s="489"/>
      <c r="D1408" s="491"/>
      <c r="E1408" s="124"/>
      <c r="F1408" s="124"/>
      <c r="G1408" s="251"/>
      <c r="H1408" s="443"/>
      <c r="I1408" s="126"/>
      <c r="J1408" s="47"/>
      <c r="K1408" s="126"/>
      <c r="L1408" s="126"/>
      <c r="M1408" s="104"/>
      <c r="N1408" s="265"/>
      <c r="O1408" s="260"/>
      <c r="P1408" s="106"/>
      <c r="Q1408" s="107"/>
      <c r="R1408" s="244"/>
      <c r="S1408" s="37"/>
      <c r="T1408" s="36" t="str">
        <f t="shared" ca="1" si="110"/>
        <v/>
      </c>
      <c r="U1408" s="37"/>
      <c r="V1408" s="37"/>
      <c r="W1408" s="38"/>
      <c r="X1408" s="39"/>
      <c r="Y1408" s="150"/>
      <c r="Z1408" s="40"/>
      <c r="AA1408" s="136" t="str">
        <f t="shared" ca="1" si="111"/>
        <v/>
      </c>
      <c r="AB1408" s="40"/>
      <c r="AC1408" s="116"/>
      <c r="AD1408" s="116"/>
      <c r="AE1408" s="40"/>
      <c r="AF1408" s="136" t="str">
        <f t="shared" ca="1" si="112"/>
        <v/>
      </c>
      <c r="AG1408" s="127"/>
      <c r="AH1408" s="127"/>
      <c r="AI1408" s="127"/>
      <c r="AJ1408" s="128"/>
      <c r="AK1408" s="128"/>
      <c r="AL1408" s="129"/>
    </row>
    <row r="1409" spans="1:38" ht="23.25" x14ac:dyDescent="0.25">
      <c r="A1409" s="489" t="str">
        <f t="shared" si="109"/>
        <v/>
      </c>
      <c r="B1409" s="490">
        <v>546</v>
      </c>
      <c r="C1409" s="489"/>
      <c r="D1409" s="491"/>
      <c r="E1409" s="124"/>
      <c r="F1409" s="124"/>
      <c r="G1409" s="251"/>
      <c r="H1409" s="443"/>
      <c r="I1409" s="126"/>
      <c r="J1409" s="47"/>
      <c r="K1409" s="126"/>
      <c r="L1409" s="126"/>
      <c r="M1409" s="104"/>
      <c r="N1409" s="265"/>
      <c r="O1409" s="260"/>
      <c r="P1409" s="106"/>
      <c r="Q1409" s="107"/>
      <c r="R1409" s="244"/>
      <c r="S1409" s="37"/>
      <c r="T1409" s="36" t="str">
        <f t="shared" ca="1" si="110"/>
        <v/>
      </c>
      <c r="U1409" s="37"/>
      <c r="V1409" s="37"/>
      <c r="W1409" s="38"/>
      <c r="X1409" s="39"/>
      <c r="Y1409" s="150"/>
      <c r="Z1409" s="40"/>
      <c r="AA1409" s="136" t="str">
        <f t="shared" ca="1" si="111"/>
        <v/>
      </c>
      <c r="AB1409" s="40"/>
      <c r="AC1409" s="116"/>
      <c r="AD1409" s="116"/>
      <c r="AE1409" s="40"/>
      <c r="AF1409" s="136" t="str">
        <f t="shared" ca="1" si="112"/>
        <v/>
      </c>
      <c r="AG1409" s="127"/>
      <c r="AH1409" s="127"/>
      <c r="AI1409" s="127"/>
      <c r="AJ1409" s="128"/>
      <c r="AK1409" s="128"/>
      <c r="AL1409" s="129"/>
    </row>
    <row r="1410" spans="1:38" ht="23.25" x14ac:dyDescent="0.25">
      <c r="A1410" s="489" t="str">
        <f t="shared" si="109"/>
        <v/>
      </c>
      <c r="B1410" s="490">
        <v>547</v>
      </c>
      <c r="C1410" s="489"/>
      <c r="D1410" s="491"/>
      <c r="E1410" s="124"/>
      <c r="F1410" s="124"/>
      <c r="G1410" s="251"/>
      <c r="H1410" s="443"/>
      <c r="I1410" s="126"/>
      <c r="J1410" s="47"/>
      <c r="K1410" s="126"/>
      <c r="L1410" s="126"/>
      <c r="M1410" s="104"/>
      <c r="N1410" s="265"/>
      <c r="O1410" s="260"/>
      <c r="P1410" s="106"/>
      <c r="Q1410" s="107"/>
      <c r="R1410" s="244"/>
      <c r="S1410" s="37"/>
      <c r="T1410" s="36" t="str">
        <f t="shared" ca="1" si="110"/>
        <v/>
      </c>
      <c r="U1410" s="37"/>
      <c r="V1410" s="37"/>
      <c r="W1410" s="38"/>
      <c r="X1410" s="39"/>
      <c r="Y1410" s="150"/>
      <c r="Z1410" s="40"/>
      <c r="AA1410" s="136" t="str">
        <f t="shared" ca="1" si="111"/>
        <v/>
      </c>
      <c r="AB1410" s="40"/>
      <c r="AC1410" s="116"/>
      <c r="AD1410" s="116"/>
      <c r="AE1410" s="40"/>
      <c r="AF1410" s="136" t="str">
        <f t="shared" ca="1" si="112"/>
        <v/>
      </c>
      <c r="AG1410" s="127"/>
      <c r="AH1410" s="127"/>
      <c r="AI1410" s="127"/>
      <c r="AJ1410" s="128"/>
      <c r="AK1410" s="128"/>
      <c r="AL1410" s="129"/>
    </row>
    <row r="1411" spans="1:38" ht="23.25" x14ac:dyDescent="0.25">
      <c r="A1411" s="489" t="str">
        <f t="shared" si="109"/>
        <v/>
      </c>
      <c r="B1411" s="490">
        <v>548</v>
      </c>
      <c r="C1411" s="489"/>
      <c r="D1411" s="491"/>
      <c r="E1411" s="124"/>
      <c r="F1411" s="124"/>
      <c r="G1411" s="251"/>
      <c r="H1411" s="443"/>
      <c r="I1411" s="126"/>
      <c r="J1411" s="47"/>
      <c r="K1411" s="126"/>
      <c r="L1411" s="126"/>
      <c r="M1411" s="104"/>
      <c r="N1411" s="265"/>
      <c r="O1411" s="260"/>
      <c r="P1411" s="106"/>
      <c r="Q1411" s="107"/>
      <c r="R1411" s="244"/>
      <c r="S1411" s="37"/>
      <c r="T1411" s="36" t="str">
        <f t="shared" ca="1" si="110"/>
        <v/>
      </c>
      <c r="U1411" s="37"/>
      <c r="V1411" s="37"/>
      <c r="W1411" s="38"/>
      <c r="X1411" s="39"/>
      <c r="Y1411" s="150"/>
      <c r="Z1411" s="40"/>
      <c r="AA1411" s="136" t="str">
        <f t="shared" ca="1" si="111"/>
        <v/>
      </c>
      <c r="AB1411" s="40"/>
      <c r="AC1411" s="116"/>
      <c r="AD1411" s="116"/>
      <c r="AE1411" s="40"/>
      <c r="AF1411" s="136" t="str">
        <f t="shared" ca="1" si="112"/>
        <v/>
      </c>
      <c r="AG1411" s="127"/>
      <c r="AH1411" s="127"/>
      <c r="AI1411" s="127"/>
      <c r="AJ1411" s="128"/>
      <c r="AK1411" s="128"/>
      <c r="AL1411" s="129"/>
    </row>
    <row r="1412" spans="1:38" ht="23.25" x14ac:dyDescent="0.25">
      <c r="A1412" s="489" t="str">
        <f t="shared" ref="A1412:A1422" si="113">IF(C1412="","",CONCATENATE(18,MID(C1412,1,3),IF(B1412&lt;10,"00",),B1412))</f>
        <v/>
      </c>
      <c r="B1412" s="490">
        <v>549</v>
      </c>
      <c r="C1412" s="489"/>
      <c r="D1412" s="491"/>
      <c r="E1412" s="124"/>
      <c r="F1412" s="124"/>
      <c r="G1412" s="251"/>
      <c r="H1412" s="443"/>
      <c r="I1412" s="126"/>
      <c r="J1412" s="47"/>
      <c r="K1412" s="126"/>
      <c r="L1412" s="126"/>
      <c r="M1412" s="104"/>
      <c r="N1412" s="265"/>
      <c r="O1412" s="260"/>
      <c r="P1412" s="106"/>
      <c r="Q1412" s="107"/>
      <c r="R1412" s="244"/>
      <c r="S1412" s="37"/>
      <c r="T1412" s="36" t="str">
        <f t="shared" ca="1" si="110"/>
        <v/>
      </c>
      <c r="U1412" s="37"/>
      <c r="V1412" s="37"/>
      <c r="W1412" s="38"/>
      <c r="X1412" s="39"/>
      <c r="Y1412" s="150"/>
      <c r="Z1412" s="40"/>
      <c r="AA1412" s="136" t="str">
        <f t="shared" ca="1" si="111"/>
        <v/>
      </c>
      <c r="AB1412" s="40"/>
      <c r="AC1412" s="116"/>
      <c r="AD1412" s="116"/>
      <c r="AE1412" s="40"/>
      <c r="AF1412" s="136" t="str">
        <f t="shared" ca="1" si="112"/>
        <v/>
      </c>
      <c r="AG1412" s="127"/>
      <c r="AH1412" s="127"/>
      <c r="AI1412" s="127"/>
      <c r="AJ1412" s="128"/>
      <c r="AK1412" s="128"/>
      <c r="AL1412" s="129"/>
    </row>
    <row r="1413" spans="1:38" ht="23.25" x14ac:dyDescent="0.25">
      <c r="A1413" s="489" t="str">
        <f t="shared" si="113"/>
        <v/>
      </c>
      <c r="B1413" s="490">
        <v>550</v>
      </c>
      <c r="C1413" s="489"/>
      <c r="D1413" s="491"/>
      <c r="E1413" s="124"/>
      <c r="F1413" s="124"/>
      <c r="G1413" s="251"/>
      <c r="H1413" s="443"/>
      <c r="I1413" s="126"/>
      <c r="J1413" s="47"/>
      <c r="K1413" s="126"/>
      <c r="L1413" s="126"/>
      <c r="M1413" s="104"/>
      <c r="N1413" s="265"/>
      <c r="O1413" s="260"/>
      <c r="P1413" s="106"/>
      <c r="Q1413" s="107"/>
      <c r="R1413" s="244"/>
      <c r="S1413" s="37"/>
      <c r="T1413" s="36" t="str">
        <f t="shared" ca="1" si="110"/>
        <v/>
      </c>
      <c r="U1413" s="37"/>
      <c r="V1413" s="37"/>
      <c r="W1413" s="38"/>
      <c r="X1413" s="39"/>
      <c r="Y1413" s="150"/>
      <c r="Z1413" s="40"/>
      <c r="AA1413" s="136" t="str">
        <f t="shared" ca="1" si="111"/>
        <v/>
      </c>
      <c r="AB1413" s="40"/>
      <c r="AC1413" s="116"/>
      <c r="AD1413" s="116"/>
      <c r="AE1413" s="40"/>
      <c r="AF1413" s="136" t="str">
        <f t="shared" ca="1" si="112"/>
        <v/>
      </c>
      <c r="AG1413" s="127"/>
      <c r="AH1413" s="127"/>
      <c r="AI1413" s="127"/>
      <c r="AJ1413" s="128"/>
      <c r="AK1413" s="128"/>
      <c r="AL1413" s="129"/>
    </row>
    <row r="1414" spans="1:38" ht="23.25" x14ac:dyDescent="0.25">
      <c r="A1414" s="489" t="str">
        <f t="shared" si="113"/>
        <v/>
      </c>
      <c r="B1414" s="490">
        <v>551</v>
      </c>
      <c r="C1414" s="489"/>
      <c r="D1414" s="491"/>
      <c r="E1414" s="124"/>
      <c r="F1414" s="124"/>
      <c r="G1414" s="251"/>
      <c r="H1414" s="443"/>
      <c r="I1414" s="126"/>
      <c r="J1414" s="47"/>
      <c r="K1414" s="126"/>
      <c r="L1414" s="126"/>
      <c r="M1414" s="104"/>
      <c r="N1414" s="265"/>
      <c r="O1414" s="260"/>
      <c r="P1414" s="106"/>
      <c r="Q1414" s="107"/>
      <c r="R1414" s="244"/>
      <c r="S1414" s="37"/>
      <c r="T1414" s="36" t="str">
        <f t="shared" ca="1" si="110"/>
        <v/>
      </c>
      <c r="U1414" s="37"/>
      <c r="V1414" s="37"/>
      <c r="W1414" s="38"/>
      <c r="X1414" s="39"/>
      <c r="Y1414" s="150"/>
      <c r="Z1414" s="40"/>
      <c r="AA1414" s="136" t="str">
        <f t="shared" ca="1" si="111"/>
        <v/>
      </c>
      <c r="AB1414" s="40"/>
      <c r="AC1414" s="116"/>
      <c r="AD1414" s="116"/>
      <c r="AE1414" s="40"/>
      <c r="AF1414" s="136" t="str">
        <f t="shared" ca="1" si="112"/>
        <v/>
      </c>
      <c r="AG1414" s="127"/>
      <c r="AH1414" s="127"/>
      <c r="AI1414" s="127"/>
      <c r="AJ1414" s="128"/>
      <c r="AK1414" s="128"/>
      <c r="AL1414" s="129"/>
    </row>
    <row r="1415" spans="1:38" ht="23.25" x14ac:dyDescent="0.25">
      <c r="A1415" s="489" t="str">
        <f t="shared" si="113"/>
        <v/>
      </c>
      <c r="B1415" s="490">
        <v>552</v>
      </c>
      <c r="C1415" s="489"/>
      <c r="D1415" s="491"/>
      <c r="E1415" s="124"/>
      <c r="F1415" s="124"/>
      <c r="G1415" s="251"/>
      <c r="H1415" s="443"/>
      <c r="I1415" s="126"/>
      <c r="J1415" s="47"/>
      <c r="K1415" s="126"/>
      <c r="L1415" s="126"/>
      <c r="M1415" s="104"/>
      <c r="N1415" s="265"/>
      <c r="O1415" s="260"/>
      <c r="P1415" s="106"/>
      <c r="Q1415" s="107"/>
      <c r="R1415" s="244"/>
      <c r="S1415" s="37"/>
      <c r="T1415" s="36" t="str">
        <f t="shared" ca="1" si="110"/>
        <v/>
      </c>
      <c r="U1415" s="37"/>
      <c r="V1415" s="37"/>
      <c r="W1415" s="38"/>
      <c r="X1415" s="39"/>
      <c r="Y1415" s="150"/>
      <c r="Z1415" s="40"/>
      <c r="AA1415" s="136" t="str">
        <f t="shared" ca="1" si="111"/>
        <v/>
      </c>
      <c r="AB1415" s="40"/>
      <c r="AC1415" s="116"/>
      <c r="AD1415" s="116"/>
      <c r="AE1415" s="40"/>
      <c r="AF1415" s="136" t="str">
        <f t="shared" ca="1" si="112"/>
        <v/>
      </c>
      <c r="AG1415" s="127"/>
      <c r="AH1415" s="127"/>
      <c r="AI1415" s="127"/>
      <c r="AJ1415" s="128"/>
      <c r="AK1415" s="128"/>
      <c r="AL1415" s="129"/>
    </row>
    <row r="1416" spans="1:38" ht="23.25" x14ac:dyDescent="0.25">
      <c r="A1416" s="489" t="str">
        <f t="shared" si="113"/>
        <v/>
      </c>
      <c r="B1416" s="490">
        <v>553</v>
      </c>
      <c r="C1416" s="489"/>
      <c r="D1416" s="491"/>
      <c r="E1416" s="124"/>
      <c r="F1416" s="124"/>
      <c r="G1416" s="251"/>
      <c r="H1416" s="443"/>
      <c r="I1416" s="126"/>
      <c r="J1416" s="47"/>
      <c r="K1416" s="126"/>
      <c r="L1416" s="126"/>
      <c r="M1416" s="104"/>
      <c r="N1416" s="265"/>
      <c r="O1416" s="260"/>
      <c r="P1416" s="106"/>
      <c r="Q1416" s="107"/>
      <c r="R1416" s="244"/>
      <c r="S1416" s="37"/>
      <c r="T1416" s="36" t="str">
        <f t="shared" ca="1" si="110"/>
        <v/>
      </c>
      <c r="U1416" s="37"/>
      <c r="V1416" s="37"/>
      <c r="W1416" s="38"/>
      <c r="X1416" s="39"/>
      <c r="Y1416" s="150"/>
      <c r="Z1416" s="40"/>
      <c r="AA1416" s="136" t="str">
        <f t="shared" ca="1" si="111"/>
        <v/>
      </c>
      <c r="AB1416" s="40"/>
      <c r="AC1416" s="116"/>
      <c r="AD1416" s="116"/>
      <c r="AE1416" s="40"/>
      <c r="AF1416" s="136" t="str">
        <f t="shared" ca="1" si="112"/>
        <v/>
      </c>
      <c r="AG1416" s="127"/>
      <c r="AH1416" s="127"/>
      <c r="AI1416" s="127"/>
      <c r="AJ1416" s="128"/>
      <c r="AK1416" s="128"/>
      <c r="AL1416" s="129"/>
    </row>
    <row r="1417" spans="1:38" ht="23.25" x14ac:dyDescent="0.25">
      <c r="A1417" s="489" t="str">
        <f t="shared" si="113"/>
        <v/>
      </c>
      <c r="B1417" s="490">
        <v>554</v>
      </c>
      <c r="C1417" s="489"/>
      <c r="D1417" s="491"/>
      <c r="E1417" s="124"/>
      <c r="F1417" s="124"/>
      <c r="G1417" s="251"/>
      <c r="H1417" s="443"/>
      <c r="I1417" s="126"/>
      <c r="J1417" s="47"/>
      <c r="K1417" s="126"/>
      <c r="L1417" s="126"/>
      <c r="M1417" s="104"/>
      <c r="N1417" s="265"/>
      <c r="O1417" s="260"/>
      <c r="P1417" s="106"/>
      <c r="Q1417" s="107"/>
      <c r="R1417" s="244"/>
      <c r="S1417" s="37"/>
      <c r="T1417" s="36" t="str">
        <f t="shared" ca="1" si="110"/>
        <v/>
      </c>
      <c r="U1417" s="37"/>
      <c r="V1417" s="37"/>
      <c r="W1417" s="38"/>
      <c r="X1417" s="39"/>
      <c r="Y1417" s="150"/>
      <c r="Z1417" s="40"/>
      <c r="AA1417" s="136" t="str">
        <f t="shared" ca="1" si="111"/>
        <v/>
      </c>
      <c r="AB1417" s="40"/>
      <c r="AC1417" s="116"/>
      <c r="AD1417" s="116"/>
      <c r="AE1417" s="40"/>
      <c r="AF1417" s="136" t="str">
        <f t="shared" ca="1" si="112"/>
        <v/>
      </c>
      <c r="AG1417" s="127"/>
      <c r="AH1417" s="127"/>
      <c r="AI1417" s="127"/>
      <c r="AJ1417" s="128"/>
      <c r="AK1417" s="128"/>
      <c r="AL1417" s="129"/>
    </row>
    <row r="1418" spans="1:38" ht="23.25" x14ac:dyDescent="0.25">
      <c r="A1418" s="489" t="str">
        <f t="shared" si="113"/>
        <v/>
      </c>
      <c r="B1418" s="490">
        <v>555</v>
      </c>
      <c r="C1418" s="489"/>
      <c r="D1418" s="491"/>
      <c r="E1418" s="124"/>
      <c r="F1418" s="124"/>
      <c r="G1418" s="251"/>
      <c r="H1418" s="443"/>
      <c r="I1418" s="126"/>
      <c r="J1418" s="47"/>
      <c r="K1418" s="126"/>
      <c r="L1418" s="126"/>
      <c r="M1418" s="104"/>
      <c r="N1418" s="265"/>
      <c r="O1418" s="260"/>
      <c r="P1418" s="106"/>
      <c r="Q1418" s="107"/>
      <c r="R1418" s="244"/>
      <c r="S1418" s="37"/>
      <c r="T1418" s="36" t="str">
        <f t="shared" ca="1" si="110"/>
        <v/>
      </c>
      <c r="U1418" s="37"/>
      <c r="V1418" s="37"/>
      <c r="W1418" s="38"/>
      <c r="X1418" s="39"/>
      <c r="Y1418" s="150"/>
      <c r="Z1418" s="40"/>
      <c r="AA1418" s="136" t="str">
        <f t="shared" ca="1" si="111"/>
        <v/>
      </c>
      <c r="AB1418" s="40"/>
      <c r="AC1418" s="116"/>
      <c r="AD1418" s="116"/>
      <c r="AE1418" s="40"/>
      <c r="AF1418" s="136" t="str">
        <f t="shared" ca="1" si="112"/>
        <v/>
      </c>
      <c r="AG1418" s="127"/>
      <c r="AH1418" s="127"/>
      <c r="AI1418" s="127"/>
      <c r="AJ1418" s="128"/>
      <c r="AK1418" s="128"/>
      <c r="AL1418" s="129"/>
    </row>
    <row r="1419" spans="1:38" ht="23.25" x14ac:dyDescent="0.25">
      <c r="A1419" s="489" t="str">
        <f t="shared" si="113"/>
        <v/>
      </c>
      <c r="B1419" s="490">
        <v>556</v>
      </c>
      <c r="C1419" s="489"/>
      <c r="D1419" s="491"/>
      <c r="E1419" s="124"/>
      <c r="F1419" s="124"/>
      <c r="G1419" s="251"/>
      <c r="H1419" s="443"/>
      <c r="I1419" s="126"/>
      <c r="J1419" s="47"/>
      <c r="K1419" s="126"/>
      <c r="L1419" s="126"/>
      <c r="M1419" s="104"/>
      <c r="N1419" s="265"/>
      <c r="O1419" s="260"/>
      <c r="P1419" s="106"/>
      <c r="Q1419" s="107"/>
      <c r="R1419" s="244"/>
      <c r="S1419" s="37"/>
      <c r="T1419" s="36" t="str">
        <f t="shared" ca="1" si="110"/>
        <v/>
      </c>
      <c r="U1419" s="37"/>
      <c r="V1419" s="37"/>
      <c r="W1419" s="38"/>
      <c r="X1419" s="39"/>
      <c r="Y1419" s="150"/>
      <c r="Z1419" s="40"/>
      <c r="AA1419" s="136" t="str">
        <f t="shared" ca="1" si="111"/>
        <v/>
      </c>
      <c r="AB1419" s="40"/>
      <c r="AC1419" s="116"/>
      <c r="AD1419" s="116"/>
      <c r="AE1419" s="40"/>
      <c r="AF1419" s="136" t="str">
        <f t="shared" ca="1" si="112"/>
        <v/>
      </c>
      <c r="AG1419" s="127"/>
      <c r="AH1419" s="127"/>
      <c r="AI1419" s="127"/>
      <c r="AJ1419" s="128"/>
      <c r="AK1419" s="128"/>
      <c r="AL1419" s="129"/>
    </row>
    <row r="1420" spans="1:38" ht="23.25" x14ac:dyDescent="0.25">
      <c r="A1420" s="489" t="str">
        <f t="shared" si="113"/>
        <v/>
      </c>
      <c r="B1420" s="490">
        <v>557</v>
      </c>
      <c r="C1420" s="489"/>
      <c r="D1420" s="491"/>
      <c r="E1420" s="124"/>
      <c r="F1420" s="124"/>
      <c r="G1420" s="251"/>
      <c r="H1420" s="443"/>
      <c r="I1420" s="126"/>
      <c r="J1420" s="47"/>
      <c r="K1420" s="126"/>
      <c r="L1420" s="126"/>
      <c r="M1420" s="104"/>
      <c r="N1420" s="265"/>
      <c r="O1420" s="260"/>
      <c r="P1420" s="106"/>
      <c r="Q1420" s="107"/>
      <c r="R1420" s="244"/>
      <c r="S1420" s="37"/>
      <c r="T1420" s="36" t="str">
        <f t="shared" ca="1" si="110"/>
        <v/>
      </c>
      <c r="U1420" s="37"/>
      <c r="V1420" s="37"/>
      <c r="W1420" s="38"/>
      <c r="X1420" s="39"/>
      <c r="Y1420" s="150"/>
      <c r="Z1420" s="40"/>
      <c r="AA1420" s="136" t="str">
        <f t="shared" ca="1" si="111"/>
        <v/>
      </c>
      <c r="AB1420" s="40"/>
      <c r="AC1420" s="116"/>
      <c r="AD1420" s="116"/>
      <c r="AE1420" s="40"/>
      <c r="AF1420" s="136" t="str">
        <f t="shared" ca="1" si="112"/>
        <v/>
      </c>
      <c r="AG1420" s="127"/>
      <c r="AH1420" s="127"/>
      <c r="AI1420" s="127"/>
      <c r="AJ1420" s="128"/>
      <c r="AK1420" s="128"/>
      <c r="AL1420" s="129"/>
    </row>
    <row r="1421" spans="1:38" ht="23.25" x14ac:dyDescent="0.25">
      <c r="A1421" s="489" t="str">
        <f t="shared" si="113"/>
        <v/>
      </c>
      <c r="B1421" s="490">
        <v>558</v>
      </c>
      <c r="C1421" s="489"/>
      <c r="D1421" s="491"/>
      <c r="E1421" s="124"/>
      <c r="F1421" s="124"/>
      <c r="G1421" s="251"/>
      <c r="H1421" s="443"/>
      <c r="I1421" s="126"/>
      <c r="J1421" s="47"/>
      <c r="K1421" s="126"/>
      <c r="L1421" s="126"/>
      <c r="M1421" s="104"/>
      <c r="N1421" s="265"/>
      <c r="O1421" s="260"/>
      <c r="P1421" s="106"/>
      <c r="Q1421" s="107"/>
      <c r="R1421" s="244"/>
      <c r="S1421" s="37"/>
      <c r="T1421" s="36" t="str">
        <f t="shared" ca="1" si="110"/>
        <v/>
      </c>
      <c r="U1421" s="37"/>
      <c r="V1421" s="37"/>
      <c r="W1421" s="38"/>
      <c r="X1421" s="39"/>
      <c r="Y1421" s="150"/>
      <c r="Z1421" s="40"/>
      <c r="AA1421" s="136" t="str">
        <f t="shared" ca="1" si="111"/>
        <v/>
      </c>
      <c r="AB1421" s="40"/>
      <c r="AC1421" s="116"/>
      <c r="AD1421" s="116"/>
      <c r="AE1421" s="40"/>
      <c r="AF1421" s="136" t="str">
        <f t="shared" ca="1" si="112"/>
        <v/>
      </c>
      <c r="AG1421" s="127"/>
      <c r="AH1421" s="127"/>
      <c r="AI1421" s="127"/>
      <c r="AJ1421" s="128"/>
      <c r="AK1421" s="128"/>
      <c r="AL1421" s="129"/>
    </row>
    <row r="1422" spans="1:38" ht="23.25" x14ac:dyDescent="0.25">
      <c r="A1422" s="489" t="str">
        <f t="shared" si="113"/>
        <v/>
      </c>
      <c r="B1422" s="490">
        <v>559</v>
      </c>
      <c r="C1422" s="489"/>
      <c r="D1422" s="491"/>
      <c r="E1422" s="124"/>
      <c r="F1422" s="124"/>
      <c r="G1422" s="251"/>
      <c r="H1422" s="443"/>
      <c r="I1422" s="126"/>
      <c r="J1422" s="47"/>
      <c r="K1422" s="126"/>
      <c r="L1422" s="126"/>
      <c r="M1422" s="104"/>
      <c r="N1422" s="265"/>
      <c r="O1422" s="260"/>
      <c r="P1422" s="106"/>
      <c r="Q1422" s="107"/>
      <c r="R1422" s="244"/>
      <c r="S1422" s="37"/>
      <c r="T1422" s="36" t="str">
        <f t="shared" ca="1" si="110"/>
        <v/>
      </c>
      <c r="U1422" s="37"/>
      <c r="V1422" s="37"/>
      <c r="W1422" s="38"/>
      <c r="X1422" s="39"/>
      <c r="Y1422" s="150"/>
      <c r="Z1422" s="40"/>
      <c r="AA1422" s="136" t="str">
        <f t="shared" ca="1" si="111"/>
        <v/>
      </c>
      <c r="AB1422" s="40"/>
      <c r="AC1422" s="116"/>
      <c r="AD1422" s="116"/>
      <c r="AE1422" s="40"/>
      <c r="AF1422" s="136" t="str">
        <f t="shared" ca="1" si="112"/>
        <v/>
      </c>
      <c r="AG1422" s="127"/>
      <c r="AH1422" s="127"/>
      <c r="AI1422" s="127"/>
      <c r="AJ1422" s="128"/>
      <c r="AK1422" s="128"/>
      <c r="AL1422" s="129"/>
    </row>
    <row r="1423" spans="1:38" x14ac:dyDescent="0.25">
      <c r="G1423" s="251"/>
    </row>
  </sheetData>
  <sheetProtection password="C67D" sheet="1" objects="1" scenarios="1" sort="0" autoFilter="0"/>
  <autoFilter ref="A6:AL1422"/>
  <dataConsolidate/>
  <mergeCells count="5">
    <mergeCell ref="W4:AL4"/>
    <mergeCell ref="W5:AA5"/>
    <mergeCell ref="AB5:AF5"/>
    <mergeCell ref="AG5:AK5"/>
    <mergeCell ref="E4:V5"/>
  </mergeCells>
  <conditionalFormatting sqref="W6 AF6:AG6 W4:X4 AB6:AC6 AG6:AH196 X6:X144 AC460 AH460 AC572 AC243 AC580 AC585 AC130 AC598 AC590 X146:X747 Y748 X749:X1422">
    <cfRule type="containsText" dxfId="410" priority="580" operator="containsText" text="C57BL/6J">
      <formula>NOT(ISERROR(SEARCH("C57BL/6J",W4)))</formula>
    </cfRule>
    <cfRule type="containsText" dxfId="409" priority="581" operator="containsText" text="ZQ157 Dosed">
      <formula>NOT(ISERROR(SEARCH("ZQ157 Dosed",W4)))</formula>
    </cfRule>
    <cfRule type="containsText" dxfId="408" priority="582" operator="containsText" text="Swiss">
      <formula>NOT(ISERROR(SEARCH("Swiss",W4)))</formula>
    </cfRule>
    <cfRule type="containsText" dxfId="407" priority="583" operator="containsText" text="R6/2">
      <formula>NOT(ISERROR(SEARCH("R6/2",W4)))</formula>
    </cfRule>
    <cfRule type="containsText" dxfId="406" priority="584" operator="containsText" text="Sprague Dawley">
      <formula>NOT(ISERROR(SEARCH("Sprague Dawley",W4)))</formula>
    </cfRule>
  </conditionalFormatting>
  <conditionalFormatting sqref="Q314:R430 R431 G542 R460:R531 R922 Q841:R849 Q432:R459 R850 Q648:R839 R533:R647 Q851:R921 Q197:R312 Q461:Q647 Q923:R1422">
    <cfRule type="cellIs" dxfId="405" priority="573" operator="equal">
      <formula>"Conforme"</formula>
    </cfRule>
    <cfRule type="cellIs" dxfId="404" priority="574" operator="equal">
      <formula>"Non conforme"</formula>
    </cfRule>
  </conditionalFormatting>
  <conditionalFormatting sqref="AA162">
    <cfRule type="expression" dxfId="403" priority="567">
      <formula>$W152:$W1348=""</formula>
    </cfRule>
  </conditionalFormatting>
  <conditionalFormatting sqref="AA161">
    <cfRule type="expression" dxfId="402" priority="566">
      <formula>$W152:$W1348=""</formula>
    </cfRule>
  </conditionalFormatting>
  <conditionalFormatting sqref="AA160">
    <cfRule type="expression" dxfId="401" priority="565">
      <formula>$W152:$W1348=""</formula>
    </cfRule>
  </conditionalFormatting>
  <conditionalFormatting sqref="AA157">
    <cfRule type="expression" dxfId="400" priority="564">
      <formula>$W152:$W1348=""</formula>
    </cfRule>
  </conditionalFormatting>
  <conditionalFormatting sqref="AA156">
    <cfRule type="expression" dxfId="399" priority="563">
      <formula>$W152:$W1348=""</formula>
    </cfRule>
  </conditionalFormatting>
  <conditionalFormatting sqref="AA155">
    <cfRule type="expression" dxfId="398" priority="562">
      <formula>$W152:$W1348=""</formula>
    </cfRule>
  </conditionalFormatting>
  <conditionalFormatting sqref="AA171">
    <cfRule type="expression" dxfId="397" priority="561">
      <formula>$W153:$W1349=""</formula>
    </cfRule>
  </conditionalFormatting>
  <conditionalFormatting sqref="AA170">
    <cfRule type="expression" dxfId="396" priority="560">
      <formula>$W153:$W1349=""</formula>
    </cfRule>
  </conditionalFormatting>
  <conditionalFormatting sqref="AA169">
    <cfRule type="expression" dxfId="395" priority="559">
      <formula>$W153:$W1349=""</formula>
    </cfRule>
  </conditionalFormatting>
  <conditionalFormatting sqref="AA168">
    <cfRule type="expression" dxfId="394" priority="558">
      <formula>$W153:$W1349=""</formula>
    </cfRule>
  </conditionalFormatting>
  <conditionalFormatting sqref="AA167">
    <cfRule type="expression" dxfId="393" priority="557">
      <formula>$W153:$W1349=""</formula>
    </cfRule>
  </conditionalFormatting>
  <conditionalFormatting sqref="AA166">
    <cfRule type="expression" dxfId="392" priority="556">
      <formula>$W153:$W1349=""</formula>
    </cfRule>
  </conditionalFormatting>
  <conditionalFormatting sqref="AA165">
    <cfRule type="expression" dxfId="391" priority="555">
      <formula>$W153:$W1349=""</formula>
    </cfRule>
  </conditionalFormatting>
  <conditionalFormatting sqref="AA177">
    <cfRule type="expression" dxfId="390" priority="554">
      <formula>$W154:$W1350=""</formula>
    </cfRule>
  </conditionalFormatting>
  <conditionalFormatting sqref="AA176">
    <cfRule type="expression" dxfId="389" priority="553">
      <formula>$W154:$W1350=""</formula>
    </cfRule>
  </conditionalFormatting>
  <conditionalFormatting sqref="AA175">
    <cfRule type="expression" dxfId="388" priority="552">
      <formula>$W155:$W1351=""</formula>
    </cfRule>
  </conditionalFormatting>
  <conditionalFormatting sqref="AA184">
    <cfRule type="expression" dxfId="387" priority="551">
      <formula>$W155:$W1351=""</formula>
    </cfRule>
  </conditionalFormatting>
  <conditionalFormatting sqref="Q146:R146">
    <cfRule type="expression" priority="549" stopIfTrue="1">
      <formula>$P146:$P696=""</formula>
    </cfRule>
    <cfRule type="expression" priority="550" stopIfTrue="1">
      <formula>$P146:$P696="Empty"</formula>
    </cfRule>
  </conditionalFormatting>
  <conditionalFormatting sqref="AA183">
    <cfRule type="expression" dxfId="386" priority="548">
      <formula>$W155:$W1351=""</formula>
    </cfRule>
  </conditionalFormatting>
  <conditionalFormatting sqref="AA180">
    <cfRule type="expression" dxfId="385" priority="547">
      <formula>$W155:$W1351=""</formula>
    </cfRule>
  </conditionalFormatting>
  <conditionalFormatting sqref="AA104">
    <cfRule type="expression" dxfId="384" priority="546">
      <formula>$W104:$W1341=""</formula>
    </cfRule>
  </conditionalFormatting>
  <conditionalFormatting sqref="AA103">
    <cfRule type="expression" dxfId="383" priority="545">
      <formula>$W103:$W1341=""</formula>
    </cfRule>
  </conditionalFormatting>
  <conditionalFormatting sqref="AA102">
    <cfRule type="expression" dxfId="382" priority="544">
      <formula>$W102:$W1341=""</formula>
    </cfRule>
  </conditionalFormatting>
  <conditionalFormatting sqref="AA101">
    <cfRule type="expression" dxfId="381" priority="543">
      <formula>$W101:$W1341=""</formula>
    </cfRule>
  </conditionalFormatting>
  <conditionalFormatting sqref="AA100">
    <cfRule type="expression" dxfId="380" priority="542">
      <formula>$W100:$W1341=""</formula>
    </cfRule>
  </conditionalFormatting>
  <conditionalFormatting sqref="AA111">
    <cfRule type="expression" dxfId="379" priority="541">
      <formula>$W111:$W1343=""</formula>
    </cfRule>
  </conditionalFormatting>
  <conditionalFormatting sqref="AA110">
    <cfRule type="expression" dxfId="378" priority="540">
      <formula>$W110:$W1343=""</formula>
    </cfRule>
  </conditionalFormatting>
  <conditionalFormatting sqref="AA109">
    <cfRule type="expression" dxfId="377" priority="539">
      <formula>$W109:$W1343=""</formula>
    </cfRule>
  </conditionalFormatting>
  <conditionalFormatting sqref="AA108">
    <cfRule type="expression" dxfId="376" priority="538">
      <formula>$W108:$W1343=""</formula>
    </cfRule>
  </conditionalFormatting>
  <conditionalFormatting sqref="AA117">
    <cfRule type="expression" dxfId="375" priority="537">
      <formula>$W117:$W1345=""</formula>
    </cfRule>
  </conditionalFormatting>
  <conditionalFormatting sqref="AA116">
    <cfRule type="expression" dxfId="374" priority="536">
      <formula>$W116:$W1345=""</formula>
    </cfRule>
  </conditionalFormatting>
  <conditionalFormatting sqref="AA115">
    <cfRule type="expression" dxfId="373" priority="535">
      <formula>$W115:$W1345=""</formula>
    </cfRule>
  </conditionalFormatting>
  <conditionalFormatting sqref="AA125">
    <cfRule type="expression" dxfId="372" priority="534">
      <formula>$W125:$W1347=""</formula>
    </cfRule>
  </conditionalFormatting>
  <conditionalFormatting sqref="AA124">
    <cfRule type="expression" dxfId="371" priority="533">
      <formula>$W124:$W1347=""</formula>
    </cfRule>
  </conditionalFormatting>
  <conditionalFormatting sqref="T7:T139 T143:T839 T841:T1422">
    <cfRule type="containsBlanks" dxfId="370" priority="528">
      <formula>LEN(TRIM(T7))=0</formula>
    </cfRule>
    <cfRule type="beginsWith" dxfId="369" priority="529" stopIfTrue="1" operator="beginsWith" text="Empty">
      <formula>LEFT(T7,5)="Empty"</formula>
    </cfRule>
    <cfRule type="cellIs" dxfId="368" priority="530" stopIfTrue="1" operator="between">
      <formula>1</formula>
      <formula>300</formula>
    </cfRule>
    <cfRule type="cellIs" dxfId="367" priority="531" stopIfTrue="1" operator="between">
      <formula>300</formula>
      <formula>365</formula>
    </cfRule>
    <cfRule type="cellIs" dxfId="366" priority="532" stopIfTrue="1" operator="greaterThan">
      <formula>365</formula>
    </cfRule>
  </conditionalFormatting>
  <conditionalFormatting sqref="AA133 AA142">
    <cfRule type="expression" dxfId="365" priority="527">
      <formula>$W133:$W1341=""</formula>
    </cfRule>
  </conditionalFormatting>
  <conditionalFormatting sqref="AA144 AA127:AA141">
    <cfRule type="expression" dxfId="364" priority="526">
      <formula>$W127:$W1324=""</formula>
    </cfRule>
  </conditionalFormatting>
  <conditionalFormatting sqref="AA144 AA140:AA141">
    <cfRule type="expression" dxfId="363" priority="525">
      <formula>$W140:$W1343=""</formula>
    </cfRule>
  </conditionalFormatting>
  <conditionalFormatting sqref="AA134">
    <cfRule type="expression" dxfId="362" priority="524">
      <formula>$W134:$W1341=""</formula>
    </cfRule>
  </conditionalFormatting>
  <conditionalFormatting sqref="AA134">
    <cfRule type="expression" dxfId="361" priority="523">
      <formula>$W134:$W1347=""</formula>
    </cfRule>
  </conditionalFormatting>
  <conditionalFormatting sqref="AA133">
    <cfRule type="expression" dxfId="360" priority="522">
      <formula>$W133:$W1347=""</formula>
    </cfRule>
  </conditionalFormatting>
  <conditionalFormatting sqref="AA87">
    <cfRule type="expression" dxfId="359" priority="521">
      <formula>$W87:$W1341=""</formula>
    </cfRule>
  </conditionalFormatting>
  <conditionalFormatting sqref="AA57">
    <cfRule type="expression" dxfId="358" priority="520">
      <formula>$W57:$W1338=""</formula>
    </cfRule>
  </conditionalFormatting>
  <conditionalFormatting sqref="AA67">
    <cfRule type="expression" dxfId="357" priority="519">
      <formula>$W67:$W1339=""</formula>
    </cfRule>
  </conditionalFormatting>
  <conditionalFormatting sqref="AA63">
    <cfRule type="expression" dxfId="356" priority="518">
      <formula>$W63:$W1340=""</formula>
    </cfRule>
  </conditionalFormatting>
  <conditionalFormatting sqref="AA51">
    <cfRule type="expression" dxfId="355" priority="517">
      <formula>$W51:$W1336=""</formula>
    </cfRule>
  </conditionalFormatting>
  <conditionalFormatting sqref="AA26">
    <cfRule type="expression" dxfId="354" priority="512">
      <formula>$W26:$W1336=""</formula>
    </cfRule>
  </conditionalFormatting>
  <conditionalFormatting sqref="AA25">
    <cfRule type="expression" dxfId="353" priority="511">
      <formula>$W25:$W1336=""</formula>
    </cfRule>
  </conditionalFormatting>
  <conditionalFormatting sqref="AA24">
    <cfRule type="expression" dxfId="352" priority="510">
      <formula>$W24:$W1336=""</formula>
    </cfRule>
  </conditionalFormatting>
  <conditionalFormatting sqref="AA38">
    <cfRule type="expression" dxfId="351" priority="509">
      <formula>$W38:$W1336=""</formula>
    </cfRule>
  </conditionalFormatting>
  <conditionalFormatting sqref="AA29">
    <cfRule type="expression" dxfId="350" priority="508">
      <formula>$W29:$W1334=""</formula>
    </cfRule>
  </conditionalFormatting>
  <conditionalFormatting sqref="AA86">
    <cfRule type="expression" dxfId="349" priority="507">
      <formula>$W86:$W1341=""</formula>
    </cfRule>
  </conditionalFormatting>
  <conditionalFormatting sqref="AA143">
    <cfRule type="expression" dxfId="348" priority="506">
      <formula>$W143:$W1343=""</formula>
    </cfRule>
  </conditionalFormatting>
  <conditionalFormatting sqref="AA143 AA135:AA137">
    <cfRule type="expression" dxfId="347" priority="505">
      <formula>$W135:$W1341=""</formula>
    </cfRule>
  </conditionalFormatting>
  <conditionalFormatting sqref="AA142">
    <cfRule type="expression" dxfId="346" priority="504">
      <formula>$W142:$W1344=""</formula>
    </cfRule>
  </conditionalFormatting>
  <conditionalFormatting sqref="AA139">
    <cfRule type="expression" dxfId="345" priority="502">
      <formula>$W139:$W1343=""</formula>
    </cfRule>
  </conditionalFormatting>
  <conditionalFormatting sqref="AA139">
    <cfRule type="expression" dxfId="344" priority="501">
      <formula>$W139:$W1349=""</formula>
    </cfRule>
  </conditionalFormatting>
  <conditionalFormatting sqref="AA138">
    <cfRule type="expression" dxfId="343" priority="500">
      <formula>$W138:$W1349=""</formula>
    </cfRule>
  </conditionalFormatting>
  <conditionalFormatting sqref="AA21">
    <cfRule type="expression" dxfId="342" priority="499">
      <formula>$W21:$W1336=""</formula>
    </cfRule>
  </conditionalFormatting>
  <conditionalFormatting sqref="AA20">
    <cfRule type="expression" dxfId="341" priority="498">
      <formula>$W20:$W1339=""</formula>
    </cfRule>
  </conditionalFormatting>
  <conditionalFormatting sqref="AA196">
    <cfRule type="expression" dxfId="340" priority="497">
      <formula>$W196:$W1344=""</formula>
    </cfRule>
  </conditionalFormatting>
  <conditionalFormatting sqref="AA96">
    <cfRule type="expression" dxfId="339" priority="494">
      <formula>$W96:$W1340=""</formula>
    </cfRule>
  </conditionalFormatting>
  <conditionalFormatting sqref="AA95">
    <cfRule type="expression" dxfId="338" priority="493">
      <formula>$W95:$W1341=""</formula>
    </cfRule>
  </conditionalFormatting>
  <conditionalFormatting sqref="AA94">
    <cfRule type="expression" dxfId="337" priority="492">
      <formula>$W94:$W1341=""</formula>
    </cfRule>
  </conditionalFormatting>
  <conditionalFormatting sqref="AA93">
    <cfRule type="expression" dxfId="336" priority="491">
      <formula>$W93:$W1342=""</formula>
    </cfRule>
  </conditionalFormatting>
  <conditionalFormatting sqref="AA196">
    <cfRule type="expression" dxfId="335" priority="490">
      <formula>$W155:$W1351=""</formula>
    </cfRule>
  </conditionalFormatting>
  <conditionalFormatting sqref="AA190">
    <cfRule type="expression" dxfId="334" priority="487">
      <formula>$W190:$W1344=""</formula>
    </cfRule>
  </conditionalFormatting>
  <conditionalFormatting sqref="AA190">
    <cfRule type="expression" dxfId="333" priority="486">
      <formula>$W155:$W1351=""</formula>
    </cfRule>
  </conditionalFormatting>
  <conditionalFormatting sqref="AA189">
    <cfRule type="expression" dxfId="332" priority="485">
      <formula>$W189:$W1344=""</formula>
    </cfRule>
  </conditionalFormatting>
  <conditionalFormatting sqref="AA189 AA195">
    <cfRule type="expression" dxfId="331" priority="484">
      <formula>$W155:$W1351=""</formula>
    </cfRule>
  </conditionalFormatting>
  <conditionalFormatting sqref="AA196 AA191:AA193">
    <cfRule type="expression" dxfId="330" priority="483">
      <formula>$W191:$W1344=""</formula>
    </cfRule>
  </conditionalFormatting>
  <conditionalFormatting sqref="AA188 AA194">
    <cfRule type="expression" dxfId="329" priority="480">
      <formula>$W155:$W1351=""</formula>
    </cfRule>
  </conditionalFormatting>
  <conditionalFormatting sqref="AA50">
    <cfRule type="expression" dxfId="328" priority="453">
      <formula>$W50:$W1336=""</formula>
    </cfRule>
  </conditionalFormatting>
  <conditionalFormatting sqref="AA864:AA1422 AF864:AF1422">
    <cfRule type="cellIs" dxfId="327" priority="438" operator="between">
      <formula>1</formula>
      <formula>175</formula>
    </cfRule>
    <cfRule type="cellIs" dxfId="326" priority="439" operator="between">
      <formula>176</formula>
      <formula>182</formula>
    </cfRule>
    <cfRule type="expression" dxfId="325" priority="440">
      <formula>$W864:$W2007=""</formula>
    </cfRule>
    <cfRule type="cellIs" dxfId="324" priority="441" operator="greaterThan">
      <formula>183</formula>
    </cfRule>
    <cfRule type="containsBlanks" dxfId="323" priority="442">
      <formula>LEN(TRIM(AA864))=0</formula>
    </cfRule>
  </conditionalFormatting>
  <conditionalFormatting sqref="AA162">
    <cfRule type="expression" dxfId="322" priority="403">
      <formula>$W152:$W1348=""</formula>
    </cfRule>
  </conditionalFormatting>
  <conditionalFormatting sqref="AA161">
    <cfRule type="expression" dxfId="321" priority="402">
      <formula>$W152:$W1348=""</formula>
    </cfRule>
  </conditionalFormatting>
  <conditionalFormatting sqref="AA160">
    <cfRule type="expression" dxfId="320" priority="401">
      <formula>$W152:$W1348=""</formula>
    </cfRule>
  </conditionalFormatting>
  <conditionalFormatting sqref="AA157">
    <cfRule type="expression" dxfId="319" priority="400">
      <formula>$W152:$W1348=""</formula>
    </cfRule>
  </conditionalFormatting>
  <conditionalFormatting sqref="AA156">
    <cfRule type="expression" dxfId="318" priority="399">
      <formula>$W152:$W1348=""</formula>
    </cfRule>
  </conditionalFormatting>
  <conditionalFormatting sqref="AA155">
    <cfRule type="expression" dxfId="317" priority="398">
      <formula>$W152:$W1348=""</formula>
    </cfRule>
  </conditionalFormatting>
  <conditionalFormatting sqref="AA171">
    <cfRule type="expression" dxfId="316" priority="397">
      <formula>$W153:$W1349=""</formula>
    </cfRule>
  </conditionalFormatting>
  <conditionalFormatting sqref="AA170">
    <cfRule type="expression" dxfId="315" priority="396">
      <formula>$W153:$W1349=""</formula>
    </cfRule>
  </conditionalFormatting>
  <conditionalFormatting sqref="AA169">
    <cfRule type="expression" dxfId="314" priority="395">
      <formula>$W153:$W1349=""</formula>
    </cfRule>
  </conditionalFormatting>
  <conditionalFormatting sqref="AA168">
    <cfRule type="expression" dxfId="313" priority="394">
      <formula>$W153:$W1349=""</formula>
    </cfRule>
  </conditionalFormatting>
  <conditionalFormatting sqref="AA167">
    <cfRule type="expression" dxfId="312" priority="393">
      <formula>$W153:$W1349=""</formula>
    </cfRule>
  </conditionalFormatting>
  <conditionalFormatting sqref="AA166">
    <cfRule type="expression" dxfId="311" priority="392">
      <formula>$W153:$W1349=""</formula>
    </cfRule>
  </conditionalFormatting>
  <conditionalFormatting sqref="AA165">
    <cfRule type="expression" dxfId="310" priority="391">
      <formula>$W153:$W1349=""</formula>
    </cfRule>
  </conditionalFormatting>
  <conditionalFormatting sqref="AA177">
    <cfRule type="expression" dxfId="309" priority="390">
      <formula>$W154:$W1350=""</formula>
    </cfRule>
  </conditionalFormatting>
  <conditionalFormatting sqref="AA176">
    <cfRule type="expression" dxfId="308" priority="389">
      <formula>$W154:$W1350=""</formula>
    </cfRule>
  </conditionalFormatting>
  <conditionalFormatting sqref="AA175">
    <cfRule type="expression" dxfId="307" priority="388">
      <formula>$W155:$W1351=""</formula>
    </cfRule>
  </conditionalFormatting>
  <conditionalFormatting sqref="AA184">
    <cfRule type="expression" dxfId="306" priority="387">
      <formula>$W155:$W1351=""</formula>
    </cfRule>
  </conditionalFormatting>
  <conditionalFormatting sqref="Q146:R146">
    <cfRule type="expression" priority="385" stopIfTrue="1">
      <formula>$P146:$P696=""</formula>
    </cfRule>
    <cfRule type="expression" priority="386" stopIfTrue="1">
      <formula>$P146:$P696="Empty"</formula>
    </cfRule>
  </conditionalFormatting>
  <conditionalFormatting sqref="AA183">
    <cfRule type="expression" dxfId="305" priority="384">
      <formula>$W155:$W1351=""</formula>
    </cfRule>
  </conditionalFormatting>
  <conditionalFormatting sqref="AA180">
    <cfRule type="expression" dxfId="304" priority="383">
      <formula>$W155:$W1351=""</formula>
    </cfRule>
  </conditionalFormatting>
  <conditionalFormatting sqref="AA104">
    <cfRule type="expression" dxfId="303" priority="382">
      <formula>$W104:$W1341=""</formula>
    </cfRule>
  </conditionalFormatting>
  <conditionalFormatting sqref="AA103">
    <cfRule type="expression" dxfId="302" priority="381">
      <formula>$W103:$W1341=""</formula>
    </cfRule>
  </conditionalFormatting>
  <conditionalFormatting sqref="AA102">
    <cfRule type="expression" dxfId="301" priority="380">
      <formula>$W102:$W1341=""</formula>
    </cfRule>
  </conditionalFormatting>
  <conditionalFormatting sqref="AA101">
    <cfRule type="expression" dxfId="300" priority="379">
      <formula>$W101:$W1341=""</formula>
    </cfRule>
  </conditionalFormatting>
  <conditionalFormatting sqref="AA100">
    <cfRule type="expression" dxfId="299" priority="378">
      <formula>$W100:$W1341=""</formula>
    </cfRule>
  </conditionalFormatting>
  <conditionalFormatting sqref="AA111">
    <cfRule type="expression" dxfId="298" priority="377">
      <formula>$W111:$W1343=""</formula>
    </cfRule>
  </conditionalFormatting>
  <conditionalFormatting sqref="AA110">
    <cfRule type="expression" dxfId="297" priority="376">
      <formula>$W110:$W1343=""</formula>
    </cfRule>
  </conditionalFormatting>
  <conditionalFormatting sqref="AA109">
    <cfRule type="expression" dxfId="296" priority="375">
      <formula>$W109:$W1343=""</formula>
    </cfRule>
  </conditionalFormatting>
  <conditionalFormatting sqref="AA108">
    <cfRule type="expression" dxfId="295" priority="374">
      <formula>$W108:$W1343=""</formula>
    </cfRule>
  </conditionalFormatting>
  <conditionalFormatting sqref="AA117">
    <cfRule type="expression" dxfId="294" priority="373">
      <formula>$W117:$W1345=""</formula>
    </cfRule>
  </conditionalFormatting>
  <conditionalFormatting sqref="AA116">
    <cfRule type="expression" dxfId="293" priority="372">
      <formula>$W116:$W1345=""</formula>
    </cfRule>
  </conditionalFormatting>
  <conditionalFormatting sqref="AA115">
    <cfRule type="expression" dxfId="292" priority="371">
      <formula>$W115:$W1345=""</formula>
    </cfRule>
  </conditionalFormatting>
  <conditionalFormatting sqref="AA125">
    <cfRule type="expression" dxfId="291" priority="370">
      <formula>$W125:$W1347=""</formula>
    </cfRule>
  </conditionalFormatting>
  <conditionalFormatting sqref="AA124">
    <cfRule type="expression" dxfId="290" priority="369">
      <formula>$W124:$W1347=""</formula>
    </cfRule>
  </conditionalFormatting>
  <conditionalFormatting sqref="AA133">
    <cfRule type="expression" dxfId="289" priority="363">
      <formula>$W133:$W1341=""</formula>
    </cfRule>
  </conditionalFormatting>
  <conditionalFormatting sqref="AA144">
    <cfRule type="expression" dxfId="288" priority="362">
      <formula>$W144:$W1341=""</formula>
    </cfRule>
  </conditionalFormatting>
  <conditionalFormatting sqref="AA144">
    <cfRule type="expression" dxfId="287" priority="361">
      <formula>$W144:$W1347=""</formula>
    </cfRule>
  </conditionalFormatting>
  <conditionalFormatting sqref="AA134">
    <cfRule type="expression" dxfId="286" priority="360">
      <formula>$W134:$W1341=""</formula>
    </cfRule>
  </conditionalFormatting>
  <conditionalFormatting sqref="AA134">
    <cfRule type="expression" dxfId="285" priority="359">
      <formula>$W134:$W1347=""</formula>
    </cfRule>
  </conditionalFormatting>
  <conditionalFormatting sqref="AA133">
    <cfRule type="expression" dxfId="284" priority="358">
      <formula>$W133:$W1347=""</formula>
    </cfRule>
  </conditionalFormatting>
  <conditionalFormatting sqref="AA87">
    <cfRule type="expression" dxfId="283" priority="357">
      <formula>$W87:$W1341=""</formula>
    </cfRule>
  </conditionalFormatting>
  <conditionalFormatting sqref="AA57">
    <cfRule type="expression" dxfId="282" priority="356">
      <formula>$W57:$W1338=""</formula>
    </cfRule>
  </conditionalFormatting>
  <conditionalFormatting sqref="AA67">
    <cfRule type="expression" dxfId="281" priority="355">
      <formula>$W67:$W1339=""</formula>
    </cfRule>
  </conditionalFormatting>
  <conditionalFormatting sqref="AA63">
    <cfRule type="expression" dxfId="280" priority="354">
      <formula>$W63:$W1340=""</formula>
    </cfRule>
  </conditionalFormatting>
  <conditionalFormatting sqref="AA51">
    <cfRule type="expression" dxfId="279" priority="353">
      <formula>$W51:$W1336=""</formula>
    </cfRule>
  </conditionalFormatting>
  <conditionalFormatting sqref="AA26">
    <cfRule type="expression" dxfId="278" priority="348">
      <formula>$W26:$W1336=""</formula>
    </cfRule>
  </conditionalFormatting>
  <conditionalFormatting sqref="AA25">
    <cfRule type="expression" dxfId="277" priority="347">
      <formula>$W25:$W1336=""</formula>
    </cfRule>
  </conditionalFormatting>
  <conditionalFormatting sqref="AA24">
    <cfRule type="expression" dxfId="276" priority="346">
      <formula>$W24:$W1336=""</formula>
    </cfRule>
  </conditionalFormatting>
  <conditionalFormatting sqref="AA38">
    <cfRule type="expression" dxfId="275" priority="345">
      <formula>$W38:$W1336=""</formula>
    </cfRule>
  </conditionalFormatting>
  <conditionalFormatting sqref="AA29">
    <cfRule type="expression" dxfId="274" priority="344">
      <formula>$W29:$W1334=""</formula>
    </cfRule>
  </conditionalFormatting>
  <conditionalFormatting sqref="AA86">
    <cfRule type="expression" dxfId="273" priority="343">
      <formula>$W86:$W1341=""</formula>
    </cfRule>
  </conditionalFormatting>
  <conditionalFormatting sqref="AA143">
    <cfRule type="expression" dxfId="272" priority="342">
      <formula>$W143:$W1343=""</formula>
    </cfRule>
  </conditionalFormatting>
  <conditionalFormatting sqref="AA143">
    <cfRule type="expression" dxfId="271" priority="341">
      <formula>$W143:$W1349=""</formula>
    </cfRule>
  </conditionalFormatting>
  <conditionalFormatting sqref="AA139">
    <cfRule type="expression" dxfId="270" priority="338">
      <formula>$W139:$W1343=""</formula>
    </cfRule>
  </conditionalFormatting>
  <conditionalFormatting sqref="AA139">
    <cfRule type="expression" dxfId="269" priority="337">
      <formula>$W139:$W1349=""</formula>
    </cfRule>
  </conditionalFormatting>
  <conditionalFormatting sqref="AA138">
    <cfRule type="expression" dxfId="268" priority="336">
      <formula>$W138:$W1349=""</formula>
    </cfRule>
  </conditionalFormatting>
  <conditionalFormatting sqref="AA21">
    <cfRule type="expression" dxfId="267" priority="335">
      <formula>$W21:$W1336=""</formula>
    </cfRule>
  </conditionalFormatting>
  <conditionalFormatting sqref="AA20">
    <cfRule type="expression" dxfId="266" priority="334">
      <formula>$W20:$W1339=""</formula>
    </cfRule>
  </conditionalFormatting>
  <conditionalFormatting sqref="AA196">
    <cfRule type="expression" dxfId="265" priority="333">
      <formula>$W196:$W1344=""</formula>
    </cfRule>
  </conditionalFormatting>
  <conditionalFormatting sqref="AA96">
    <cfRule type="expression" dxfId="264" priority="330">
      <formula>$W96:$W1340=""</formula>
    </cfRule>
  </conditionalFormatting>
  <conditionalFormatting sqref="AA95">
    <cfRule type="expression" dxfId="263" priority="329">
      <formula>$W95:$W1341=""</formula>
    </cfRule>
  </conditionalFormatting>
  <conditionalFormatting sqref="AA94">
    <cfRule type="expression" dxfId="262" priority="328">
      <formula>$W94:$W1341=""</formula>
    </cfRule>
  </conditionalFormatting>
  <conditionalFormatting sqref="AA93">
    <cfRule type="expression" dxfId="261" priority="327">
      <formula>$W93:$W1342=""</formula>
    </cfRule>
  </conditionalFormatting>
  <conditionalFormatting sqref="AA196">
    <cfRule type="expression" dxfId="260" priority="326">
      <formula>$W155:$W1351=""</formula>
    </cfRule>
  </conditionalFormatting>
  <conditionalFormatting sqref="AA190">
    <cfRule type="expression" dxfId="259" priority="323">
      <formula>$W190:$W1344=""</formula>
    </cfRule>
  </conditionalFormatting>
  <conditionalFormatting sqref="AA190">
    <cfRule type="expression" dxfId="258" priority="322">
      <formula>$W155:$W1351=""</formula>
    </cfRule>
  </conditionalFormatting>
  <conditionalFormatting sqref="AA189">
    <cfRule type="expression" dxfId="257" priority="321">
      <formula>$W189:$W1344=""</formula>
    </cfRule>
  </conditionalFormatting>
  <conditionalFormatting sqref="AA189">
    <cfRule type="expression" dxfId="256" priority="320">
      <formula>$W155:$W1351=""</formula>
    </cfRule>
  </conditionalFormatting>
  <conditionalFormatting sqref="AA195">
    <cfRule type="expression" dxfId="255" priority="319">
      <formula>$W195:$W1350=""</formula>
    </cfRule>
  </conditionalFormatting>
  <conditionalFormatting sqref="AA188">
    <cfRule type="expression" dxfId="254" priority="316">
      <formula>$W155:$W1351=""</formula>
    </cfRule>
  </conditionalFormatting>
  <conditionalFormatting sqref="AA50">
    <cfRule type="expression" dxfId="253" priority="289">
      <formula>$W50:$W1336=""</formula>
    </cfRule>
  </conditionalFormatting>
  <conditionalFormatting sqref="AA162">
    <cfRule type="expression" dxfId="252" priority="256">
      <formula>$W152:$W1348=""</formula>
    </cfRule>
  </conditionalFormatting>
  <conditionalFormatting sqref="AA161">
    <cfRule type="expression" dxfId="251" priority="255">
      <formula>$W152:$W1348=""</formula>
    </cfRule>
  </conditionalFormatting>
  <conditionalFormatting sqref="AA160">
    <cfRule type="expression" dxfId="250" priority="254">
      <formula>$W152:$W1348=""</formula>
    </cfRule>
  </conditionalFormatting>
  <conditionalFormatting sqref="AA157">
    <cfRule type="expression" dxfId="249" priority="253">
      <formula>$W152:$W1348=""</formula>
    </cfRule>
  </conditionalFormatting>
  <conditionalFormatting sqref="AA156">
    <cfRule type="expression" dxfId="248" priority="252">
      <formula>$W152:$W1348=""</formula>
    </cfRule>
  </conditionalFormatting>
  <conditionalFormatting sqref="AA155">
    <cfRule type="expression" dxfId="247" priority="251">
      <formula>$W152:$W1348=""</formula>
    </cfRule>
  </conditionalFormatting>
  <conditionalFormatting sqref="AA171">
    <cfRule type="expression" dxfId="246" priority="250">
      <formula>$W153:$W1349=""</formula>
    </cfRule>
  </conditionalFormatting>
  <conditionalFormatting sqref="AA170">
    <cfRule type="expression" dxfId="245" priority="249">
      <formula>$W153:$W1349=""</formula>
    </cfRule>
  </conditionalFormatting>
  <conditionalFormatting sqref="AA169">
    <cfRule type="expression" dxfId="244" priority="248">
      <formula>$W153:$W1349=""</formula>
    </cfRule>
  </conditionalFormatting>
  <conditionalFormatting sqref="AA168">
    <cfRule type="expression" dxfId="243" priority="247">
      <formula>$W153:$W1349=""</formula>
    </cfRule>
  </conditionalFormatting>
  <conditionalFormatting sqref="AA167">
    <cfRule type="expression" dxfId="242" priority="246">
      <formula>$W153:$W1349=""</formula>
    </cfRule>
  </conditionalFormatting>
  <conditionalFormatting sqref="AA166">
    <cfRule type="expression" dxfId="241" priority="245">
      <formula>$W153:$W1349=""</formula>
    </cfRule>
  </conditionalFormatting>
  <conditionalFormatting sqref="AA165">
    <cfRule type="expression" dxfId="240" priority="244">
      <formula>$W153:$W1349=""</formula>
    </cfRule>
  </conditionalFormatting>
  <conditionalFormatting sqref="AA177">
    <cfRule type="expression" dxfId="239" priority="243">
      <formula>$W154:$W1350=""</formula>
    </cfRule>
  </conditionalFormatting>
  <conditionalFormatting sqref="AA176">
    <cfRule type="expression" dxfId="238" priority="242">
      <formula>$W154:$W1350=""</formula>
    </cfRule>
  </conditionalFormatting>
  <conditionalFormatting sqref="AA175">
    <cfRule type="expression" dxfId="237" priority="241">
      <formula>$W155:$W1351=""</formula>
    </cfRule>
  </conditionalFormatting>
  <conditionalFormatting sqref="AA184">
    <cfRule type="expression" dxfId="236" priority="240">
      <formula>$W155:$W1351=""</formula>
    </cfRule>
  </conditionalFormatting>
  <conditionalFormatting sqref="Q146:R146">
    <cfRule type="expression" priority="238" stopIfTrue="1">
      <formula>$P146:$P696=""</formula>
    </cfRule>
    <cfRule type="expression" priority="239" stopIfTrue="1">
      <formula>$P146:$P696="Empty"</formula>
    </cfRule>
  </conditionalFormatting>
  <conditionalFormatting sqref="AA183">
    <cfRule type="expression" dxfId="235" priority="237">
      <formula>$W155:$W1351=""</formula>
    </cfRule>
  </conditionalFormatting>
  <conditionalFormatting sqref="AA180">
    <cfRule type="expression" dxfId="234" priority="236">
      <formula>$W155:$W1351=""</formula>
    </cfRule>
  </conditionalFormatting>
  <conditionalFormatting sqref="AA104">
    <cfRule type="expression" dxfId="233" priority="235">
      <formula>$W104:$W1341=""</formula>
    </cfRule>
  </conditionalFormatting>
  <conditionalFormatting sqref="AA103">
    <cfRule type="expression" dxfId="232" priority="234">
      <formula>$W103:$W1341=""</formula>
    </cfRule>
  </conditionalFormatting>
  <conditionalFormatting sqref="AA102">
    <cfRule type="expression" dxfId="231" priority="233">
      <formula>$W102:$W1341=""</formula>
    </cfRule>
  </conditionalFormatting>
  <conditionalFormatting sqref="AA101">
    <cfRule type="expression" dxfId="230" priority="232">
      <formula>$W101:$W1341=""</formula>
    </cfRule>
  </conditionalFormatting>
  <conditionalFormatting sqref="AA100">
    <cfRule type="expression" dxfId="229" priority="231">
      <formula>$W100:$W1341=""</formula>
    </cfRule>
  </conditionalFormatting>
  <conditionalFormatting sqref="AA111">
    <cfRule type="expression" dxfId="228" priority="230">
      <formula>$W111:$W1343=""</formula>
    </cfRule>
  </conditionalFormatting>
  <conditionalFormatting sqref="AA110">
    <cfRule type="expression" dxfId="227" priority="229">
      <formula>$W110:$W1343=""</formula>
    </cfRule>
  </conditionalFormatting>
  <conditionalFormatting sqref="AA109">
    <cfRule type="expression" dxfId="226" priority="228">
      <formula>$W109:$W1343=""</formula>
    </cfRule>
  </conditionalFormatting>
  <conditionalFormatting sqref="AA108">
    <cfRule type="expression" dxfId="225" priority="227">
      <formula>$W108:$W1343=""</formula>
    </cfRule>
  </conditionalFormatting>
  <conditionalFormatting sqref="AA117">
    <cfRule type="expression" dxfId="224" priority="226">
      <formula>$W117:$W1345=""</formula>
    </cfRule>
  </conditionalFormatting>
  <conditionalFormatting sqref="AA116">
    <cfRule type="expression" dxfId="223" priority="225">
      <formula>$W116:$W1345=""</formula>
    </cfRule>
  </conditionalFormatting>
  <conditionalFormatting sqref="AA115">
    <cfRule type="expression" dxfId="222" priority="224">
      <formula>$W115:$W1345=""</formula>
    </cfRule>
  </conditionalFormatting>
  <conditionalFormatting sqref="AA125">
    <cfRule type="expression" dxfId="221" priority="223">
      <formula>$W125:$W1347=""</formula>
    </cfRule>
  </conditionalFormatting>
  <conditionalFormatting sqref="AA124">
    <cfRule type="expression" dxfId="220" priority="222">
      <formula>$W124:$W1347=""</formula>
    </cfRule>
  </conditionalFormatting>
  <conditionalFormatting sqref="AA133">
    <cfRule type="expression" dxfId="219" priority="216">
      <formula>$W133:$W1341=""</formula>
    </cfRule>
  </conditionalFormatting>
  <conditionalFormatting sqref="AA144">
    <cfRule type="expression" dxfId="218" priority="215">
      <formula>$W144:$W1341=""</formula>
    </cfRule>
  </conditionalFormatting>
  <conditionalFormatting sqref="AA144">
    <cfRule type="expression" dxfId="217" priority="214">
      <formula>$W144:$W1347=""</formula>
    </cfRule>
  </conditionalFormatting>
  <conditionalFormatting sqref="AA134">
    <cfRule type="expression" dxfId="216" priority="213">
      <formula>$W134:$W1341=""</formula>
    </cfRule>
  </conditionalFormatting>
  <conditionalFormatting sqref="AA134">
    <cfRule type="expression" dxfId="215" priority="212">
      <formula>$W134:$W1347=""</formula>
    </cfRule>
  </conditionalFormatting>
  <conditionalFormatting sqref="AA133">
    <cfRule type="expression" dxfId="214" priority="211">
      <formula>$W133:$W1347=""</formula>
    </cfRule>
  </conditionalFormatting>
  <conditionalFormatting sqref="AA87">
    <cfRule type="expression" dxfId="213" priority="210">
      <formula>$W87:$W1341=""</formula>
    </cfRule>
  </conditionalFormatting>
  <conditionalFormatting sqref="AA57">
    <cfRule type="expression" dxfId="212" priority="209">
      <formula>$W57:$W1338=""</formula>
    </cfRule>
  </conditionalFormatting>
  <conditionalFormatting sqref="AA67">
    <cfRule type="expression" dxfId="211" priority="208">
      <formula>$W67:$W1339=""</formula>
    </cfRule>
  </conditionalFormatting>
  <conditionalFormatting sqref="AA63">
    <cfRule type="expression" dxfId="210" priority="207">
      <formula>$W63:$W1340=""</formula>
    </cfRule>
  </conditionalFormatting>
  <conditionalFormatting sqref="AA51">
    <cfRule type="expression" dxfId="209" priority="206">
      <formula>$W51:$W1336=""</formula>
    </cfRule>
  </conditionalFormatting>
  <conditionalFormatting sqref="AA26">
    <cfRule type="expression" dxfId="208" priority="201">
      <formula>$W26:$W1336=""</formula>
    </cfRule>
  </conditionalFormatting>
  <conditionalFormatting sqref="AA25">
    <cfRule type="expression" dxfId="207" priority="200">
      <formula>$W25:$W1336=""</formula>
    </cfRule>
  </conditionalFormatting>
  <conditionalFormatting sqref="AA24">
    <cfRule type="expression" dxfId="206" priority="199">
      <formula>$W24:$W1336=""</formula>
    </cfRule>
  </conditionalFormatting>
  <conditionalFormatting sqref="AA38">
    <cfRule type="expression" dxfId="205" priority="198">
      <formula>$W38:$W1336=""</formula>
    </cfRule>
  </conditionalFormatting>
  <conditionalFormatting sqref="AA29">
    <cfRule type="expression" dxfId="204" priority="197">
      <formula>$W29:$W1334=""</formula>
    </cfRule>
  </conditionalFormatting>
  <conditionalFormatting sqref="AA86">
    <cfRule type="expression" dxfId="203" priority="196">
      <formula>$W86:$W1341=""</formula>
    </cfRule>
  </conditionalFormatting>
  <conditionalFormatting sqref="AA143">
    <cfRule type="expression" dxfId="202" priority="195">
      <formula>$W143:$W1343=""</formula>
    </cfRule>
  </conditionalFormatting>
  <conditionalFormatting sqref="AA143">
    <cfRule type="expression" dxfId="201" priority="194">
      <formula>$W143:$W1349=""</formula>
    </cfRule>
  </conditionalFormatting>
  <conditionalFormatting sqref="AA139">
    <cfRule type="expression" dxfId="200" priority="191">
      <formula>$W139:$W1343=""</formula>
    </cfRule>
  </conditionalFormatting>
  <conditionalFormatting sqref="AA139">
    <cfRule type="expression" dxfId="199" priority="190">
      <formula>$W139:$W1349=""</formula>
    </cfRule>
  </conditionalFormatting>
  <conditionalFormatting sqref="AA138">
    <cfRule type="expression" dxfId="198" priority="189">
      <formula>$W138:$W1349=""</formula>
    </cfRule>
  </conditionalFormatting>
  <conditionalFormatting sqref="AA21">
    <cfRule type="expression" dxfId="197" priority="188">
      <formula>$W21:$W1336=""</formula>
    </cfRule>
  </conditionalFormatting>
  <conditionalFormatting sqref="AA20">
    <cfRule type="expression" dxfId="196" priority="187">
      <formula>$W20:$W1339=""</formula>
    </cfRule>
  </conditionalFormatting>
  <conditionalFormatting sqref="AA196">
    <cfRule type="expression" dxfId="195" priority="186">
      <formula>$W196:$W1344=""</formula>
    </cfRule>
  </conditionalFormatting>
  <conditionalFormatting sqref="AA96">
    <cfRule type="expression" dxfId="194" priority="183">
      <formula>$W96:$W1340=""</formula>
    </cfRule>
  </conditionalFormatting>
  <conditionalFormatting sqref="AA95">
    <cfRule type="expression" dxfId="193" priority="182">
      <formula>$W95:$W1341=""</formula>
    </cfRule>
  </conditionalFormatting>
  <conditionalFormatting sqref="AA94">
    <cfRule type="expression" dxfId="192" priority="181">
      <formula>$W94:$W1341=""</formula>
    </cfRule>
  </conditionalFormatting>
  <conditionalFormatting sqref="AA93">
    <cfRule type="expression" dxfId="191" priority="180">
      <formula>$W93:$W1342=""</formula>
    </cfRule>
  </conditionalFormatting>
  <conditionalFormatting sqref="AA196">
    <cfRule type="expression" dxfId="190" priority="179">
      <formula>$W155:$W1351=""</formula>
    </cfRule>
  </conditionalFormatting>
  <conditionalFormatting sqref="AA190">
    <cfRule type="expression" dxfId="189" priority="176">
      <formula>$W190:$W1344=""</formula>
    </cfRule>
  </conditionalFormatting>
  <conditionalFormatting sqref="AA190">
    <cfRule type="expression" dxfId="188" priority="175">
      <formula>$W155:$W1351=""</formula>
    </cfRule>
  </conditionalFormatting>
  <conditionalFormatting sqref="AA189">
    <cfRule type="expression" dxfId="187" priority="174">
      <formula>$W189:$W1344=""</formula>
    </cfRule>
  </conditionalFormatting>
  <conditionalFormatting sqref="AA189">
    <cfRule type="expression" dxfId="186" priority="173">
      <formula>$W155:$W1351=""</formula>
    </cfRule>
  </conditionalFormatting>
  <conditionalFormatting sqref="AA188 AA194">
    <cfRule type="expression" dxfId="185" priority="172">
      <formula>$W188:$W1344=""</formula>
    </cfRule>
  </conditionalFormatting>
  <conditionalFormatting sqref="AA188">
    <cfRule type="expression" dxfId="184" priority="169">
      <formula>$W155:$W1351=""</formula>
    </cfRule>
  </conditionalFormatting>
  <conditionalFormatting sqref="AA50">
    <cfRule type="expression" dxfId="183" priority="142">
      <formula>$W50:$W1336=""</formula>
    </cfRule>
  </conditionalFormatting>
  <conditionalFormatting sqref="Q840:R840">
    <cfRule type="cellIs" dxfId="182" priority="40" operator="equal">
      <formula>"Conforme"</formula>
    </cfRule>
    <cfRule type="cellIs" dxfId="181" priority="41" operator="equal">
      <formula>"Non conforme"</formula>
    </cfRule>
  </conditionalFormatting>
  <conditionalFormatting sqref="T840">
    <cfRule type="containsBlanks" dxfId="180" priority="35">
      <formula>LEN(TRIM(T840))=0</formula>
    </cfRule>
    <cfRule type="beginsWith" dxfId="179" priority="36" stopIfTrue="1" operator="beginsWith" text="Empty">
      <formula>LEFT(T840,5)="Empty"</formula>
    </cfRule>
    <cfRule type="cellIs" dxfId="178" priority="37" stopIfTrue="1" operator="between">
      <formula>1</formula>
      <formula>300</formula>
    </cfRule>
    <cfRule type="cellIs" dxfId="177" priority="38" stopIfTrue="1" operator="between">
      <formula>300</formula>
      <formula>365</formula>
    </cfRule>
    <cfRule type="cellIs" dxfId="176" priority="39" stopIfTrue="1" operator="greaterThan">
      <formula>365</formula>
    </cfRule>
  </conditionalFormatting>
  <conditionalFormatting sqref="AA195 AF195">
    <cfRule type="cellIs" dxfId="175" priority="749" operator="between">
      <formula>1</formula>
      <formula>175</formula>
    </cfRule>
    <cfRule type="cellIs" dxfId="174" priority="750" operator="between">
      <formula>176</formula>
      <formula>182</formula>
    </cfRule>
    <cfRule type="expression" dxfId="173" priority="751">
      <formula>$W195:$W1343=""</formula>
    </cfRule>
    <cfRule type="cellIs" dxfId="172" priority="752" operator="greaterThan">
      <formula>183</formula>
    </cfRule>
    <cfRule type="containsBlanks" dxfId="171" priority="753">
      <formula>LEN(TRIM(AA195))=0</formula>
    </cfRule>
  </conditionalFormatting>
  <conditionalFormatting sqref="AA195">
    <cfRule type="expression" dxfId="170" priority="756">
      <formula>$W195:$W1346=""</formula>
    </cfRule>
  </conditionalFormatting>
  <conditionalFormatting sqref="AA194 AF194">
    <cfRule type="cellIs" dxfId="169" priority="815" operator="between">
      <formula>1</formula>
      <formula>175</formula>
    </cfRule>
    <cfRule type="cellIs" dxfId="168" priority="816" operator="between">
      <formula>176</formula>
      <formula>182</formula>
    </cfRule>
    <cfRule type="expression" dxfId="167" priority="817">
      <formula>$W194:$W1343=""</formula>
    </cfRule>
    <cfRule type="cellIs" dxfId="166" priority="818" operator="greaterThan">
      <formula>183</formula>
    </cfRule>
    <cfRule type="containsBlanks" dxfId="165" priority="819">
      <formula>LEN(TRIM(AA194))=0</formula>
    </cfRule>
  </conditionalFormatting>
  <conditionalFormatting sqref="AA194">
    <cfRule type="expression" dxfId="164" priority="846">
      <formula>$W194:$W1346=""</formula>
    </cfRule>
  </conditionalFormatting>
  <conditionalFormatting sqref="AA195">
    <cfRule type="expression" dxfId="163" priority="849">
      <formula>$W157:$W1353=""</formula>
    </cfRule>
  </conditionalFormatting>
  <conditionalFormatting sqref="AA196 AA191:AA193">
    <cfRule type="expression" dxfId="162" priority="897">
      <formula>$W155:$W1351=""</formula>
    </cfRule>
  </conditionalFormatting>
  <conditionalFormatting sqref="AA194">
    <cfRule type="expression" dxfId="161" priority="926">
      <formula>$W157:$W1353=""</formula>
    </cfRule>
  </conditionalFormatting>
  <conditionalFormatting sqref="T140:T142">
    <cfRule type="containsBlanks" dxfId="160" priority="30">
      <formula>LEN(TRIM(T140))=0</formula>
    </cfRule>
    <cfRule type="beginsWith" dxfId="159" priority="31" stopIfTrue="1" operator="beginsWith" text="Empty">
      <formula>LEFT(T140,5)="Empty"</formula>
    </cfRule>
    <cfRule type="cellIs" dxfId="158" priority="32" stopIfTrue="1" operator="between">
      <formula>1</formula>
      <formula>300</formula>
    </cfRule>
    <cfRule type="cellIs" dxfId="157" priority="33" stopIfTrue="1" operator="between">
      <formula>300</formula>
      <formula>365</formula>
    </cfRule>
    <cfRule type="cellIs" dxfId="156" priority="34" stopIfTrue="1" operator="greaterThan">
      <formula>365</formula>
    </cfRule>
  </conditionalFormatting>
  <conditionalFormatting sqref="V887">
    <cfRule type="cellIs" dxfId="155" priority="28" operator="equal">
      <formula>"Conforme"</formula>
    </cfRule>
    <cfRule type="cellIs" dxfId="154" priority="29" operator="equal">
      <formula>"Non conforme"</formula>
    </cfRule>
  </conditionalFormatting>
  <conditionalFormatting sqref="V886">
    <cfRule type="cellIs" dxfId="153" priority="26" operator="equal">
      <formula>"Conforme"</formula>
    </cfRule>
    <cfRule type="cellIs" dxfId="152" priority="27" operator="equal">
      <formula>"Non conforme"</formula>
    </cfRule>
  </conditionalFormatting>
  <conditionalFormatting sqref="V888">
    <cfRule type="cellIs" dxfId="151" priority="24" operator="equal">
      <formula>"Conforme"</formula>
    </cfRule>
    <cfRule type="cellIs" dxfId="150" priority="25" operator="equal">
      <formula>"Non conforme"</formula>
    </cfRule>
  </conditionalFormatting>
  <conditionalFormatting sqref="V890">
    <cfRule type="cellIs" dxfId="149" priority="22" operator="equal">
      <formula>"Conforme"</formula>
    </cfRule>
    <cfRule type="cellIs" dxfId="148" priority="23" operator="equal">
      <formula>"Non conforme"</formula>
    </cfRule>
  </conditionalFormatting>
  <conditionalFormatting sqref="V893">
    <cfRule type="cellIs" dxfId="147" priority="20" operator="equal">
      <formula>"Conforme"</formula>
    </cfRule>
    <cfRule type="cellIs" dxfId="146" priority="21" operator="equal">
      <formula>"Non conforme"</formula>
    </cfRule>
  </conditionalFormatting>
  <conditionalFormatting sqref="V899">
    <cfRule type="cellIs" dxfId="145" priority="18" operator="equal">
      <formula>"Conforme"</formula>
    </cfRule>
    <cfRule type="cellIs" dxfId="144" priority="19" operator="equal">
      <formula>"Non conforme"</formula>
    </cfRule>
  </conditionalFormatting>
  <conditionalFormatting sqref="V900">
    <cfRule type="cellIs" dxfId="143" priority="16" operator="equal">
      <formula>"Conforme"</formula>
    </cfRule>
    <cfRule type="cellIs" dxfId="142" priority="17" operator="equal">
      <formula>"Non conforme"</formula>
    </cfRule>
  </conditionalFormatting>
  <conditionalFormatting sqref="V901">
    <cfRule type="cellIs" dxfId="141" priority="14" operator="equal">
      <formula>"Conforme"</formula>
    </cfRule>
    <cfRule type="cellIs" dxfId="140" priority="15" operator="equal">
      <formula>"Non conforme"</formula>
    </cfRule>
  </conditionalFormatting>
  <conditionalFormatting sqref="V909:V911">
    <cfRule type="cellIs" dxfId="139" priority="12" operator="equal">
      <formula>"Conforme"</formula>
    </cfRule>
    <cfRule type="cellIs" dxfId="138" priority="13" operator="equal">
      <formula>"Non conforme"</formula>
    </cfRule>
  </conditionalFormatting>
  <conditionalFormatting sqref="Q922">
    <cfRule type="cellIs" dxfId="137" priority="10" operator="equal">
      <formula>"Conforme"</formula>
    </cfRule>
    <cfRule type="cellIs" dxfId="136" priority="11" operator="equal">
      <formula>"Non conforme"</formula>
    </cfRule>
  </conditionalFormatting>
  <conditionalFormatting sqref="Q922">
    <cfRule type="cellIs" dxfId="135" priority="8" operator="equal">
      <formula>"Conforme"</formula>
    </cfRule>
    <cfRule type="cellIs" dxfId="134" priority="9" operator="equal">
      <formula>"Non conforme"</formula>
    </cfRule>
  </conditionalFormatting>
  <conditionalFormatting sqref="Q850">
    <cfRule type="cellIs" dxfId="133" priority="6" operator="equal">
      <formula>"Conforme"</formula>
    </cfRule>
    <cfRule type="cellIs" dxfId="132" priority="7" operator="equal">
      <formula>"Non conforme"</formula>
    </cfRule>
  </conditionalFormatting>
  <conditionalFormatting sqref="Q72">
    <cfRule type="cellIs" dxfId="131" priority="2" operator="equal">
      <formula>"Conforme"</formula>
    </cfRule>
    <cfRule type="cellIs" dxfId="130" priority="3" operator="equal">
      <formula>"Non conforme"</formula>
    </cfRule>
  </conditionalFormatting>
  <conditionalFormatting sqref="AA611:AA863 AF611:AF863">
    <cfRule type="cellIs" dxfId="129" priority="977" operator="between">
      <formula>1</formula>
      <formula>175</formula>
    </cfRule>
    <cfRule type="cellIs" dxfId="128" priority="978" operator="between">
      <formula>176</formula>
      <formula>182</formula>
    </cfRule>
    <cfRule type="expression" dxfId="127" priority="979">
      <formula>$W611:$W1755=""</formula>
    </cfRule>
    <cfRule type="cellIs" dxfId="126" priority="980" operator="greaterThan">
      <formula>183</formula>
    </cfRule>
    <cfRule type="containsBlanks" dxfId="125" priority="981">
      <formula>LEN(TRIM(AA611))=0</formula>
    </cfRule>
  </conditionalFormatting>
  <conditionalFormatting sqref="AA336:AA610 AF336:AF610">
    <cfRule type="cellIs" dxfId="124" priority="1105" operator="between">
      <formula>1</formula>
      <formula>175</formula>
    </cfRule>
    <cfRule type="cellIs" dxfId="123" priority="1106" operator="between">
      <formula>176</formula>
      <formula>182</formula>
    </cfRule>
    <cfRule type="expression" dxfId="122" priority="1107">
      <formula>$W336:$W1481=""</formula>
    </cfRule>
    <cfRule type="cellIs" dxfId="121" priority="1108" operator="greaterThan">
      <formula>183</formula>
    </cfRule>
    <cfRule type="containsBlanks" dxfId="120" priority="1109">
      <formula>LEN(TRIM(AA336))=0</formula>
    </cfRule>
  </conditionalFormatting>
  <conditionalFormatting sqref="AA143:AA193 AF143:AF193">
    <cfRule type="cellIs" dxfId="119" priority="1163" operator="between">
      <formula>1</formula>
      <formula>175</formula>
    </cfRule>
    <cfRule type="cellIs" dxfId="118" priority="1164" operator="between">
      <formula>176</formula>
      <formula>182</formula>
    </cfRule>
    <cfRule type="expression" dxfId="117" priority="1165">
      <formula>$W143:$W1293=""</formula>
    </cfRule>
    <cfRule type="cellIs" dxfId="116" priority="1166" operator="greaterThan">
      <formula>183</formula>
    </cfRule>
    <cfRule type="containsBlanks" dxfId="115" priority="1167">
      <formula>LEN(TRIM(AA143))=0</formula>
    </cfRule>
  </conditionalFormatting>
  <conditionalFormatting sqref="AA196:AA335 AF196:AF335">
    <cfRule type="cellIs" dxfId="114" priority="1198" operator="between">
      <formula>1</formula>
      <formula>175</formula>
    </cfRule>
    <cfRule type="cellIs" dxfId="113" priority="1199" operator="between">
      <formula>176</formula>
      <formula>182</formula>
    </cfRule>
    <cfRule type="expression" dxfId="112" priority="1200">
      <formula>$W196:$W1342=""</formula>
    </cfRule>
    <cfRule type="cellIs" dxfId="111" priority="1201" operator="greaterThan">
      <formula>183</formula>
    </cfRule>
    <cfRule type="containsBlanks" dxfId="110" priority="1202">
      <formula>LEN(TRIM(AA196))=0</formula>
    </cfRule>
  </conditionalFormatting>
  <conditionalFormatting sqref="AA143:AA178">
    <cfRule type="expression" dxfId="109" priority="1218">
      <formula>$W143:$W1338=""</formula>
    </cfRule>
  </conditionalFormatting>
  <conditionalFormatting sqref="AA147:AA178">
    <cfRule type="expression" dxfId="108" priority="1219">
      <formula>$W146:$W1341=""</formula>
    </cfRule>
  </conditionalFormatting>
  <conditionalFormatting sqref="AA185:AA193">
    <cfRule type="expression" dxfId="107" priority="1220">
      <formula>$W153:$W1349=""</formula>
    </cfRule>
  </conditionalFormatting>
  <conditionalFormatting sqref="AA181:AA193">
    <cfRule type="expression" dxfId="106" priority="1221">
      <formula>$W181:$W1338=""</formula>
    </cfRule>
  </conditionalFormatting>
  <conditionalFormatting sqref="AA181:AA182">
    <cfRule type="expression" dxfId="105" priority="1222">
      <formula>$W155:$W1351=""</formula>
    </cfRule>
  </conditionalFormatting>
  <conditionalFormatting sqref="AA178:AA179">
    <cfRule type="expression" dxfId="104" priority="1223">
      <formula>$W154:$W1350=""</formula>
    </cfRule>
  </conditionalFormatting>
  <conditionalFormatting sqref="AA172:AA174">
    <cfRule type="expression" dxfId="103" priority="1224">
      <formula>$W153:$W1349=""</formula>
    </cfRule>
  </conditionalFormatting>
  <conditionalFormatting sqref="AA163:AA164">
    <cfRule type="expression" dxfId="102" priority="1225">
      <formula>$W152:$W1348=""</formula>
    </cfRule>
  </conditionalFormatting>
  <conditionalFormatting sqref="AA158:AA159">
    <cfRule type="expression" dxfId="101" priority="1226">
      <formula>$W152:$W1348=""</formula>
    </cfRule>
  </conditionalFormatting>
  <conditionalFormatting sqref="AA148:AA154">
    <cfRule type="expression" dxfId="100" priority="1227">
      <formula>$W146:$W1342=""</formula>
    </cfRule>
  </conditionalFormatting>
  <conditionalFormatting sqref="AA138">
    <cfRule type="expression" dxfId="99" priority="1228">
      <formula>$W138:$W1343=""</formula>
    </cfRule>
  </conditionalFormatting>
  <conditionalFormatting sqref="AA142 AF142">
    <cfRule type="cellIs" dxfId="98" priority="1256" operator="between">
      <formula>1</formula>
      <formula>175</formula>
    </cfRule>
    <cfRule type="cellIs" dxfId="97" priority="1257" operator="between">
      <formula>176</formula>
      <formula>182</formula>
    </cfRule>
    <cfRule type="expression" dxfId="96" priority="1258">
      <formula>$W142:$W1293=""</formula>
    </cfRule>
    <cfRule type="cellIs" dxfId="95" priority="1259" operator="greaterThan">
      <formula>183</formula>
    </cfRule>
    <cfRule type="containsBlanks" dxfId="94" priority="1260">
      <formula>LEN(TRIM(AA142))=0</formula>
    </cfRule>
  </conditionalFormatting>
  <conditionalFormatting sqref="AA77:AA141 AF77:AF141">
    <cfRule type="cellIs" dxfId="93" priority="1302" operator="between">
      <formula>1</formula>
      <formula>175</formula>
    </cfRule>
    <cfRule type="cellIs" dxfId="92" priority="1303" operator="between">
      <formula>176</formula>
      <formula>182</formula>
    </cfRule>
    <cfRule type="expression" dxfId="91" priority="1304">
      <formula>$W77:$W1229=""</formula>
    </cfRule>
    <cfRule type="cellIs" dxfId="90" priority="1305" operator="greaterThan">
      <formula>183</formula>
    </cfRule>
    <cfRule type="containsBlanks" dxfId="89" priority="1306">
      <formula>LEN(TRIM(AA77))=0</formula>
    </cfRule>
  </conditionalFormatting>
  <conditionalFormatting sqref="AA142">
    <cfRule type="expression" dxfId="88" priority="1336">
      <formula>$W142:$W1338=""</formula>
    </cfRule>
  </conditionalFormatting>
  <conditionalFormatting sqref="AA82:AA85">
    <cfRule type="expression" dxfId="87" priority="1347">
      <formula>$W82:$W1338=""</formula>
    </cfRule>
  </conditionalFormatting>
  <conditionalFormatting sqref="AA75:AA80">
    <cfRule type="expression" dxfId="86" priority="1361">
      <formula>$W75:$W1337=""</formula>
    </cfRule>
  </conditionalFormatting>
  <conditionalFormatting sqref="AA75:AA80">
    <cfRule type="expression" dxfId="85" priority="1366">
      <formula>$W75:$W1343=""</formula>
    </cfRule>
  </conditionalFormatting>
  <conditionalFormatting sqref="AA41:AA44">
    <cfRule type="expression" dxfId="84" priority="1371">
      <formula>$W41:$W1334=""</formula>
    </cfRule>
  </conditionalFormatting>
  <conditionalFormatting sqref="AA10:AA17">
    <cfRule type="expression" dxfId="83" priority="1377">
      <formula>$W10:$W1332=""</formula>
    </cfRule>
  </conditionalFormatting>
  <conditionalFormatting sqref="AA10:AA76 AF7:AF76">
    <cfRule type="cellIs" dxfId="82" priority="1378" operator="between">
      <formula>1</formula>
      <formula>175</formula>
    </cfRule>
    <cfRule type="cellIs" dxfId="81" priority="1379" operator="between">
      <formula>176</formula>
      <formula>182</formula>
    </cfRule>
    <cfRule type="expression" dxfId="80" priority="1380">
      <formula>$W7:$W1160=""</formula>
    </cfRule>
    <cfRule type="cellIs" dxfId="79" priority="1381" operator="greaterThan">
      <formula>183</formula>
    </cfRule>
    <cfRule type="containsBlanks" dxfId="78" priority="1382">
      <formula>LEN(TRIM(AA7))=0</formula>
    </cfRule>
  </conditionalFormatting>
  <conditionalFormatting sqref="AA116:AA132 AA140:AA141">
    <cfRule type="expression" dxfId="77" priority="1385">
      <formula>$W116:$W1325=""</formula>
    </cfRule>
  </conditionalFormatting>
  <conditionalFormatting sqref="AA135:AA137">
    <cfRule type="expression" dxfId="76" priority="1434">
      <formula>$W135:$W1347=""</formula>
    </cfRule>
  </conditionalFormatting>
  <conditionalFormatting sqref="AA126:AA132">
    <cfRule type="expression" dxfId="75" priority="1435">
      <formula>$W126:$W1341=""</formula>
    </cfRule>
  </conditionalFormatting>
  <conditionalFormatting sqref="AA120:AA123">
    <cfRule type="expression" dxfId="74" priority="1436">
      <formula>$W120:$W1344=""</formula>
    </cfRule>
  </conditionalFormatting>
  <conditionalFormatting sqref="AA118:AA119">
    <cfRule type="expression" dxfId="73" priority="1437">
      <formula>$W118:$W1344=""</formula>
    </cfRule>
  </conditionalFormatting>
  <conditionalFormatting sqref="AA112:AA114">
    <cfRule type="expression" dxfId="72" priority="1438">
      <formula>$W112:$W1343=""</formula>
    </cfRule>
  </conditionalFormatting>
  <conditionalFormatting sqref="AA105:AA107">
    <cfRule type="expression" dxfId="71" priority="1439">
      <formula>$W105:$W1341=""</formula>
    </cfRule>
  </conditionalFormatting>
  <conditionalFormatting sqref="AA97:AA107">
    <cfRule type="expression" dxfId="70" priority="1440">
      <formula>$W97:$W1339=""</formula>
    </cfRule>
  </conditionalFormatting>
  <conditionalFormatting sqref="AA88:AA92">
    <cfRule type="expression" dxfId="69" priority="1441">
      <formula>$W88:$W1338=""</formula>
    </cfRule>
  </conditionalFormatting>
  <conditionalFormatting sqref="AA80:AA81">
    <cfRule type="expression" dxfId="68" priority="1442">
      <formula>$W80:$W1337=""</formula>
    </cfRule>
  </conditionalFormatting>
  <conditionalFormatting sqref="AA77:AA79">
    <cfRule type="expression" dxfId="67" priority="1443">
      <formula>$W77:$W1336=""</formula>
    </cfRule>
  </conditionalFormatting>
  <conditionalFormatting sqref="AA56:AA76">
    <cfRule type="expression" dxfId="66" priority="1444">
      <formula>$W56:$W1319=""</formula>
    </cfRule>
  </conditionalFormatting>
  <conditionalFormatting sqref="AA56:AA64">
    <cfRule type="expression" dxfId="65" priority="1445">
      <formula>$W56:$W1332=""</formula>
    </cfRule>
  </conditionalFormatting>
  <conditionalFormatting sqref="AA68:AA69">
    <cfRule type="expression" dxfId="64" priority="1446">
      <formula>$W68:$W1339=""</formula>
    </cfRule>
  </conditionalFormatting>
  <conditionalFormatting sqref="AA60:AA62">
    <cfRule type="expression" dxfId="63" priority="1447">
      <formula>$W60:$W1338=""</formula>
    </cfRule>
  </conditionalFormatting>
  <conditionalFormatting sqref="AA52:AA56">
    <cfRule type="expression" dxfId="62" priority="1448">
      <formula>$W52:$W1334=""</formula>
    </cfRule>
  </conditionalFormatting>
  <conditionalFormatting sqref="AA70:AA76">
    <cfRule type="expression" dxfId="61" priority="1449">
      <formula>$W70:$W1339=""</formula>
    </cfRule>
  </conditionalFormatting>
  <conditionalFormatting sqref="AA65:AA66">
    <cfRule type="expression" dxfId="60" priority="1450">
      <formula>$W65:$W1339=""</formula>
    </cfRule>
  </conditionalFormatting>
  <conditionalFormatting sqref="AA58:AA59">
    <cfRule type="expression" dxfId="59" priority="1451">
      <formula>$W58:$W1338=""</formula>
    </cfRule>
  </conditionalFormatting>
  <conditionalFormatting sqref="AA48:AA49">
    <cfRule type="expression" dxfId="58" priority="1452">
      <formula>$W48:$W1335=""</formula>
    </cfRule>
  </conditionalFormatting>
  <conditionalFormatting sqref="AA45:AA47">
    <cfRule type="expression" dxfId="57" priority="1453">
      <formula>$W45:$W1335=""</formula>
    </cfRule>
  </conditionalFormatting>
  <conditionalFormatting sqref="AA39:AA40">
    <cfRule type="expression" dxfId="56" priority="1454">
      <formula>$W39:$W1333=""</formula>
    </cfRule>
  </conditionalFormatting>
  <conditionalFormatting sqref="AA35:AA37">
    <cfRule type="expression" dxfId="55" priority="1455">
      <formula>$W35:$W1335=""</formula>
    </cfRule>
  </conditionalFormatting>
  <conditionalFormatting sqref="AA30:AA34">
    <cfRule type="expression" dxfId="54" priority="1456">
      <formula>$W30:$W1333=""</formula>
    </cfRule>
  </conditionalFormatting>
  <conditionalFormatting sqref="AA27:AA28">
    <cfRule type="expression" dxfId="53" priority="1457">
      <formula>$W27:$W1336=""</formula>
    </cfRule>
  </conditionalFormatting>
  <conditionalFormatting sqref="AA22:AA23">
    <cfRule type="expression" dxfId="52" priority="1458">
      <formula>$W22:$W1335=""</formula>
    </cfRule>
  </conditionalFormatting>
  <conditionalFormatting sqref="AA18:AA19">
    <cfRule type="expression" dxfId="51" priority="1459">
      <formula>$W18:$W1338=""</formula>
    </cfRule>
  </conditionalFormatting>
  <conditionalFormatting sqref="AA7:AA9">
    <cfRule type="expression" dxfId="50" priority="1460">
      <formula>$W7:$W1330=""</formula>
    </cfRule>
  </conditionalFormatting>
  <conditionalFormatting sqref="AA7:AA9">
    <cfRule type="cellIs" dxfId="49" priority="1461" operator="between">
      <formula>1</formula>
      <formula>175</formula>
    </cfRule>
    <cfRule type="cellIs" dxfId="48" priority="1462" operator="between">
      <formula>176</formula>
      <formula>182</formula>
    </cfRule>
    <cfRule type="expression" dxfId="47" priority="1463">
      <formula>$W7:$W1161=""</formula>
    </cfRule>
    <cfRule type="cellIs" dxfId="46" priority="1464" operator="greaterThan">
      <formula>183</formula>
    </cfRule>
    <cfRule type="containsBlanks" dxfId="45" priority="1465">
      <formula>LEN(TRIM(AA7))=0</formula>
    </cfRule>
  </conditionalFormatting>
  <conditionalFormatting sqref="A1:V1048576">
    <cfRule type="expression" dxfId="44" priority="1">
      <formula>AND($T1="Empty")</formula>
    </cfRule>
  </conditionalFormatting>
  <dataValidations count="42">
    <dataValidation type="list" errorStyle="warning" allowBlank="1" showInputMessage="1" showErrorMessage="1" sqref="Q342:R350 Q597:Q607 Q593:Q594 Q587:Q591 Q378:R379">
      <formula1>"conforme, non conforme, sous surveillance"</formula1>
    </dataValidation>
    <dataValidation type="list" allowBlank="1" showInputMessage="1" showErrorMessage="1" sqref="AB4">
      <formula1>"Tg, Wt, CAR, Ko, A, B"</formula1>
    </dataValidation>
    <dataValidation type="list" errorStyle="information" allowBlank="1" showInputMessage="1" showErrorMessage="1" sqref="AH7:AH196">
      <formula1>"Sprague Dawley, R6/2, C57BL/6J, Swiss"</formula1>
    </dataValidation>
    <dataValidation errorStyle="information" allowBlank="1" showInputMessage="1" showErrorMessage="1" sqref="AI7:AJ196 AC629:AC904 X749:X1422 Z633 Y605:Y706 AC598 AC130:AD130 AC585:AD585 AC580 AD231:AD255 AC222:AC577 AD572 AD102 AC590 AD296 X7:Y144 W126 Q146:R146 X146:Y184 AH460:AI460 Y185:Y585 AD460 X185:X747 U7:V567 Y713:Y1422 V569:V885 V889 V891:V892 V894:V898 V902:V908 S197:S1422 V912:V1422 U568:U1422"/>
    <dataValidation type="list" allowBlank="1" showInputMessage="1" showErrorMessage="1" sqref="D7:D140 D143:D289">
      <formula1>"MEA, PATCH, MEA/PATCH"</formula1>
    </dataValidation>
    <dataValidation type="list" allowBlank="1" showInputMessage="1" showErrorMessage="1" sqref="C7:C1422">
      <formula1>"SAMPLE, REFERENCE"</formula1>
    </dataValidation>
    <dataValidation type="list" allowBlank="1" showInputMessage="1" showErrorMessage="1" sqref="J7:J118 J120:J662 J664:J1088 J1091:J1422">
      <formula1>"RT, '- 20°C,  4°C"</formula1>
    </dataValidation>
    <dataValidation type="list" allowBlank="1" showInputMessage="1" showErrorMessage="1" sqref="H183:H209 H7:H53 H55:H181">
      <formula1>"NC, Sigma, Tocris, Abcam, Ascent"</formula1>
    </dataValidation>
    <dataValidation type="list" errorStyle="information" allowBlank="1" showInputMessage="1" showErrorMessage="1" sqref="AJ197:AJ230 Z634:Z1422 AE7:AE369 Z611:Z632 Z495:Z506 AE371:AE1422 Z457:Z493 Z7:Z144 Z326:Z330 Z315:Z324 Z146:Z313 Z332:Z455 AJ460 Z508:Z608">
      <formula1>"H2O mQ, DMSO, eq NaOH, eq HCL"</formula1>
    </dataValidation>
    <dataValidation type="list" allowBlank="1" showInputMessage="1" showErrorMessage="1" sqref="H54">
      <formula1>"NC, Sigma, Tocris, Abcam, Ascent, Bachem"</formula1>
    </dataValidation>
    <dataValidation type="list" allowBlank="1" showInputMessage="1" showErrorMessage="1" sqref="J119 J1089:J1090">
      <formula1>"RT, '- 20°C,  4°C, '- 80°C"</formula1>
    </dataValidation>
    <dataValidation type="list" allowBlank="1" showInputMessage="1" showErrorMessage="1" sqref="H182">
      <formula1>"NC, Sigma, Tocris, Abcam, Ascent, Caymanchemical"</formula1>
    </dataValidation>
    <dataValidation errorStyle="warning" allowBlank="1" showInputMessage="1" showErrorMessage="1" sqref="Q549 Q608:Q622 Q565 Q432:Q459 Q197:R312 G542 Q351:R377 Q380:Q430 Q314:R341 R380:R531 V909:V911 V886:V888 V890 V893 V899:V901 Q72 Q1044:Q1045 Q1048:Q1063 Q724:Q1042 Q1068:Q1095 Q624:Q722 Q461:Q530 R533:R1422 Q1097:Q1422"/>
    <dataValidation type="list" errorStyle="information" allowBlank="1" showInputMessage="1" showErrorMessage="1" sqref="AD131:AD230 AD103:AD129 AD7:AD101 AD256:AD295 AD297:AD337">
      <formula1>"Adulte, Gestante, Avec portée, Petit"</formula1>
    </dataValidation>
    <dataValidation type="list" allowBlank="1" showInputMessage="1" showErrorMessage="1" sqref="H210:H313 H315:H324 H326:H376 H378:H421">
      <formula1>"NC, Sigma, Tocris, Abcam, Ascent, HelloBio"</formula1>
    </dataValidation>
    <dataValidation type="list" allowBlank="1" showInputMessage="1" showErrorMessage="1" sqref="D290:D481 D483:D1034">
      <formula1>"MEA, PATCH, CELL, MEA/PATCH"</formula1>
    </dataValidation>
    <dataValidation type="list" errorStyle="information" allowBlank="1" showInputMessage="1" showErrorMessage="1" sqref="AD590 AD598 Y707:Y712 Y586:Y604">
      <formula1>"Tg, Wt, CAR, Ko"</formula1>
    </dataValidation>
    <dataValidation type="list" errorStyle="information" allowBlank="1" showInputMessage="1" showErrorMessage="1" sqref="AC578:AC579 AC581:AC584 AC586:AC589 AC591:AC597 AC599:AC628 AC905:AC1422">
      <formula1>"F, M, ND"</formula1>
    </dataValidation>
    <dataValidation type="list" errorStyle="information" allowBlank="1" showInputMessage="1" showErrorMessage="1" sqref="Z314 Z331 Z325">
      <formula1>"H2O mQ, DMSO, eq NaOH, eq HCL, PBS stérile"</formula1>
    </dataValidation>
    <dataValidation type="list" allowBlank="1" showInputMessage="1" showErrorMessage="1" sqref="H314 H325">
      <formula1>"NC, Sigma, Tocris, Abcam, Ascent, HelloBio, R&amp;D Systems"</formula1>
    </dataValidation>
    <dataValidation type="list" allowBlank="1" showInputMessage="1" showErrorMessage="1" sqref="H422:H493 H509:H532 H495:H506">
      <formula1>"NC, Sigma, Tocris, Abcam, Ascent, HelloBio, Merck"</formula1>
    </dataValidation>
    <dataValidation type="list" errorStyle="information" allowBlank="1" showInputMessage="1" showErrorMessage="1" sqref="Z456">
      <formula1>"H2O mQ, DMSO, eq NaOH, eq HCL, 2 eq HCL"</formula1>
    </dataValidation>
    <dataValidation type="list" allowBlank="1" showInputMessage="1" showErrorMessage="1" sqref="D482">
      <formula1>"MEA, PATCH, CELL, MEA/PATCH, MEA/CELL"</formula1>
    </dataValidation>
    <dataValidation type="list" allowBlank="1" showInputMessage="1" showErrorMessage="1" sqref="H494 H507:H508">
      <formula1>"NC, Sigma, Tocris, Abcam, Ascent, HelloBio, Merck, Latoxan"</formula1>
    </dataValidation>
    <dataValidation type="list" errorStyle="information" allowBlank="1" showInputMessage="1" showErrorMessage="1" sqref="Z494">
      <formula1>"H2O mQ, DMSO, eq NaOH, eq HCL, Citrate buffer"</formula1>
    </dataValidation>
    <dataValidation type="list" allowBlank="1" showInputMessage="1" showErrorMessage="1" sqref="H912:H921 H559:H567 H595:H637 H541:H554 H641:H646 H925:H1074 H1076:H1077 H1080:H1081 H535:H538 H590 H639 H671:H885 H894:H895 H903:H908 H1370:H1422">
      <formula1>"NC, Sigma, Tocris, Abcam, Ascent, HelloBio, Merck, Thermofisher"</formula1>
    </dataValidation>
    <dataValidation errorStyle="warning" showDropDown="1" showInputMessage="1" showErrorMessage="1" sqref="Q566 Q623 Q595:Q596 Q592 Q568:Q586 Q1096 Q1043 Q1046:Q1047 Q1064:Q1067 Q531:Q548 Q550:Q564"/>
    <dataValidation type="list" allowBlank="1" showInputMessage="1" showErrorMessage="1" sqref="H555:H558 H569">
      <formula1>"NC, Sigma, Tocris, Abcam, Ascent, HelloBio, Merck, Thermofisher, Roth"</formula1>
    </dataValidation>
    <dataValidation type="list" allowBlank="1" showInputMessage="1" showErrorMessage="1" sqref="H568 H570:H585">
      <formula1>"NC, Sigma, Tocris, Abcam, Ascent, HelloBio, Merck, Thermofisher, R&amp;D sytem"</formula1>
    </dataValidation>
    <dataValidation type="list" errorStyle="information" allowBlank="1" showInputMessage="1" showErrorMessage="1" sqref="Z609:Z610">
      <formula1>"H2O mQ, DMSO, eq NaOH, eq HCL, Trid buffer NaCl"</formula1>
    </dataValidation>
    <dataValidation type="list" allowBlank="1" showInputMessage="1" showErrorMessage="1" sqref="H638">
      <formula1>"NC, Sigma, Tocris, Abcam, Ascent, HelloBio, Merck, Thermofisher, Interchim"</formula1>
    </dataValidation>
    <dataValidation type="list" errorStyle="information" allowBlank="1" showInputMessage="1" showErrorMessage="1" sqref="Z507">
      <formula1>"H2O mQ, DMSO, eq NaOH, eq HCL, tampon citrate"</formula1>
    </dataValidation>
    <dataValidation type="list" allowBlank="1" showInputMessage="1" showErrorMessage="1" sqref="H922:H924 H647:H663">
      <formula1>"NC, Sigma, Tocris, Abcam, Ascent, Latoxan, Merck, Thermofisher"</formula1>
    </dataValidation>
    <dataValidation type="list" errorStyle="information" allowBlank="1" showInputMessage="1" showErrorMessage="1" sqref="AE370">
      <formula1>"H2O mQ, DMSO, eq NaOH, eq HCL, NaCl 0.9%"</formula1>
    </dataValidation>
    <dataValidation type="list" allowBlank="1" showInputMessage="1" showErrorMessage="1" sqref="J663">
      <formula1>"RT, '- 20°C, '-80°C, 4°C"</formula1>
    </dataValidation>
    <dataValidation type="list" allowBlank="1" showInputMessage="1" showErrorMessage="1" sqref="D141:D142">
      <formula1>"MEA, PATCH, MEA/PATCH,ANIMALERIE"</formula1>
    </dataValidation>
    <dataValidation type="list" allowBlank="1" showInputMessage="1" showErrorMessage="1" sqref="D1035:D1092">
      <formula1>"OPTOPATH, MEA, PATCH, CELL, MEA/PATCH"</formula1>
    </dataValidation>
    <dataValidation type="list" allowBlank="1" showInputMessage="1" showErrorMessage="1" sqref="H1075">
      <formula1>"NC, Sigma, Tocris, Abcam, Ascent, HelloBio, Merck (Sigma), Thermofisher"</formula1>
    </dataValidation>
    <dataValidation type="list" allowBlank="1" showInputMessage="1" showErrorMessage="1" sqref="H1078:H1079 H1082">
      <formula1>"NC, Sigma, Tocris, Abcam, Ascent, HelloBio, Merck, Thermofisher, R&amp;D Systems"</formula1>
    </dataValidation>
    <dataValidation type="list" allowBlank="1" showInputMessage="1" showErrorMessage="1" sqref="H533:H534 H539:H540 H586:H589 H591:H594 H640 H664:H670 H886:H893 H896:H902 H909:H911 H1083:H1369">
      <formula1>"NC, Sigma, Tocris, Abcam, Ascent, HelloBio, Merck, FisherScientific"</formula1>
    </dataValidation>
    <dataValidation type="list" allowBlank="1" showInputMessage="1" showErrorMessage="1" sqref="D1093:D1114 D1116:D1422">
      <formula1>"ICM,OPTOPATH, MEA, PATCH, CELL, MEA/PATCH"</formula1>
    </dataValidation>
    <dataValidation type="list" allowBlank="1" showInputMessage="1" showErrorMessage="1" sqref="D1115">
      <formula1>"ANIMALERIE, ICM, OPTOPATH, MEA, PATCH, CELL, MEA/PATCH"</formula1>
    </dataValidation>
  </dataValidations>
  <hyperlinks>
    <hyperlink ref="I930" r:id="rId1"/>
    <hyperlink ref="I931" r:id="rId2"/>
    <hyperlink ref="I992" r:id="rId3"/>
    <hyperlink ref="I993" r:id="rId4"/>
    <hyperlink ref="I994" r:id="rId5"/>
    <hyperlink ref="I990" r:id="rId6"/>
    <hyperlink ref="I991" r:id="rId7"/>
    <hyperlink ref="I788" r:id="rId8"/>
    <hyperlink ref="I789" r:id="rId9"/>
    <hyperlink ref="I995" r:id="rId10"/>
    <hyperlink ref="I825" r:id="rId11"/>
    <hyperlink ref="I996" r:id="rId12"/>
    <hyperlink ref="I997" r:id="rId13"/>
    <hyperlink ref="I998" r:id="rId14"/>
    <hyperlink ref="I853" r:id="rId15"/>
    <hyperlink ref="I854" r:id="rId16"/>
    <hyperlink ref="I876" r:id="rId17"/>
    <hyperlink ref="I999" r:id="rId18"/>
    <hyperlink ref="I883" r:id="rId19"/>
    <hyperlink ref="I1000" r:id="rId20"/>
    <hyperlink ref="I1001" r:id="rId21"/>
    <hyperlink ref="I882" r:id="rId22"/>
    <hyperlink ref="I851" r:id="rId23"/>
    <hyperlink ref="I1002" r:id="rId24"/>
    <hyperlink ref="I1003" r:id="rId25"/>
    <hyperlink ref="I1006" r:id="rId26"/>
    <hyperlink ref="I1005" r:id="rId27"/>
    <hyperlink ref="I1004" r:id="rId28"/>
    <hyperlink ref="I681" r:id="rId29"/>
    <hyperlink ref="I1007" r:id="rId30"/>
    <hyperlink ref="Q1035" r:id="rId31" display="..\..\..\..\09 Projects\05 2018\18PR0059_MEA_Takeda (TAK-041 Dosed animals)\03 Supplies\SYR237041 Takeda Proposal 56 Compound formulation Infos.xlsx"/>
    <hyperlink ref="Q1036" r:id="rId32" display="..\..\..\..\09 Projects\05 2018\18PR0059_MEA_Takeda (TAK-041 Dosed animals)\03 Supplies\SYR237041 Takeda Proposal 56 Compound formulation Infos.xlsx"/>
    <hyperlink ref="Q1037" r:id="rId33" display="..\..\..\..\09 Projects\05 2018\18PR0059_MEA_Takeda (TAK-041 Dosed animals)\03 Supplies\SYR237041 Takeda Proposal 56 Compound formulation Infos.xlsx"/>
    <hyperlink ref="Q1038" r:id="rId34" display="..\..\..\..\09 Projects\05 2018\18PR0059_MEA_Takeda (TAK-041 Dosed animals)\03 Supplies\SYR237041 Takeda Proposal 56 Compound formulation Infos.xlsx"/>
    <hyperlink ref="I1068" r:id="rId35"/>
    <hyperlink ref="I1069" r:id="rId36"/>
    <hyperlink ref="I1070" r:id="rId37"/>
  </hyperlinks>
  <pageMargins left="0.70866141732283472" right="0.70866141732283472" top="0.74803149606299213" bottom="0.74803149606299213" header="0.31496062992125984" footer="0.31496062992125984"/>
  <pageSetup paperSize="9" scale="10" orientation="landscape" r:id="rId38"/>
  <headerFooter>
    <oddHeader>&amp;L&amp;12Version xxApplication: mm/dd/yyyy&amp;R&amp;"-,Gras"&amp;14DR- &amp;YP NS N°XX&amp;Y-N°YY</oddHeader>
    <oddFooter>&amp;L&amp;A&amp;R&amp;P/&amp;N</oddFooter>
  </headerFooter>
  <drawing r:id="rId39"/>
  <legacyDrawing r:id="rId4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7011F9B2-0AA1-4B22-8499-C4648D757CFF}">
            <xm:f>NOT(ISERROR(SEARCH($T$7,E7)))</xm:f>
            <xm:f>$T$7</xm:f>
            <x14:dxf>
              <fill>
                <patternFill>
                  <bgColor theme="0" tint="-0.24994659260841701"/>
                </patternFill>
              </fill>
            </x14:dxf>
          </x14:cfRule>
          <xm:sqref>E7:S7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53"/>
  <sheetViews>
    <sheetView topLeftCell="B1" zoomScale="85" zoomScaleNormal="85" workbookViewId="0">
      <pane ySplit="3" topLeftCell="A37" activePane="bottomLeft" state="frozen"/>
      <selection pane="bottomLeft" activeCell="L56" sqref="L56"/>
    </sheetView>
  </sheetViews>
  <sheetFormatPr baseColWidth="10" defaultColWidth="11.42578125" defaultRowHeight="15" x14ac:dyDescent="0.25"/>
  <cols>
    <col min="1" max="1" width="19" style="594" customWidth="1"/>
    <col min="2" max="2" width="30.85546875" style="406" customWidth="1"/>
    <col min="3" max="3" width="13.5703125" style="406" customWidth="1"/>
    <col min="4" max="4" width="21" style="406" customWidth="1"/>
    <col min="5" max="5" width="36" style="406" bestFit="1" customWidth="1"/>
    <col min="6" max="6" width="12.140625" style="596" bestFit="1" customWidth="1"/>
    <col min="7" max="7" width="11.85546875" style="406" customWidth="1"/>
    <col min="8" max="8" width="16.7109375" style="406" customWidth="1"/>
    <col min="9" max="9" width="20.85546875" style="406" customWidth="1"/>
    <col min="10" max="10" width="14.7109375" style="182" customWidth="1"/>
    <col min="11" max="11" width="10.5703125" style="182" customWidth="1"/>
    <col min="12" max="12" width="16.140625" style="406" customWidth="1"/>
    <col min="13" max="14" width="17.7109375" style="406" customWidth="1"/>
    <col min="15" max="15" width="11.42578125" style="406"/>
    <col min="16" max="16" width="28.140625" style="406" customWidth="1"/>
    <col min="17" max="17" width="13.28515625" style="406" customWidth="1"/>
    <col min="18" max="16384" width="11.42578125" style="388"/>
  </cols>
  <sheetData>
    <row r="1" spans="1:17" ht="50.25" customHeight="1" x14ac:dyDescent="0.25">
      <c r="A1" s="772" t="s">
        <v>1340</v>
      </c>
      <c r="B1" s="772"/>
      <c r="C1" s="772"/>
      <c r="D1" s="773"/>
      <c r="E1" s="773"/>
      <c r="F1" s="773"/>
      <c r="G1" s="773"/>
      <c r="H1" s="773"/>
      <c r="I1" s="773"/>
      <c r="J1" s="773"/>
      <c r="K1" s="773"/>
      <c r="L1" s="773"/>
      <c r="M1" s="773"/>
      <c r="N1" s="773"/>
      <c r="O1" s="773"/>
      <c r="P1" s="773"/>
      <c r="Q1" s="773"/>
    </row>
    <row r="2" spans="1:17" ht="24" customHeight="1" x14ac:dyDescent="0.25">
      <c r="A2" s="774">
        <v>43269</v>
      </c>
      <c r="B2" s="775"/>
      <c r="C2" s="775"/>
      <c r="D2" s="776"/>
      <c r="E2" s="776"/>
      <c r="F2" s="776"/>
      <c r="G2" s="776"/>
      <c r="H2" s="776"/>
      <c r="I2" s="776"/>
      <c r="J2" s="776"/>
      <c r="K2" s="776"/>
      <c r="L2" s="776"/>
      <c r="M2" s="776"/>
      <c r="N2" s="776"/>
      <c r="O2" s="776"/>
      <c r="P2" s="776"/>
      <c r="Q2" s="776"/>
    </row>
    <row r="3" spans="1:17" ht="30" customHeight="1" x14ac:dyDescent="0.25">
      <c r="A3" s="209" t="s">
        <v>4</v>
      </c>
      <c r="B3" s="88" t="s">
        <v>10</v>
      </c>
      <c r="C3" s="210" t="s">
        <v>1232</v>
      </c>
      <c r="D3" s="610" t="s">
        <v>2791</v>
      </c>
      <c r="E3" s="538" t="s">
        <v>2792</v>
      </c>
      <c r="F3" s="539" t="s">
        <v>2793</v>
      </c>
      <c r="G3" s="447" t="s">
        <v>23</v>
      </c>
      <c r="H3" s="447" t="s">
        <v>2817</v>
      </c>
      <c r="I3" s="540" t="s">
        <v>2818</v>
      </c>
      <c r="J3" s="540" t="s">
        <v>2819</v>
      </c>
      <c r="K3" s="541" t="s">
        <v>1344</v>
      </c>
      <c r="L3" s="447" t="s">
        <v>37</v>
      </c>
      <c r="M3" s="447" t="s">
        <v>1237</v>
      </c>
      <c r="N3" s="447" t="s">
        <v>2794</v>
      </c>
      <c r="O3" s="447" t="s">
        <v>1239</v>
      </c>
      <c r="P3" s="447" t="s">
        <v>1240</v>
      </c>
      <c r="Q3" s="447" t="s">
        <v>1241</v>
      </c>
    </row>
    <row r="4" spans="1:17" ht="30" customHeight="1" x14ac:dyDescent="0.25">
      <c r="A4" s="499">
        <v>43132</v>
      </c>
      <c r="B4" s="500" t="s">
        <v>2832</v>
      </c>
      <c r="C4" s="501" t="s">
        <v>40</v>
      </c>
      <c r="D4" s="611" t="s">
        <v>701</v>
      </c>
      <c r="E4" s="612" t="s">
        <v>2833</v>
      </c>
      <c r="F4" s="613">
        <v>43132</v>
      </c>
      <c r="G4" s="614">
        <v>389.81</v>
      </c>
      <c r="H4" s="615">
        <v>30</v>
      </c>
      <c r="I4" s="616">
        <v>15.2</v>
      </c>
      <c r="J4" s="617">
        <f>(I4*K4/100)/(H4*G4)*1000</f>
        <v>1.2867807393345478</v>
      </c>
      <c r="K4" s="618">
        <v>99</v>
      </c>
      <c r="L4" s="619" t="s">
        <v>212</v>
      </c>
      <c r="M4" s="619" t="s">
        <v>1237</v>
      </c>
      <c r="N4" s="620" t="s">
        <v>2835</v>
      </c>
      <c r="O4" s="619" t="s">
        <v>2648</v>
      </c>
      <c r="P4" s="619" t="s">
        <v>2834</v>
      </c>
      <c r="Q4" s="621" t="s">
        <v>2983</v>
      </c>
    </row>
    <row r="5" spans="1:17" ht="30" customHeight="1" x14ac:dyDescent="0.25">
      <c r="A5" s="219">
        <v>43252</v>
      </c>
      <c r="B5" s="88" t="s">
        <v>3031</v>
      </c>
      <c r="C5" s="220" t="s">
        <v>170</v>
      </c>
      <c r="D5" s="622" t="s">
        <v>3147</v>
      </c>
      <c r="E5" s="623" t="s">
        <v>1545</v>
      </c>
      <c r="F5" s="624">
        <v>42497</v>
      </c>
      <c r="G5" s="625">
        <v>75.069999999999993</v>
      </c>
      <c r="H5" s="625">
        <v>1000</v>
      </c>
      <c r="I5" s="625">
        <v>95.9</v>
      </c>
      <c r="J5" s="626">
        <f t="shared" ref="J5:J54" si="0">(I5*K5/100)/(H5*G5)*1000</f>
        <v>1.2646996136938859</v>
      </c>
      <c r="K5" s="627">
        <v>99</v>
      </c>
      <c r="L5" s="628" t="s">
        <v>49</v>
      </c>
      <c r="M5" s="628" t="s">
        <v>2042</v>
      </c>
      <c r="N5" s="629" t="s">
        <v>3030</v>
      </c>
      <c r="O5" s="628" t="s">
        <v>2648</v>
      </c>
      <c r="P5" s="630"/>
      <c r="Q5" s="631" t="s">
        <v>3256</v>
      </c>
    </row>
    <row r="6" spans="1:17" ht="25.5" x14ac:dyDescent="0.25">
      <c r="A6" s="213">
        <v>43252</v>
      </c>
      <c r="B6" s="88" t="s">
        <v>3231</v>
      </c>
      <c r="C6" s="220" t="s">
        <v>40</v>
      </c>
      <c r="D6" s="622" t="s">
        <v>701</v>
      </c>
      <c r="E6" s="623" t="s">
        <v>3232</v>
      </c>
      <c r="F6" s="624">
        <v>42971</v>
      </c>
      <c r="G6" s="625">
        <v>602.58000000000004</v>
      </c>
      <c r="H6" s="625">
        <v>100</v>
      </c>
      <c r="I6" s="627">
        <v>35.700000000000003</v>
      </c>
      <c r="J6" s="626">
        <f t="shared" si="0"/>
        <v>0.58652792990142388</v>
      </c>
      <c r="K6" s="627">
        <v>99</v>
      </c>
      <c r="L6" s="628" t="s">
        <v>212</v>
      </c>
      <c r="M6" s="628" t="s">
        <v>3192</v>
      </c>
      <c r="N6" s="629" t="s">
        <v>3228</v>
      </c>
      <c r="O6" s="628" t="s">
        <v>2648</v>
      </c>
      <c r="P6" s="630"/>
      <c r="Q6" s="631" t="s">
        <v>3256</v>
      </c>
    </row>
    <row r="7" spans="1:17" ht="25.5" x14ac:dyDescent="0.25">
      <c r="A7" s="221">
        <v>43252</v>
      </c>
      <c r="B7" s="88" t="s">
        <v>3078</v>
      </c>
      <c r="C7" s="220" t="s">
        <v>40</v>
      </c>
      <c r="D7" s="632" t="s">
        <v>701</v>
      </c>
      <c r="E7" s="633" t="s">
        <v>1582</v>
      </c>
      <c r="F7" s="634">
        <v>43178</v>
      </c>
      <c r="G7" s="635">
        <v>319.27999999999997</v>
      </c>
      <c r="H7" s="625">
        <v>1</v>
      </c>
      <c r="I7" s="627">
        <v>1</v>
      </c>
      <c r="J7" s="626">
        <f t="shared" si="0"/>
        <v>3.1007266349285896</v>
      </c>
      <c r="K7" s="627">
        <v>99</v>
      </c>
      <c r="L7" s="628" t="s">
        <v>1724</v>
      </c>
      <c r="M7" s="628" t="s">
        <v>1431</v>
      </c>
      <c r="N7" s="629" t="s">
        <v>3228</v>
      </c>
      <c r="O7" s="628" t="s">
        <v>2648</v>
      </c>
      <c r="P7" s="630"/>
      <c r="Q7" s="631" t="s">
        <v>3256</v>
      </c>
    </row>
    <row r="8" spans="1:17" ht="25.5" x14ac:dyDescent="0.25">
      <c r="A8" s="221">
        <v>43252</v>
      </c>
      <c r="B8" s="88" t="s">
        <v>3231</v>
      </c>
      <c r="C8" s="220" t="s">
        <v>40</v>
      </c>
      <c r="D8" s="632" t="s">
        <v>701</v>
      </c>
      <c r="E8" s="633" t="s">
        <v>3232</v>
      </c>
      <c r="F8" s="624">
        <v>42971</v>
      </c>
      <c r="G8" s="625">
        <v>602.58000000000004</v>
      </c>
      <c r="H8" s="625">
        <v>100</v>
      </c>
      <c r="I8" s="627">
        <v>45.4</v>
      </c>
      <c r="J8" s="626">
        <f t="shared" si="0"/>
        <v>0.74589266155531198</v>
      </c>
      <c r="K8" s="627">
        <v>99</v>
      </c>
      <c r="L8" s="628" t="s">
        <v>212</v>
      </c>
      <c r="M8" s="628" t="s">
        <v>3192</v>
      </c>
      <c r="N8" s="629" t="s">
        <v>3228</v>
      </c>
      <c r="O8" s="628" t="s">
        <v>2648</v>
      </c>
      <c r="P8" s="630"/>
      <c r="Q8" s="631" t="s">
        <v>3256</v>
      </c>
    </row>
    <row r="9" spans="1:17" ht="25.5" x14ac:dyDescent="0.25">
      <c r="A9" s="221">
        <v>43252</v>
      </c>
      <c r="B9" s="88" t="s">
        <v>3235</v>
      </c>
      <c r="C9" s="220" t="s">
        <v>170</v>
      </c>
      <c r="D9" s="632" t="s">
        <v>701</v>
      </c>
      <c r="E9" s="623" t="s">
        <v>2558</v>
      </c>
      <c r="F9" s="634">
        <v>43070</v>
      </c>
      <c r="G9" s="635">
        <v>89.09</v>
      </c>
      <c r="H9" s="625" t="s">
        <v>3114</v>
      </c>
      <c r="I9" s="627">
        <v>8000</v>
      </c>
      <c r="J9" s="626"/>
      <c r="K9" s="636">
        <v>99</v>
      </c>
      <c r="L9" s="628" t="s">
        <v>49</v>
      </c>
      <c r="M9" s="628" t="s">
        <v>2121</v>
      </c>
      <c r="N9" s="637" t="s">
        <v>3149</v>
      </c>
      <c r="O9" s="628" t="s">
        <v>2648</v>
      </c>
      <c r="P9" s="630"/>
      <c r="Q9" s="631" t="s">
        <v>3256</v>
      </c>
    </row>
    <row r="10" spans="1:17" ht="30" x14ac:dyDescent="0.25">
      <c r="A10" s="221">
        <v>43255</v>
      </c>
      <c r="B10" s="88" t="s">
        <v>3236</v>
      </c>
      <c r="C10" s="220" t="s">
        <v>40</v>
      </c>
      <c r="D10" s="632" t="s">
        <v>701</v>
      </c>
      <c r="E10" s="633" t="s">
        <v>3237</v>
      </c>
      <c r="F10" s="624">
        <v>43255</v>
      </c>
      <c r="G10" s="625" t="s">
        <v>61</v>
      </c>
      <c r="H10" s="625" t="s">
        <v>61</v>
      </c>
      <c r="I10" s="627" t="s">
        <v>61</v>
      </c>
      <c r="J10" s="626" t="e">
        <f t="shared" si="0"/>
        <v>#VALUE!</v>
      </c>
      <c r="K10" s="627" t="s">
        <v>61</v>
      </c>
      <c r="L10" s="628" t="s">
        <v>1434</v>
      </c>
      <c r="M10" s="628" t="s">
        <v>2873</v>
      </c>
      <c r="N10" s="629" t="s">
        <v>3238</v>
      </c>
      <c r="O10" s="628" t="s">
        <v>2648</v>
      </c>
      <c r="P10" s="630"/>
      <c r="Q10" s="631" t="s">
        <v>3256</v>
      </c>
    </row>
    <row r="11" spans="1:17" ht="25.5" x14ac:dyDescent="0.25">
      <c r="A11" s="219">
        <v>43255</v>
      </c>
      <c r="B11" s="88" t="s">
        <v>3031</v>
      </c>
      <c r="C11" s="220" t="s">
        <v>170</v>
      </c>
      <c r="D11" s="622" t="s">
        <v>3147</v>
      </c>
      <c r="E11" s="623" t="s">
        <v>1545</v>
      </c>
      <c r="F11" s="624">
        <v>42497</v>
      </c>
      <c r="G11" s="625">
        <v>75.069999999999993</v>
      </c>
      <c r="H11" s="625">
        <v>1000</v>
      </c>
      <c r="I11" s="625">
        <v>98.68</v>
      </c>
      <c r="J11" s="626">
        <f t="shared" ref="J11" si="1">(I11*K11/100)/(H11*G11)*1000</f>
        <v>1.3013613960303718</v>
      </c>
      <c r="K11" s="627">
        <v>99</v>
      </c>
      <c r="L11" s="628" t="s">
        <v>49</v>
      </c>
      <c r="M11" s="628" t="s">
        <v>2042</v>
      </c>
      <c r="N11" s="629" t="s">
        <v>3030</v>
      </c>
      <c r="O11" s="628" t="s">
        <v>2648</v>
      </c>
      <c r="P11" s="630"/>
      <c r="Q11" s="631" t="s">
        <v>3256</v>
      </c>
    </row>
    <row r="12" spans="1:17" ht="25.5" x14ac:dyDescent="0.25">
      <c r="A12" s="221">
        <v>43255</v>
      </c>
      <c r="B12" s="88" t="s">
        <v>3239</v>
      </c>
      <c r="C12" s="220" t="s">
        <v>170</v>
      </c>
      <c r="D12" s="632" t="s">
        <v>701</v>
      </c>
      <c r="E12" s="633" t="s">
        <v>3092</v>
      </c>
      <c r="F12" s="624">
        <v>43255</v>
      </c>
      <c r="G12" s="625">
        <v>276.12</v>
      </c>
      <c r="H12" s="625">
        <v>20</v>
      </c>
      <c r="I12" s="627">
        <v>45.6</v>
      </c>
      <c r="J12" s="626">
        <f t="shared" si="0"/>
        <v>8.2572794437201225</v>
      </c>
      <c r="K12" s="627">
        <v>100</v>
      </c>
      <c r="L12" s="628" t="s">
        <v>49</v>
      </c>
      <c r="M12" s="628" t="s">
        <v>2121</v>
      </c>
      <c r="N12" s="629" t="s">
        <v>3030</v>
      </c>
      <c r="O12" s="628" t="s">
        <v>2846</v>
      </c>
      <c r="P12" s="630"/>
      <c r="Q12" s="631" t="s">
        <v>3256</v>
      </c>
    </row>
    <row r="13" spans="1:17" ht="25.5" x14ac:dyDescent="0.25">
      <c r="A13" s="221">
        <v>43256</v>
      </c>
      <c r="B13" s="88" t="s">
        <v>3031</v>
      </c>
      <c r="C13" s="220" t="s">
        <v>170</v>
      </c>
      <c r="D13" s="622" t="s">
        <v>3147</v>
      </c>
      <c r="E13" s="623" t="s">
        <v>1545</v>
      </c>
      <c r="F13" s="624">
        <v>42497</v>
      </c>
      <c r="G13" s="625">
        <v>75.069999999999993</v>
      </c>
      <c r="H13" s="625">
        <v>1000</v>
      </c>
      <c r="I13" s="625">
        <v>74.239999999999995</v>
      </c>
      <c r="J13" s="626">
        <f>(I13*K13/100)/(H13*G13)*1000</f>
        <v>0.98795470893832438</v>
      </c>
      <c r="K13" s="627">
        <v>99.9</v>
      </c>
      <c r="L13" s="628" t="s">
        <v>49</v>
      </c>
      <c r="M13" s="628" t="s">
        <v>1613</v>
      </c>
      <c r="N13" s="629" t="s">
        <v>3030</v>
      </c>
      <c r="O13" s="628" t="s">
        <v>2648</v>
      </c>
      <c r="P13" s="630"/>
      <c r="Q13" s="631" t="s">
        <v>3256</v>
      </c>
    </row>
    <row r="14" spans="1:17" ht="25.5" x14ac:dyDescent="0.25">
      <c r="A14" s="221">
        <v>43257</v>
      </c>
      <c r="B14" s="88" t="s">
        <v>3031</v>
      </c>
      <c r="C14" s="220" t="s">
        <v>170</v>
      </c>
      <c r="D14" s="622" t="s">
        <v>3147</v>
      </c>
      <c r="E14" s="623" t="s">
        <v>1545</v>
      </c>
      <c r="F14" s="624">
        <v>42497</v>
      </c>
      <c r="G14" s="625">
        <v>75.069999999999993</v>
      </c>
      <c r="H14" s="625">
        <v>1000</v>
      </c>
      <c r="I14" s="625">
        <v>108.33</v>
      </c>
      <c r="J14" s="626">
        <f>(I14*K14/100)/(H14*G14)*1000</f>
        <v>1.4416100972425738</v>
      </c>
      <c r="K14" s="627">
        <v>99.9</v>
      </c>
      <c r="L14" s="628" t="s">
        <v>49</v>
      </c>
      <c r="M14" s="628" t="s">
        <v>2042</v>
      </c>
      <c r="N14" s="629" t="s">
        <v>3030</v>
      </c>
      <c r="O14" s="628" t="s">
        <v>2648</v>
      </c>
      <c r="P14" s="630"/>
      <c r="Q14" s="631" t="s">
        <v>3256</v>
      </c>
    </row>
    <row r="15" spans="1:17" ht="25.5" x14ac:dyDescent="0.25">
      <c r="A15" s="221">
        <v>43257</v>
      </c>
      <c r="B15" s="88" t="s">
        <v>2999</v>
      </c>
      <c r="C15" s="220" t="s">
        <v>170</v>
      </c>
      <c r="D15" s="632" t="s">
        <v>701</v>
      </c>
      <c r="E15" s="633" t="s">
        <v>1582</v>
      </c>
      <c r="F15" s="634">
        <v>43178</v>
      </c>
      <c r="G15" s="635">
        <v>319.27999999999997</v>
      </c>
      <c r="H15" s="625">
        <v>1</v>
      </c>
      <c r="I15" s="627">
        <v>1</v>
      </c>
      <c r="J15" s="626">
        <f t="shared" ref="J15" si="2">(I15*K15/100)/(H15*G15)*1000</f>
        <v>3.1007266349285896</v>
      </c>
      <c r="K15" s="627">
        <v>99</v>
      </c>
      <c r="L15" s="628" t="s">
        <v>1724</v>
      </c>
      <c r="M15" s="628" t="s">
        <v>1613</v>
      </c>
      <c r="N15" s="629" t="s">
        <v>3030</v>
      </c>
      <c r="O15" s="628" t="s">
        <v>2846</v>
      </c>
      <c r="P15" s="630"/>
      <c r="Q15" s="631" t="s">
        <v>3256</v>
      </c>
    </row>
    <row r="16" spans="1:17" ht="25.5" x14ac:dyDescent="0.25">
      <c r="A16" s="221">
        <v>43257</v>
      </c>
      <c r="B16" s="88" t="s">
        <v>3032</v>
      </c>
      <c r="C16" s="220" t="s">
        <v>40</v>
      </c>
      <c r="D16" s="632" t="s">
        <v>701</v>
      </c>
      <c r="E16" s="633" t="s">
        <v>689</v>
      </c>
      <c r="F16" s="624">
        <v>43075</v>
      </c>
      <c r="G16" s="625">
        <v>182.7</v>
      </c>
      <c r="H16" s="625">
        <v>50</v>
      </c>
      <c r="I16" s="627">
        <v>41.9</v>
      </c>
      <c r="J16" s="626">
        <f>(I16*K16/100)/(H16*G16)*1000</f>
        <v>4.5408866995073884</v>
      </c>
      <c r="K16" s="627">
        <v>99</v>
      </c>
      <c r="L16" s="628" t="s">
        <v>49</v>
      </c>
      <c r="M16" s="628" t="s">
        <v>1463</v>
      </c>
      <c r="N16" s="629" t="s">
        <v>3131</v>
      </c>
      <c r="O16" s="628" t="s">
        <v>2648</v>
      </c>
      <c r="P16" s="630"/>
      <c r="Q16" s="631" t="s">
        <v>3256</v>
      </c>
    </row>
    <row r="17" spans="1:18" ht="25.5" x14ac:dyDescent="0.25">
      <c r="A17" s="221">
        <v>43257</v>
      </c>
      <c r="B17" s="88" t="s">
        <v>3241</v>
      </c>
      <c r="C17" s="220" t="s">
        <v>170</v>
      </c>
      <c r="D17" s="632" t="s">
        <v>701</v>
      </c>
      <c r="E17" s="633" t="s">
        <v>2218</v>
      </c>
      <c r="F17" s="624">
        <v>43257</v>
      </c>
      <c r="G17" s="625"/>
      <c r="H17" s="625"/>
      <c r="I17" s="627"/>
      <c r="J17" s="626" t="e">
        <f t="shared" si="0"/>
        <v>#DIV/0!</v>
      </c>
      <c r="K17" s="627"/>
      <c r="L17" s="628"/>
      <c r="M17" s="628" t="s">
        <v>1431</v>
      </c>
      <c r="N17" s="629" t="s">
        <v>1493</v>
      </c>
      <c r="O17" s="628" t="s">
        <v>2846</v>
      </c>
      <c r="P17" s="630"/>
      <c r="Q17" s="631" t="s">
        <v>3256</v>
      </c>
    </row>
    <row r="18" spans="1:18" ht="25.5" x14ac:dyDescent="0.25">
      <c r="A18" s="221">
        <v>43258</v>
      </c>
      <c r="B18" s="88" t="s">
        <v>3031</v>
      </c>
      <c r="C18" s="220" t="s">
        <v>170</v>
      </c>
      <c r="D18" s="622" t="s">
        <v>3147</v>
      </c>
      <c r="E18" s="623" t="s">
        <v>1545</v>
      </c>
      <c r="F18" s="624">
        <v>42497</v>
      </c>
      <c r="G18" s="625">
        <v>75.069999999999993</v>
      </c>
      <c r="H18" s="625">
        <v>1000</v>
      </c>
      <c r="I18" s="625">
        <v>110.8</v>
      </c>
      <c r="J18" s="626">
        <f>(I18*K18/100)/(H18*G18)*1000</f>
        <v>1.4744798188357533</v>
      </c>
      <c r="K18" s="627">
        <v>99.9</v>
      </c>
      <c r="L18" s="628" t="s">
        <v>49</v>
      </c>
      <c r="M18" s="628" t="s">
        <v>1613</v>
      </c>
      <c r="N18" s="629" t="s">
        <v>3030</v>
      </c>
      <c r="O18" s="628" t="s">
        <v>2648</v>
      </c>
      <c r="P18" s="630"/>
      <c r="Q18" s="631" t="s">
        <v>3256</v>
      </c>
    </row>
    <row r="19" spans="1:18" ht="30" x14ac:dyDescent="0.25">
      <c r="A19" s="221">
        <v>43258</v>
      </c>
      <c r="B19" s="88" t="s">
        <v>3243</v>
      </c>
      <c r="C19" s="220" t="s">
        <v>40</v>
      </c>
      <c r="D19" s="632" t="s">
        <v>701</v>
      </c>
      <c r="E19" s="633" t="s">
        <v>689</v>
      </c>
      <c r="F19" s="624">
        <v>42235</v>
      </c>
      <c r="G19" s="625" t="s">
        <v>61</v>
      </c>
      <c r="H19" s="625" t="s">
        <v>61</v>
      </c>
      <c r="I19" s="627" t="s">
        <v>61</v>
      </c>
      <c r="J19" s="626" t="e">
        <f t="shared" si="0"/>
        <v>#VALUE!</v>
      </c>
      <c r="K19" s="627" t="s">
        <v>61</v>
      </c>
      <c r="L19" s="628"/>
      <c r="M19" s="628" t="s">
        <v>1463</v>
      </c>
      <c r="N19" s="629" t="s">
        <v>61</v>
      </c>
      <c r="O19" s="628" t="s">
        <v>2846</v>
      </c>
      <c r="P19" s="630" t="s">
        <v>3244</v>
      </c>
      <c r="Q19" s="631" t="s">
        <v>3256</v>
      </c>
    </row>
    <row r="20" spans="1:18" ht="25.5" x14ac:dyDescent="0.25">
      <c r="A20" s="221">
        <v>43259</v>
      </c>
      <c r="B20" s="88" t="s">
        <v>3247</v>
      </c>
      <c r="C20" s="220" t="s">
        <v>40</v>
      </c>
      <c r="D20" s="632" t="s">
        <v>701</v>
      </c>
      <c r="E20" s="633" t="s">
        <v>3248</v>
      </c>
      <c r="F20" s="624">
        <v>43242</v>
      </c>
      <c r="G20" s="625">
        <v>213.23</v>
      </c>
      <c r="H20" s="625">
        <v>1</v>
      </c>
      <c r="I20" s="627">
        <v>1.54</v>
      </c>
      <c r="J20" s="626">
        <f t="shared" si="0"/>
        <v>7.2222482765089344</v>
      </c>
      <c r="K20" s="627">
        <v>100</v>
      </c>
      <c r="L20" s="628" t="s">
        <v>49</v>
      </c>
      <c r="M20" s="628" t="s">
        <v>1463</v>
      </c>
      <c r="N20" s="629" t="s">
        <v>3131</v>
      </c>
      <c r="O20" s="628" t="s">
        <v>2648</v>
      </c>
      <c r="P20" s="630"/>
      <c r="Q20" s="631" t="s">
        <v>3256</v>
      </c>
    </row>
    <row r="21" spans="1:18" ht="25.5" x14ac:dyDescent="0.25">
      <c r="A21" s="221">
        <v>43259</v>
      </c>
      <c r="B21" s="88" t="s">
        <v>3031</v>
      </c>
      <c r="C21" s="220" t="s">
        <v>170</v>
      </c>
      <c r="D21" s="622" t="s">
        <v>3147</v>
      </c>
      <c r="E21" s="623" t="s">
        <v>1545</v>
      </c>
      <c r="F21" s="624">
        <v>42497</v>
      </c>
      <c r="G21" s="625">
        <v>75.069999999999993</v>
      </c>
      <c r="H21" s="625">
        <v>1000</v>
      </c>
      <c r="I21" s="625">
        <v>88.53</v>
      </c>
      <c r="J21" s="626">
        <f>(I21*K21/100)/(H21*G21)*1000</f>
        <v>1.1781200213134411</v>
      </c>
      <c r="K21" s="627">
        <v>99.9</v>
      </c>
      <c r="L21" s="628" t="s">
        <v>49</v>
      </c>
      <c r="M21" s="628" t="s">
        <v>2042</v>
      </c>
      <c r="N21" s="629" t="s">
        <v>3030</v>
      </c>
      <c r="O21" s="628" t="s">
        <v>2648</v>
      </c>
      <c r="P21" s="630"/>
      <c r="Q21" s="631" t="s">
        <v>3256</v>
      </c>
    </row>
    <row r="22" spans="1:18" ht="25.5" x14ac:dyDescent="0.25">
      <c r="A22" s="221">
        <v>43262</v>
      </c>
      <c r="B22" s="88" t="s">
        <v>3252</v>
      </c>
      <c r="C22" s="220" t="s">
        <v>40</v>
      </c>
      <c r="D22" s="632" t="s">
        <v>701</v>
      </c>
      <c r="E22" s="633" t="s">
        <v>177</v>
      </c>
      <c r="F22" s="624">
        <v>42557</v>
      </c>
      <c r="G22" s="625">
        <v>147.13</v>
      </c>
      <c r="H22" s="625">
        <v>10</v>
      </c>
      <c r="I22" s="627">
        <v>2.23</v>
      </c>
      <c r="J22" s="626">
        <f t="shared" si="0"/>
        <v>1.5005097532794127</v>
      </c>
      <c r="K22" s="627">
        <v>99</v>
      </c>
      <c r="L22" s="628" t="s">
        <v>49</v>
      </c>
      <c r="M22" s="628" t="s">
        <v>1463</v>
      </c>
      <c r="N22" s="629" t="s">
        <v>1493</v>
      </c>
      <c r="O22" s="628" t="s">
        <v>2648</v>
      </c>
      <c r="P22" s="630"/>
      <c r="Q22" s="631" t="s">
        <v>3256</v>
      </c>
    </row>
    <row r="23" spans="1:18" ht="25.5" x14ac:dyDescent="0.25">
      <c r="A23" s="221">
        <v>43262</v>
      </c>
      <c r="B23" s="88" t="s">
        <v>3252</v>
      </c>
      <c r="C23" s="220" t="s">
        <v>40</v>
      </c>
      <c r="D23" s="632" t="s">
        <v>701</v>
      </c>
      <c r="E23" s="633" t="s">
        <v>177</v>
      </c>
      <c r="F23" s="624">
        <v>42557</v>
      </c>
      <c r="G23" s="625">
        <v>147.13</v>
      </c>
      <c r="H23" s="625">
        <v>10</v>
      </c>
      <c r="I23" s="627">
        <v>4.1100000000000003</v>
      </c>
      <c r="J23" s="626">
        <f t="shared" si="0"/>
        <v>2.7655134914701289</v>
      </c>
      <c r="K23" s="627">
        <v>99</v>
      </c>
      <c r="L23" s="628" t="s">
        <v>49</v>
      </c>
      <c r="M23" s="628" t="s">
        <v>1431</v>
      </c>
      <c r="N23" s="629" t="s">
        <v>1493</v>
      </c>
      <c r="O23" s="628" t="s">
        <v>2648</v>
      </c>
      <c r="P23" s="630"/>
      <c r="Q23" s="631" t="s">
        <v>3256</v>
      </c>
    </row>
    <row r="24" spans="1:18" ht="25.5" x14ac:dyDescent="0.25">
      <c r="A24" s="221">
        <v>43263</v>
      </c>
      <c r="B24" s="88" t="s">
        <v>3253</v>
      </c>
      <c r="C24" s="220" t="s">
        <v>40</v>
      </c>
      <c r="D24" s="632" t="s">
        <v>701</v>
      </c>
      <c r="E24" s="633" t="s">
        <v>779</v>
      </c>
      <c r="F24" s="624" t="s">
        <v>61</v>
      </c>
      <c r="G24" s="625">
        <v>197.13</v>
      </c>
      <c r="H24" s="625">
        <v>30</v>
      </c>
      <c r="I24" s="627">
        <v>12.66</v>
      </c>
      <c r="J24" s="626">
        <f t="shared" si="0"/>
        <v>2.140719322274641</v>
      </c>
      <c r="K24" s="627">
        <v>100</v>
      </c>
      <c r="L24" s="628" t="s">
        <v>49</v>
      </c>
      <c r="M24" s="628" t="s">
        <v>1431</v>
      </c>
      <c r="N24" s="629" t="s">
        <v>1493</v>
      </c>
      <c r="O24" s="628" t="s">
        <v>2648</v>
      </c>
      <c r="P24" s="630"/>
      <c r="Q24" s="631" t="s">
        <v>3256</v>
      </c>
    </row>
    <row r="25" spans="1:18" ht="25.5" x14ac:dyDescent="0.25">
      <c r="A25" s="221">
        <v>43263</v>
      </c>
      <c r="B25" s="88" t="s">
        <v>3252</v>
      </c>
      <c r="C25" s="220" t="s">
        <v>40</v>
      </c>
      <c r="D25" s="632" t="s">
        <v>701</v>
      </c>
      <c r="E25" s="633" t="s">
        <v>177</v>
      </c>
      <c r="F25" s="624">
        <v>42557</v>
      </c>
      <c r="G25" s="625">
        <v>147.13</v>
      </c>
      <c r="H25" s="625">
        <v>20</v>
      </c>
      <c r="I25" s="627">
        <v>8.02</v>
      </c>
      <c r="J25" s="626">
        <f t="shared" si="0"/>
        <v>2.6982260585876432</v>
      </c>
      <c r="K25" s="627">
        <v>99</v>
      </c>
      <c r="L25" s="628" t="s">
        <v>49</v>
      </c>
      <c r="M25" s="628" t="s">
        <v>1431</v>
      </c>
      <c r="N25" s="629" t="s">
        <v>1493</v>
      </c>
      <c r="O25" s="628" t="s">
        <v>2648</v>
      </c>
      <c r="P25" s="630"/>
      <c r="Q25" s="631" t="s">
        <v>3256</v>
      </c>
    </row>
    <row r="26" spans="1:18" ht="25.5" x14ac:dyDescent="0.25">
      <c r="A26" s="221">
        <v>43263</v>
      </c>
      <c r="B26" s="88" t="s">
        <v>3254</v>
      </c>
      <c r="C26" s="220" t="s">
        <v>40</v>
      </c>
      <c r="D26" s="632" t="s">
        <v>3257</v>
      </c>
      <c r="E26" s="633" t="s">
        <v>408</v>
      </c>
      <c r="F26" s="624">
        <v>41564</v>
      </c>
      <c r="G26" s="625">
        <v>353.5</v>
      </c>
      <c r="H26" s="625">
        <v>10</v>
      </c>
      <c r="I26" s="627">
        <v>2.54</v>
      </c>
      <c r="J26" s="626">
        <f t="shared" si="0"/>
        <v>0.71852899575671858</v>
      </c>
      <c r="K26" s="627">
        <v>100</v>
      </c>
      <c r="L26" s="628" t="s">
        <v>212</v>
      </c>
      <c r="M26" s="628" t="s">
        <v>1431</v>
      </c>
      <c r="N26" s="629" t="s">
        <v>1493</v>
      </c>
      <c r="O26" s="628" t="s">
        <v>2648</v>
      </c>
      <c r="P26" s="630"/>
      <c r="Q26" s="631" t="s">
        <v>3256</v>
      </c>
      <c r="R26" s="222"/>
    </row>
    <row r="27" spans="1:18" ht="25.5" x14ac:dyDescent="0.25">
      <c r="A27" s="221">
        <v>43264</v>
      </c>
      <c r="B27" s="88" t="s">
        <v>3255</v>
      </c>
      <c r="C27" s="220" t="s">
        <v>170</v>
      </c>
      <c r="D27" s="632" t="s">
        <v>701</v>
      </c>
      <c r="E27" s="633" t="s">
        <v>779</v>
      </c>
      <c r="F27" s="638">
        <v>43087</v>
      </c>
      <c r="G27" s="625">
        <v>197.13</v>
      </c>
      <c r="H27" s="625">
        <v>25</v>
      </c>
      <c r="I27" s="627">
        <v>42</v>
      </c>
      <c r="J27" s="626">
        <f t="shared" si="0"/>
        <v>8.5222949322781911</v>
      </c>
      <c r="K27" s="627">
        <v>100</v>
      </c>
      <c r="L27" s="628" t="s">
        <v>49</v>
      </c>
      <c r="M27" s="628" t="s">
        <v>2262</v>
      </c>
      <c r="N27" s="629" t="s">
        <v>3202</v>
      </c>
      <c r="O27" s="628" t="s">
        <v>2648</v>
      </c>
      <c r="P27" s="630"/>
      <c r="Q27" s="631" t="s">
        <v>3256</v>
      </c>
    </row>
    <row r="28" spans="1:18" ht="25.5" x14ac:dyDescent="0.25">
      <c r="A28" s="221">
        <v>43264</v>
      </c>
      <c r="B28" s="88" t="s">
        <v>3247</v>
      </c>
      <c r="C28" s="220" t="s">
        <v>40</v>
      </c>
      <c r="D28" s="632" t="s">
        <v>701</v>
      </c>
      <c r="E28" s="633" t="s">
        <v>3248</v>
      </c>
      <c r="F28" s="624">
        <v>43242</v>
      </c>
      <c r="G28" s="625">
        <v>213.23</v>
      </c>
      <c r="H28" s="625">
        <v>1</v>
      </c>
      <c r="I28" s="627">
        <v>5.26</v>
      </c>
      <c r="J28" s="626">
        <f t="shared" si="0"/>
        <v>24.66819865872532</v>
      </c>
      <c r="K28" s="627">
        <v>100</v>
      </c>
      <c r="L28" s="628" t="s">
        <v>49</v>
      </c>
      <c r="M28" s="628" t="s">
        <v>3192</v>
      </c>
      <c r="N28" s="629" t="s">
        <v>3131</v>
      </c>
      <c r="O28" s="628" t="s">
        <v>2846</v>
      </c>
      <c r="P28" s="630"/>
      <c r="Q28" s="631" t="s">
        <v>3256</v>
      </c>
    </row>
    <row r="29" spans="1:18" ht="25.5" x14ac:dyDescent="0.25">
      <c r="A29" s="221">
        <v>43265</v>
      </c>
      <c r="B29" s="88" t="s">
        <v>3158</v>
      </c>
      <c r="C29" s="220" t="s">
        <v>170</v>
      </c>
      <c r="D29" s="632" t="s">
        <v>701</v>
      </c>
      <c r="E29" s="633" t="s">
        <v>3036</v>
      </c>
      <c r="F29" s="624">
        <v>43235</v>
      </c>
      <c r="G29" s="625" t="s">
        <v>61</v>
      </c>
      <c r="H29" s="625" t="s">
        <v>61</v>
      </c>
      <c r="I29" s="627" t="s">
        <v>61</v>
      </c>
      <c r="J29" s="626" t="e">
        <f t="shared" si="0"/>
        <v>#VALUE!</v>
      </c>
      <c r="K29" s="627" t="s">
        <v>61</v>
      </c>
      <c r="L29" s="628"/>
      <c r="M29" s="628" t="s">
        <v>2262</v>
      </c>
      <c r="N29" s="629"/>
      <c r="O29" s="628" t="s">
        <v>2846</v>
      </c>
      <c r="P29" s="630"/>
      <c r="Q29" s="631" t="s">
        <v>3304</v>
      </c>
    </row>
    <row r="30" spans="1:18" ht="25.5" x14ac:dyDescent="0.25">
      <c r="A30" s="221">
        <v>43265</v>
      </c>
      <c r="B30" s="88" t="s">
        <v>3258</v>
      </c>
      <c r="C30" s="220" t="s">
        <v>170</v>
      </c>
      <c r="D30" s="632" t="s">
        <v>701</v>
      </c>
      <c r="E30" s="633" t="s">
        <v>3036</v>
      </c>
      <c r="F30" s="624">
        <v>43265</v>
      </c>
      <c r="G30" s="625" t="s">
        <v>61</v>
      </c>
      <c r="H30" s="625" t="s">
        <v>61</v>
      </c>
      <c r="I30" s="627" t="s">
        <v>61</v>
      </c>
      <c r="J30" s="626" t="e">
        <f t="shared" si="0"/>
        <v>#VALUE!</v>
      </c>
      <c r="K30" s="627" t="s">
        <v>61</v>
      </c>
      <c r="L30" s="628"/>
      <c r="M30" s="628" t="s">
        <v>2262</v>
      </c>
      <c r="N30" s="629"/>
      <c r="O30" s="628" t="s">
        <v>2648</v>
      </c>
      <c r="P30" s="630"/>
      <c r="Q30" s="631" t="s">
        <v>3304</v>
      </c>
    </row>
    <row r="31" spans="1:18" ht="25.5" x14ac:dyDescent="0.25">
      <c r="A31" s="221">
        <v>43266</v>
      </c>
      <c r="B31" s="88" t="s">
        <v>3032</v>
      </c>
      <c r="C31" s="220" t="s">
        <v>40</v>
      </c>
      <c r="D31" s="632" t="s">
        <v>701</v>
      </c>
      <c r="E31" s="633" t="s">
        <v>689</v>
      </c>
      <c r="F31" s="624">
        <v>43075</v>
      </c>
      <c r="G31" s="625">
        <v>182.7</v>
      </c>
      <c r="H31" s="625">
        <v>50</v>
      </c>
      <c r="I31" s="627">
        <v>18.899999999999999</v>
      </c>
      <c r="J31" s="626">
        <f t="shared" si="0"/>
        <v>2.0482758620689654</v>
      </c>
      <c r="K31" s="627">
        <v>99</v>
      </c>
      <c r="L31" s="628" t="s">
        <v>49</v>
      </c>
      <c r="M31" s="628" t="s">
        <v>1431</v>
      </c>
      <c r="N31" s="629" t="s">
        <v>3131</v>
      </c>
      <c r="O31" s="628" t="s">
        <v>2648</v>
      </c>
      <c r="P31" s="630"/>
      <c r="Q31" s="631" t="s">
        <v>3304</v>
      </c>
    </row>
    <row r="32" spans="1:18" ht="25.5" x14ac:dyDescent="0.25">
      <c r="A32" s="221">
        <v>43269</v>
      </c>
      <c r="B32" s="88" t="s">
        <v>3261</v>
      </c>
      <c r="C32" s="220" t="s">
        <v>40</v>
      </c>
      <c r="D32" s="632" t="s">
        <v>2630</v>
      </c>
      <c r="E32" s="633" t="s">
        <v>2636</v>
      </c>
      <c r="F32" s="624">
        <v>43269</v>
      </c>
      <c r="G32" s="625">
        <v>386.88</v>
      </c>
      <c r="H32" s="625">
        <v>10</v>
      </c>
      <c r="I32" s="627">
        <v>11</v>
      </c>
      <c r="J32" s="626">
        <f t="shared" si="0"/>
        <v>2.8432588916459882</v>
      </c>
      <c r="K32" s="627">
        <v>100</v>
      </c>
      <c r="L32" s="628" t="s">
        <v>49</v>
      </c>
      <c r="M32" s="628" t="s">
        <v>1416</v>
      </c>
      <c r="N32" s="629" t="s">
        <v>2974</v>
      </c>
      <c r="O32" s="628" t="s">
        <v>2648</v>
      </c>
      <c r="P32" s="630"/>
      <c r="Q32" s="631" t="s">
        <v>3304</v>
      </c>
    </row>
    <row r="33" spans="1:17" ht="25.5" x14ac:dyDescent="0.25">
      <c r="A33" s="221">
        <v>43269</v>
      </c>
      <c r="B33" s="88" t="s">
        <v>3160</v>
      </c>
      <c r="C33" s="220" t="s">
        <v>40</v>
      </c>
      <c r="D33" s="622" t="s">
        <v>701</v>
      </c>
      <c r="E33" s="639" t="s">
        <v>429</v>
      </c>
      <c r="F33" s="624">
        <v>41480</v>
      </c>
      <c r="G33" s="625">
        <v>213.66</v>
      </c>
      <c r="H33" s="625">
        <v>10</v>
      </c>
      <c r="I33" s="627">
        <v>5.55</v>
      </c>
      <c r="J33" s="626">
        <f t="shared" si="0"/>
        <v>2.5975849480483011</v>
      </c>
      <c r="K33" s="627">
        <v>100</v>
      </c>
      <c r="L33" s="628" t="s">
        <v>49</v>
      </c>
      <c r="M33" s="628" t="s">
        <v>3192</v>
      </c>
      <c r="N33" s="629" t="s">
        <v>3054</v>
      </c>
      <c r="O33" s="628" t="s">
        <v>2648</v>
      </c>
      <c r="P33" s="630"/>
      <c r="Q33" s="631" t="s">
        <v>3304</v>
      </c>
    </row>
    <row r="34" spans="1:17" ht="25.5" x14ac:dyDescent="0.25">
      <c r="A34" s="221">
        <v>43269</v>
      </c>
      <c r="B34" s="88" t="s">
        <v>3262</v>
      </c>
      <c r="C34" s="220" t="s">
        <v>40</v>
      </c>
      <c r="D34" s="622" t="s">
        <v>3037</v>
      </c>
      <c r="E34" s="639" t="s">
        <v>3263</v>
      </c>
      <c r="F34" s="624">
        <v>43269</v>
      </c>
      <c r="G34" s="625">
        <v>3561.12</v>
      </c>
      <c r="H34" s="625">
        <v>0.2</v>
      </c>
      <c r="I34" s="627">
        <v>0.5</v>
      </c>
      <c r="J34" s="626">
        <f t="shared" si="0"/>
        <v>0.67745540728759479</v>
      </c>
      <c r="K34" s="627">
        <v>96.5</v>
      </c>
      <c r="L34" s="628" t="s">
        <v>49</v>
      </c>
      <c r="M34" s="628" t="s">
        <v>1463</v>
      </c>
      <c r="N34" s="629" t="s">
        <v>3054</v>
      </c>
      <c r="O34" s="628" t="s">
        <v>2846</v>
      </c>
      <c r="P34" s="630"/>
      <c r="Q34" s="631" t="s">
        <v>3304</v>
      </c>
    </row>
    <row r="35" spans="1:17" ht="25.5" x14ac:dyDescent="0.25">
      <c r="A35" s="221">
        <v>43271</v>
      </c>
      <c r="B35" s="88" t="s">
        <v>3265</v>
      </c>
      <c r="C35" s="220" t="s">
        <v>170</v>
      </c>
      <c r="D35" s="622" t="s">
        <v>2935</v>
      </c>
      <c r="E35" s="623" t="s">
        <v>3249</v>
      </c>
      <c r="F35" s="624">
        <v>43271</v>
      </c>
      <c r="G35" s="625">
        <v>387.6</v>
      </c>
      <c r="H35" s="625">
        <v>10</v>
      </c>
      <c r="I35" s="627">
        <v>4.42</v>
      </c>
      <c r="J35" s="626">
        <f t="shared" si="0"/>
        <v>1.1403508771929824</v>
      </c>
      <c r="K35" s="627">
        <v>100</v>
      </c>
      <c r="L35" s="628" t="s">
        <v>212</v>
      </c>
      <c r="M35" s="628" t="s">
        <v>2121</v>
      </c>
      <c r="N35" s="629" t="s">
        <v>3264</v>
      </c>
      <c r="O35" s="628" t="s">
        <v>2648</v>
      </c>
      <c r="P35" s="630"/>
      <c r="Q35" s="631" t="s">
        <v>3304</v>
      </c>
    </row>
    <row r="36" spans="1:17" ht="25.5" x14ac:dyDescent="0.25">
      <c r="A36" s="221">
        <v>43272</v>
      </c>
      <c r="B36" s="88" t="s">
        <v>3148</v>
      </c>
      <c r="C36" s="220" t="s">
        <v>170</v>
      </c>
      <c r="D36" s="632" t="s">
        <v>289</v>
      </c>
      <c r="E36" s="623" t="s">
        <v>3083</v>
      </c>
      <c r="F36" s="624"/>
      <c r="G36" s="625">
        <v>393.50200000000001</v>
      </c>
      <c r="H36" s="625">
        <v>10</v>
      </c>
      <c r="I36" s="627">
        <v>7.25</v>
      </c>
      <c r="J36" s="626">
        <f t="shared" si="0"/>
        <v>1.8424302798969256</v>
      </c>
      <c r="K36" s="627">
        <v>100</v>
      </c>
      <c r="L36" s="628" t="s">
        <v>212</v>
      </c>
      <c r="M36" s="628" t="s">
        <v>2121</v>
      </c>
      <c r="N36" s="629" t="s">
        <v>3030</v>
      </c>
      <c r="O36" s="628" t="s">
        <v>2846</v>
      </c>
      <c r="P36" s="630"/>
      <c r="Q36" s="631" t="s">
        <v>3304</v>
      </c>
    </row>
    <row r="37" spans="1:17" ht="25.5" x14ac:dyDescent="0.25">
      <c r="A37" s="221">
        <v>43272</v>
      </c>
      <c r="B37" s="88" t="s">
        <v>3031</v>
      </c>
      <c r="C37" s="220" t="s">
        <v>170</v>
      </c>
      <c r="D37" s="622" t="s">
        <v>3147</v>
      </c>
      <c r="E37" s="623" t="s">
        <v>1545</v>
      </c>
      <c r="F37" s="624">
        <v>42497</v>
      </c>
      <c r="G37" s="625">
        <v>75.069999999999993</v>
      </c>
      <c r="H37" s="625">
        <v>1000</v>
      </c>
      <c r="I37" s="627">
        <v>117</v>
      </c>
      <c r="J37" s="626">
        <f t="shared" si="0"/>
        <v>1.5569868123085122</v>
      </c>
      <c r="K37" s="627">
        <v>99.9</v>
      </c>
      <c r="L37" s="628" t="s">
        <v>49</v>
      </c>
      <c r="M37" s="628" t="s">
        <v>2121</v>
      </c>
      <c r="N37" s="629" t="s">
        <v>3030</v>
      </c>
      <c r="O37" s="628" t="s">
        <v>2648</v>
      </c>
      <c r="P37" s="630"/>
      <c r="Q37" s="631" t="s">
        <v>3305</v>
      </c>
    </row>
    <row r="38" spans="1:17" ht="25.5" x14ac:dyDescent="0.25">
      <c r="A38" s="221">
        <v>43272</v>
      </c>
      <c r="B38" s="88" t="s">
        <v>3266</v>
      </c>
      <c r="C38" s="220" t="s">
        <v>40</v>
      </c>
      <c r="D38" s="632" t="s">
        <v>701</v>
      </c>
      <c r="E38" s="633" t="s">
        <v>3248</v>
      </c>
      <c r="F38" s="624">
        <v>43272</v>
      </c>
      <c r="G38" s="625">
        <v>213.23</v>
      </c>
      <c r="H38" s="625">
        <v>10</v>
      </c>
      <c r="I38" s="627">
        <v>1.74</v>
      </c>
      <c r="J38" s="626">
        <f t="shared" si="0"/>
        <v>0.81602025981334714</v>
      </c>
      <c r="K38" s="627">
        <v>100</v>
      </c>
      <c r="L38" s="628" t="s">
        <v>49</v>
      </c>
      <c r="M38" s="628" t="s">
        <v>1430</v>
      </c>
      <c r="N38" s="629" t="s">
        <v>3131</v>
      </c>
      <c r="O38" s="628" t="s">
        <v>2648</v>
      </c>
      <c r="P38" s="630"/>
      <c r="Q38" s="631" t="s">
        <v>3305</v>
      </c>
    </row>
    <row r="39" spans="1:17" ht="25.5" x14ac:dyDescent="0.25">
      <c r="A39" s="221">
        <v>43272</v>
      </c>
      <c r="B39" s="88" t="s">
        <v>3267</v>
      </c>
      <c r="C39" s="220" t="s">
        <v>40</v>
      </c>
      <c r="D39" s="632" t="s">
        <v>701</v>
      </c>
      <c r="E39" s="633" t="s">
        <v>3092</v>
      </c>
      <c r="F39" s="624">
        <v>43272</v>
      </c>
      <c r="G39" s="625">
        <v>276.12</v>
      </c>
      <c r="H39" s="625">
        <v>20</v>
      </c>
      <c r="I39" s="627">
        <v>17.84</v>
      </c>
      <c r="J39" s="626">
        <f t="shared" si="0"/>
        <v>3.2304795016659424</v>
      </c>
      <c r="K39" s="627">
        <v>100</v>
      </c>
      <c r="L39" s="628" t="s">
        <v>49</v>
      </c>
      <c r="M39" s="628" t="s">
        <v>3192</v>
      </c>
      <c r="N39" s="629"/>
      <c r="O39" s="628" t="s">
        <v>2648</v>
      </c>
      <c r="P39" s="630"/>
      <c r="Q39" s="631" t="s">
        <v>3305</v>
      </c>
    </row>
    <row r="40" spans="1:17" ht="25.5" x14ac:dyDescent="0.25">
      <c r="A40" s="221">
        <v>43273</v>
      </c>
      <c r="B40" s="88" t="s">
        <v>3031</v>
      </c>
      <c r="C40" s="220" t="s">
        <v>170</v>
      </c>
      <c r="D40" s="622" t="s">
        <v>3147</v>
      </c>
      <c r="E40" s="623" t="s">
        <v>1545</v>
      </c>
      <c r="F40" s="624">
        <v>42497</v>
      </c>
      <c r="G40" s="625">
        <v>75.069999999999993</v>
      </c>
      <c r="H40" s="625">
        <v>1000</v>
      </c>
      <c r="I40" s="627">
        <v>116.33</v>
      </c>
      <c r="J40" s="626">
        <f t="shared" ref="J40" si="3">(I40*K40/100)/(H40*G40)*1000</f>
        <v>1.5480707339816171</v>
      </c>
      <c r="K40" s="627">
        <v>99.9</v>
      </c>
      <c r="L40" s="628" t="s">
        <v>49</v>
      </c>
      <c r="M40" s="628" t="s">
        <v>2042</v>
      </c>
      <c r="N40" s="629" t="s">
        <v>3030</v>
      </c>
      <c r="O40" s="628" t="s">
        <v>2648</v>
      </c>
      <c r="P40" s="630"/>
      <c r="Q40" s="631" t="s">
        <v>3305</v>
      </c>
    </row>
    <row r="41" spans="1:17" ht="25.5" x14ac:dyDescent="0.25">
      <c r="A41" s="221">
        <v>43276</v>
      </c>
      <c r="B41" s="88" t="s">
        <v>3268</v>
      </c>
      <c r="C41" s="220" t="s">
        <v>40</v>
      </c>
      <c r="D41" s="632" t="s">
        <v>701</v>
      </c>
      <c r="E41" s="623" t="s">
        <v>3188</v>
      </c>
      <c r="F41" s="624">
        <v>43276</v>
      </c>
      <c r="G41" s="625">
        <v>509.3</v>
      </c>
      <c r="H41" s="625">
        <v>20</v>
      </c>
      <c r="I41" s="627">
        <v>45.05</v>
      </c>
      <c r="J41" s="626">
        <f t="shared" si="0"/>
        <v>4.3873551934027093</v>
      </c>
      <c r="K41" s="627">
        <v>99.2</v>
      </c>
      <c r="L41" s="628" t="s">
        <v>49</v>
      </c>
      <c r="M41" s="628" t="s">
        <v>3192</v>
      </c>
      <c r="N41" s="629"/>
      <c r="O41" s="628" t="s">
        <v>2846</v>
      </c>
      <c r="P41" s="630"/>
      <c r="Q41" s="631" t="s">
        <v>3305</v>
      </c>
    </row>
    <row r="42" spans="1:17" ht="25.5" x14ac:dyDescent="0.25">
      <c r="A42" s="221">
        <v>43276</v>
      </c>
      <c r="B42" s="88" t="s">
        <v>3261</v>
      </c>
      <c r="C42" s="220" t="s">
        <v>40</v>
      </c>
      <c r="D42" s="632" t="s">
        <v>701</v>
      </c>
      <c r="E42" s="623" t="s">
        <v>2636</v>
      </c>
      <c r="F42" s="624">
        <v>43276</v>
      </c>
      <c r="G42" s="625">
        <v>386.88</v>
      </c>
      <c r="H42" s="625">
        <v>10</v>
      </c>
      <c r="I42" s="627">
        <v>4.57</v>
      </c>
      <c r="J42" s="626">
        <f t="shared" si="0"/>
        <v>1.1812448304383787</v>
      </c>
      <c r="K42" s="627">
        <v>100</v>
      </c>
      <c r="L42" s="628" t="s">
        <v>49</v>
      </c>
      <c r="M42" s="628" t="s">
        <v>1431</v>
      </c>
      <c r="N42" s="629" t="s">
        <v>2974</v>
      </c>
      <c r="O42" s="628" t="s">
        <v>2648</v>
      </c>
      <c r="P42" s="630"/>
      <c r="Q42" s="631" t="s">
        <v>3305</v>
      </c>
    </row>
    <row r="43" spans="1:17" ht="25.5" x14ac:dyDescent="0.25">
      <c r="A43" s="221">
        <v>43277</v>
      </c>
      <c r="B43" s="88" t="s">
        <v>3031</v>
      </c>
      <c r="C43" s="220" t="s">
        <v>170</v>
      </c>
      <c r="D43" s="622" t="s">
        <v>3147</v>
      </c>
      <c r="E43" s="623" t="s">
        <v>1545</v>
      </c>
      <c r="F43" s="624">
        <v>42497</v>
      </c>
      <c r="G43" s="625">
        <v>75.069999999999993</v>
      </c>
      <c r="H43" s="625">
        <v>1000</v>
      </c>
      <c r="I43" s="627">
        <v>90.25</v>
      </c>
      <c r="J43" s="626">
        <f>(I43*K43/100)/(H43*G43)*1000</f>
        <v>1.2010090582123352</v>
      </c>
      <c r="K43" s="627">
        <v>99.9</v>
      </c>
      <c r="L43" s="628" t="s">
        <v>49</v>
      </c>
      <c r="M43" s="628" t="s">
        <v>2042</v>
      </c>
      <c r="N43" s="629" t="s">
        <v>3030</v>
      </c>
      <c r="O43" s="628" t="s">
        <v>2648</v>
      </c>
      <c r="P43" s="630"/>
      <c r="Q43" s="631" t="s">
        <v>3305</v>
      </c>
    </row>
    <row r="44" spans="1:17" ht="25.5" x14ac:dyDescent="0.25">
      <c r="A44" s="221">
        <v>43277</v>
      </c>
      <c r="B44" s="88" t="s">
        <v>2797</v>
      </c>
      <c r="C44" s="220"/>
      <c r="D44" s="632" t="s">
        <v>701</v>
      </c>
      <c r="E44" s="633" t="s">
        <v>3269</v>
      </c>
      <c r="F44" s="624">
        <v>43124</v>
      </c>
      <c r="G44" s="625"/>
      <c r="H44" s="625"/>
      <c r="I44" s="627"/>
      <c r="J44" s="626" t="e">
        <f t="shared" si="0"/>
        <v>#DIV/0!</v>
      </c>
      <c r="K44" s="627"/>
      <c r="L44" s="628"/>
      <c r="M44" s="628" t="s">
        <v>1430</v>
      </c>
      <c r="N44" s="629" t="s">
        <v>3030</v>
      </c>
      <c r="O44" s="628" t="s">
        <v>2602</v>
      </c>
      <c r="P44" s="630"/>
      <c r="Q44" s="631" t="s">
        <v>3305</v>
      </c>
    </row>
    <row r="45" spans="1:17" ht="25.5" x14ac:dyDescent="0.25">
      <c r="A45" s="221">
        <v>43277</v>
      </c>
      <c r="B45" s="88" t="s">
        <v>3270</v>
      </c>
      <c r="C45" s="220"/>
      <c r="D45" s="632" t="s">
        <v>701</v>
      </c>
      <c r="E45" s="633" t="s">
        <v>3269</v>
      </c>
      <c r="F45" s="624">
        <v>43277</v>
      </c>
      <c r="G45" s="625"/>
      <c r="H45" s="625"/>
      <c r="I45" s="627"/>
      <c r="J45" s="626" t="e">
        <f t="shared" si="0"/>
        <v>#DIV/0!</v>
      </c>
      <c r="K45" s="627"/>
      <c r="L45" s="628"/>
      <c r="M45" s="628" t="s">
        <v>1430</v>
      </c>
      <c r="N45" s="629" t="s">
        <v>3030</v>
      </c>
      <c r="O45" s="628" t="s">
        <v>2648</v>
      </c>
      <c r="P45" s="630"/>
      <c r="Q45" s="631" t="s">
        <v>3305</v>
      </c>
    </row>
    <row r="46" spans="1:17" ht="25.5" x14ac:dyDescent="0.25">
      <c r="A46" s="221">
        <v>43277</v>
      </c>
      <c r="B46" s="88" t="s">
        <v>3261</v>
      </c>
      <c r="C46" s="220" t="s">
        <v>40</v>
      </c>
      <c r="D46" s="632" t="s">
        <v>701</v>
      </c>
      <c r="E46" s="633" t="s">
        <v>2636</v>
      </c>
      <c r="F46" s="624">
        <v>43276</v>
      </c>
      <c r="G46" s="625">
        <v>386.88</v>
      </c>
      <c r="H46" s="625">
        <v>10</v>
      </c>
      <c r="I46" s="627">
        <v>4.75</v>
      </c>
      <c r="J46" s="626">
        <f t="shared" si="0"/>
        <v>1.2277708850289495</v>
      </c>
      <c r="K46" s="627">
        <v>100</v>
      </c>
      <c r="L46" s="628" t="s">
        <v>49</v>
      </c>
      <c r="M46" s="628" t="s">
        <v>1431</v>
      </c>
      <c r="N46" s="629" t="s">
        <v>2974</v>
      </c>
      <c r="O46" s="628" t="s">
        <v>2648</v>
      </c>
      <c r="P46" s="630"/>
      <c r="Q46" s="631" t="s">
        <v>3305</v>
      </c>
    </row>
    <row r="47" spans="1:17" ht="25.5" x14ac:dyDescent="0.25">
      <c r="A47" s="221">
        <v>43278</v>
      </c>
      <c r="B47" s="88" t="s">
        <v>3284</v>
      </c>
      <c r="C47" s="220" t="s">
        <v>40</v>
      </c>
      <c r="D47" s="632" t="s">
        <v>3037</v>
      </c>
      <c r="E47" s="640" t="s">
        <v>3263</v>
      </c>
      <c r="F47" s="624">
        <v>43277</v>
      </c>
      <c r="G47" s="640">
        <v>3561.12</v>
      </c>
      <c r="H47" s="640">
        <v>0.1</v>
      </c>
      <c r="I47" s="640">
        <v>0.5</v>
      </c>
      <c r="J47" s="626">
        <f t="shared" si="0"/>
        <v>1.3549108145751896</v>
      </c>
      <c r="K47" s="640">
        <v>96.5</v>
      </c>
      <c r="L47" s="640" t="s">
        <v>49</v>
      </c>
      <c r="M47" s="640" t="s">
        <v>3192</v>
      </c>
      <c r="N47" s="629" t="s">
        <v>3054</v>
      </c>
      <c r="O47" s="640" t="s">
        <v>2846</v>
      </c>
      <c r="P47" s="641"/>
      <c r="Q47" s="631" t="s">
        <v>3305</v>
      </c>
    </row>
    <row r="48" spans="1:17" ht="25.5" x14ac:dyDescent="0.25">
      <c r="A48" s="221">
        <v>43278</v>
      </c>
      <c r="B48" s="88" t="s">
        <v>3285</v>
      </c>
      <c r="C48" s="220" t="s">
        <v>743</v>
      </c>
      <c r="D48" s="642" t="s">
        <v>230</v>
      </c>
      <c r="E48" s="124" t="s">
        <v>3281</v>
      </c>
      <c r="F48" s="643">
        <v>43278</v>
      </c>
      <c r="G48" s="640">
        <v>428.57</v>
      </c>
      <c r="H48" s="640">
        <v>10</v>
      </c>
      <c r="I48" s="640">
        <v>7.55</v>
      </c>
      <c r="J48" s="626">
        <f t="shared" si="0"/>
        <v>1.7616725389084631</v>
      </c>
      <c r="K48" s="640">
        <v>100</v>
      </c>
      <c r="L48" s="640" t="s">
        <v>212</v>
      </c>
      <c r="M48" s="640" t="s">
        <v>1431</v>
      </c>
      <c r="N48" s="629" t="s">
        <v>3274</v>
      </c>
      <c r="O48" s="640" t="s">
        <v>2648</v>
      </c>
      <c r="P48" s="641"/>
      <c r="Q48" s="631" t="s">
        <v>3305</v>
      </c>
    </row>
    <row r="49" spans="1:17" ht="25.5" x14ac:dyDescent="0.25">
      <c r="A49" s="221">
        <v>43278</v>
      </c>
      <c r="B49" s="88" t="s">
        <v>3160</v>
      </c>
      <c r="C49" s="220" t="s">
        <v>40</v>
      </c>
      <c r="D49" s="642" t="s">
        <v>701</v>
      </c>
      <c r="E49" s="640" t="s">
        <v>429</v>
      </c>
      <c r="F49" s="643">
        <v>41480</v>
      </c>
      <c r="G49" s="640">
        <v>213.66</v>
      </c>
      <c r="H49" s="640">
        <v>10</v>
      </c>
      <c r="I49" s="640">
        <v>4.57</v>
      </c>
      <c r="J49" s="626">
        <f t="shared" si="0"/>
        <v>2.1389122905550875</v>
      </c>
      <c r="K49" s="640">
        <v>100</v>
      </c>
      <c r="L49" s="640" t="s">
        <v>49</v>
      </c>
      <c r="M49" s="640" t="s">
        <v>1431</v>
      </c>
      <c r="N49" s="629" t="s">
        <v>3054</v>
      </c>
      <c r="O49" s="640" t="s">
        <v>3286</v>
      </c>
      <c r="P49" s="641"/>
      <c r="Q49" s="631" t="s">
        <v>3305</v>
      </c>
    </row>
    <row r="50" spans="1:17" ht="25.5" x14ac:dyDescent="0.25">
      <c r="A50" s="221">
        <v>43278</v>
      </c>
      <c r="B50" s="88" t="s">
        <v>3287</v>
      </c>
      <c r="C50" s="220" t="s">
        <v>40</v>
      </c>
      <c r="D50" s="642" t="s">
        <v>3037</v>
      </c>
      <c r="E50" s="640" t="s">
        <v>3263</v>
      </c>
      <c r="F50" s="624">
        <v>43278</v>
      </c>
      <c r="G50" s="640">
        <v>3561.12</v>
      </c>
      <c r="H50" s="640">
        <v>0.1</v>
      </c>
      <c r="I50" s="640">
        <v>0.5</v>
      </c>
      <c r="J50" s="626">
        <v>1.3540000000000001</v>
      </c>
      <c r="K50" s="640">
        <v>96.5</v>
      </c>
      <c r="L50" s="640" t="s">
        <v>49</v>
      </c>
      <c r="M50" s="640" t="s">
        <v>1463</v>
      </c>
      <c r="N50" s="629" t="s">
        <v>3054</v>
      </c>
      <c r="O50" s="640" t="s">
        <v>2846</v>
      </c>
      <c r="P50" s="641"/>
      <c r="Q50" s="631" t="s">
        <v>3305</v>
      </c>
    </row>
    <row r="51" spans="1:17" ht="25.5" x14ac:dyDescent="0.25">
      <c r="A51" s="221">
        <v>43280</v>
      </c>
      <c r="B51" s="88" t="s">
        <v>3291</v>
      </c>
      <c r="C51" s="220" t="s">
        <v>40</v>
      </c>
      <c r="D51" s="642" t="s">
        <v>3141</v>
      </c>
      <c r="E51" s="640" t="s">
        <v>2279</v>
      </c>
      <c r="F51" s="624">
        <v>43251</v>
      </c>
      <c r="G51" s="640">
        <v>491.68299999999999</v>
      </c>
      <c r="H51" s="640">
        <v>10</v>
      </c>
      <c r="I51" s="640">
        <v>17.579999999999998</v>
      </c>
      <c r="J51" s="626">
        <f t="shared" si="0"/>
        <v>3.5754744418659987</v>
      </c>
      <c r="K51" s="640">
        <v>100</v>
      </c>
      <c r="L51" s="640" t="s">
        <v>212</v>
      </c>
      <c r="M51" s="640" t="s">
        <v>1430</v>
      </c>
      <c r="N51" s="629" t="s">
        <v>3228</v>
      </c>
      <c r="O51" s="640" t="s">
        <v>2648</v>
      </c>
      <c r="P51" s="641"/>
      <c r="Q51" s="631" t="s">
        <v>3305</v>
      </c>
    </row>
    <row r="52" spans="1:17" ht="25.5" x14ac:dyDescent="0.25">
      <c r="A52" s="221">
        <v>43280</v>
      </c>
      <c r="B52" s="88" t="s">
        <v>3292</v>
      </c>
      <c r="C52" s="220" t="s">
        <v>170</v>
      </c>
      <c r="D52" s="642" t="s">
        <v>701</v>
      </c>
      <c r="E52" s="640" t="s">
        <v>3188</v>
      </c>
      <c r="F52" s="624">
        <v>43280</v>
      </c>
      <c r="G52" s="640">
        <v>509.3</v>
      </c>
      <c r="H52" s="640">
        <v>20</v>
      </c>
      <c r="I52" s="640">
        <v>46.28</v>
      </c>
      <c r="J52" s="626">
        <f t="shared" si="0"/>
        <v>4.5071431376398987</v>
      </c>
      <c r="K52" s="640">
        <v>99.2</v>
      </c>
      <c r="L52" s="640" t="s">
        <v>49</v>
      </c>
      <c r="M52" s="640" t="s">
        <v>3192</v>
      </c>
      <c r="N52" s="629" t="s">
        <v>1493</v>
      </c>
      <c r="O52" s="640" t="s">
        <v>3293</v>
      </c>
      <c r="P52" s="641"/>
      <c r="Q52" s="631" t="s">
        <v>3305</v>
      </c>
    </row>
    <row r="53" spans="1:17" ht="25.5" x14ac:dyDescent="0.25">
      <c r="A53" s="221">
        <v>43280</v>
      </c>
      <c r="B53" s="88" t="s">
        <v>3294</v>
      </c>
      <c r="C53" s="220" t="s">
        <v>40</v>
      </c>
      <c r="D53" s="642" t="s">
        <v>701</v>
      </c>
      <c r="E53" s="640" t="s">
        <v>638</v>
      </c>
      <c r="F53" s="624">
        <v>43280</v>
      </c>
      <c r="G53" s="640">
        <v>170.21</v>
      </c>
      <c r="H53" s="640">
        <v>100</v>
      </c>
      <c r="I53" s="640">
        <v>7.23</v>
      </c>
      <c r="J53" s="626">
        <f t="shared" si="0"/>
        <v>0.42476940250279066</v>
      </c>
      <c r="K53" s="640">
        <v>100</v>
      </c>
      <c r="L53" s="640" t="s">
        <v>49</v>
      </c>
      <c r="M53" s="640" t="s">
        <v>1463</v>
      </c>
      <c r="N53" s="629" t="s">
        <v>3290</v>
      </c>
      <c r="O53" s="640" t="s">
        <v>2648</v>
      </c>
      <c r="P53" s="641"/>
      <c r="Q53" s="631" t="s">
        <v>3305</v>
      </c>
    </row>
    <row r="54" spans="1:17" ht="25.5" x14ac:dyDescent="0.25">
      <c r="A54" s="654">
        <v>43280</v>
      </c>
      <c r="B54" s="655" t="s">
        <v>3295</v>
      </c>
      <c r="C54" s="656" t="s">
        <v>170</v>
      </c>
      <c r="D54" s="657" t="s">
        <v>701</v>
      </c>
      <c r="E54" s="658" t="s">
        <v>860</v>
      </c>
      <c r="F54" s="659">
        <v>43280</v>
      </c>
      <c r="G54" s="658">
        <v>336.28</v>
      </c>
      <c r="H54" s="658">
        <v>20</v>
      </c>
      <c r="I54" s="658">
        <v>46.37</v>
      </c>
      <c r="J54" s="660">
        <f t="shared" si="0"/>
        <v>6.8256066373260387</v>
      </c>
      <c r="K54" s="658">
        <v>99</v>
      </c>
      <c r="L54" s="658" t="s">
        <v>212</v>
      </c>
      <c r="M54" s="658" t="s">
        <v>3192</v>
      </c>
      <c r="N54" s="661" t="s">
        <v>1493</v>
      </c>
      <c r="O54" s="658" t="s">
        <v>2846</v>
      </c>
      <c r="P54" s="662"/>
      <c r="Q54" s="631" t="s">
        <v>3305</v>
      </c>
    </row>
    <row r="55" spans="1:17" ht="23.25" x14ac:dyDescent="0.25">
      <c r="A55" s="666"/>
      <c r="B55" s="667"/>
      <c r="C55" s="667"/>
      <c r="D55" s="663"/>
      <c r="E55" s="663"/>
      <c r="F55" s="664"/>
      <c r="G55" s="663"/>
      <c r="H55" s="663"/>
      <c r="I55" s="663"/>
      <c r="J55" s="668"/>
      <c r="K55" s="663"/>
      <c r="L55" s="663"/>
      <c r="M55" s="663"/>
      <c r="N55" s="669"/>
      <c r="O55" s="663"/>
      <c r="P55" s="665"/>
      <c r="Q55" s="665"/>
    </row>
    <row r="56" spans="1:17" ht="23.25" x14ac:dyDescent="0.25">
      <c r="A56" s="670"/>
      <c r="B56" s="671"/>
      <c r="C56" s="671"/>
      <c r="E56" s="796" t="s">
        <v>3309</v>
      </c>
      <c r="F56" s="796"/>
      <c r="G56" s="796"/>
      <c r="H56" s="796"/>
      <c r="I56" s="796"/>
      <c r="J56" s="796"/>
      <c r="N56" s="522"/>
    </row>
    <row r="57" spans="1:17" ht="23.25" x14ac:dyDescent="0.25">
      <c r="A57" s="670"/>
      <c r="B57" s="671"/>
      <c r="C57" s="671"/>
      <c r="J57" s="595"/>
      <c r="N57" s="522"/>
    </row>
    <row r="58" spans="1:17" ht="23.25" x14ac:dyDescent="0.25">
      <c r="A58" s="670"/>
      <c r="B58" s="671"/>
      <c r="C58" s="671"/>
      <c r="J58" s="595"/>
      <c r="N58" s="522"/>
    </row>
    <row r="59" spans="1:17" ht="23.25" x14ac:dyDescent="0.25">
      <c r="A59" s="670"/>
      <c r="B59" s="671"/>
      <c r="C59" s="671"/>
      <c r="J59" s="595"/>
      <c r="N59" s="522"/>
    </row>
    <row r="60" spans="1:17" ht="23.25" x14ac:dyDescent="0.25">
      <c r="A60" s="670"/>
      <c r="B60" s="671"/>
      <c r="C60" s="671"/>
      <c r="J60" s="595"/>
      <c r="N60" s="522"/>
    </row>
    <row r="61" spans="1:17" ht="23.25" x14ac:dyDescent="0.25">
      <c r="A61" s="670"/>
      <c r="B61" s="671"/>
      <c r="C61" s="671"/>
      <c r="J61" s="595"/>
      <c r="N61" s="522"/>
    </row>
    <row r="62" spans="1:17" x14ac:dyDescent="0.25">
      <c r="A62" s="406"/>
      <c r="J62" s="595"/>
    </row>
    <row r="63" spans="1:17" x14ac:dyDescent="0.25">
      <c r="A63" s="406"/>
      <c r="J63" s="595"/>
    </row>
    <row r="64" spans="1:17" x14ac:dyDescent="0.25">
      <c r="A64" s="406"/>
      <c r="J64" s="595"/>
    </row>
    <row r="65" spans="1:10" x14ac:dyDescent="0.25">
      <c r="A65" s="406"/>
      <c r="J65" s="595"/>
    </row>
    <row r="66" spans="1:10" x14ac:dyDescent="0.25">
      <c r="A66" s="406"/>
      <c r="J66" s="595"/>
    </row>
    <row r="67" spans="1:10" x14ac:dyDescent="0.25">
      <c r="A67" s="406"/>
      <c r="J67" s="595"/>
    </row>
    <row r="68" spans="1:10" x14ac:dyDescent="0.25">
      <c r="A68" s="406"/>
      <c r="J68" s="595"/>
    </row>
    <row r="69" spans="1:10" x14ac:dyDescent="0.25">
      <c r="A69" s="406"/>
      <c r="J69" s="595"/>
    </row>
    <row r="70" spans="1:10" x14ac:dyDescent="0.25">
      <c r="A70" s="406"/>
      <c r="J70" s="595"/>
    </row>
    <row r="71" spans="1:10" x14ac:dyDescent="0.25">
      <c r="A71" s="406"/>
      <c r="J71" s="595"/>
    </row>
    <row r="72" spans="1:10" x14ac:dyDescent="0.25">
      <c r="A72" s="406"/>
      <c r="J72" s="595"/>
    </row>
    <row r="73" spans="1:10" x14ac:dyDescent="0.25">
      <c r="A73" s="406"/>
      <c r="J73" s="595"/>
    </row>
    <row r="74" spans="1:10" x14ac:dyDescent="0.25">
      <c r="A74" s="406"/>
      <c r="J74" s="595"/>
    </row>
    <row r="75" spans="1:10" x14ac:dyDescent="0.25">
      <c r="A75" s="406"/>
      <c r="J75" s="595"/>
    </row>
    <row r="76" spans="1:10" x14ac:dyDescent="0.25">
      <c r="A76" s="406"/>
      <c r="J76" s="595"/>
    </row>
    <row r="77" spans="1:10" x14ac:dyDescent="0.25">
      <c r="A77" s="406"/>
      <c r="J77" s="595"/>
    </row>
    <row r="78" spans="1:10" x14ac:dyDescent="0.25">
      <c r="A78" s="406"/>
      <c r="J78" s="595"/>
    </row>
    <row r="79" spans="1:10" x14ac:dyDescent="0.25">
      <c r="A79" s="406"/>
      <c r="J79" s="595"/>
    </row>
    <row r="80" spans="1:10" x14ac:dyDescent="0.25">
      <c r="A80" s="406"/>
      <c r="J80" s="595"/>
    </row>
    <row r="81" spans="1:10" x14ac:dyDescent="0.25">
      <c r="A81" s="406"/>
      <c r="J81" s="595"/>
    </row>
    <row r="82" spans="1:10" x14ac:dyDescent="0.25">
      <c r="A82" s="406"/>
      <c r="J82" s="595"/>
    </row>
    <row r="83" spans="1:10" x14ac:dyDescent="0.25">
      <c r="A83" s="406"/>
      <c r="J83" s="595"/>
    </row>
    <row r="84" spans="1:10" x14ac:dyDescent="0.25">
      <c r="A84" s="406"/>
      <c r="J84" s="595"/>
    </row>
    <row r="85" spans="1:10" x14ac:dyDescent="0.25">
      <c r="A85" s="406"/>
      <c r="J85" s="595"/>
    </row>
    <row r="86" spans="1:10" x14ac:dyDescent="0.25">
      <c r="A86" s="406"/>
      <c r="J86" s="595"/>
    </row>
    <row r="87" spans="1:10" x14ac:dyDescent="0.25">
      <c r="A87" s="406"/>
      <c r="J87" s="595"/>
    </row>
    <row r="88" spans="1:10" x14ac:dyDescent="0.25">
      <c r="A88" s="406"/>
      <c r="J88" s="595"/>
    </row>
    <row r="89" spans="1:10" x14ac:dyDescent="0.25">
      <c r="A89" s="406"/>
      <c r="J89" s="595"/>
    </row>
    <row r="90" spans="1:10" x14ac:dyDescent="0.25">
      <c r="A90" s="406"/>
      <c r="J90" s="595"/>
    </row>
    <row r="91" spans="1:10" x14ac:dyDescent="0.25">
      <c r="A91" s="406"/>
      <c r="J91" s="595"/>
    </row>
    <row r="92" spans="1:10" x14ac:dyDescent="0.25">
      <c r="A92" s="406"/>
      <c r="J92" s="595"/>
    </row>
    <row r="93" spans="1:10" x14ac:dyDescent="0.25">
      <c r="A93" s="406"/>
      <c r="J93" s="595"/>
    </row>
    <row r="94" spans="1:10" x14ac:dyDescent="0.25">
      <c r="A94" s="406"/>
      <c r="J94" s="595"/>
    </row>
    <row r="95" spans="1:10" x14ac:dyDescent="0.25">
      <c r="A95" s="406"/>
      <c r="J95" s="595"/>
    </row>
    <row r="96" spans="1:10" x14ac:dyDescent="0.25">
      <c r="A96" s="406"/>
      <c r="J96" s="595"/>
    </row>
    <row r="97" spans="1:10" x14ac:dyDescent="0.25">
      <c r="A97" s="406"/>
      <c r="J97" s="595"/>
    </row>
    <row r="98" spans="1:10" x14ac:dyDescent="0.25">
      <c r="A98" s="406"/>
      <c r="J98" s="595"/>
    </row>
    <row r="99" spans="1:10" x14ac:dyDescent="0.25">
      <c r="A99" s="406"/>
      <c r="J99" s="595"/>
    </row>
    <row r="100" spans="1:10" x14ac:dyDescent="0.25">
      <c r="A100" s="406"/>
      <c r="J100" s="595"/>
    </row>
    <row r="101" spans="1:10" x14ac:dyDescent="0.25">
      <c r="A101" s="406"/>
      <c r="J101" s="595"/>
    </row>
    <row r="102" spans="1:10" x14ac:dyDescent="0.25">
      <c r="A102" s="406"/>
      <c r="J102" s="595"/>
    </row>
    <row r="103" spans="1:10" x14ac:dyDescent="0.25">
      <c r="A103" s="406"/>
      <c r="J103" s="595"/>
    </row>
    <row r="104" spans="1:10" x14ac:dyDescent="0.25">
      <c r="A104" s="406"/>
      <c r="J104" s="595"/>
    </row>
    <row r="105" spans="1:10" x14ac:dyDescent="0.25">
      <c r="A105" s="406"/>
      <c r="J105" s="595"/>
    </row>
    <row r="106" spans="1:10" x14ac:dyDescent="0.25">
      <c r="A106" s="406"/>
      <c r="J106" s="595"/>
    </row>
    <row r="107" spans="1:10" x14ac:dyDescent="0.25">
      <c r="A107" s="406"/>
      <c r="J107" s="595"/>
    </row>
    <row r="108" spans="1:10" x14ac:dyDescent="0.25">
      <c r="A108" s="406"/>
      <c r="J108" s="595"/>
    </row>
    <row r="109" spans="1:10" x14ac:dyDescent="0.25">
      <c r="A109" s="406"/>
      <c r="J109" s="595"/>
    </row>
    <row r="110" spans="1:10" x14ac:dyDescent="0.25">
      <c r="A110" s="406"/>
      <c r="J110" s="595"/>
    </row>
    <row r="111" spans="1:10" x14ac:dyDescent="0.25">
      <c r="A111" s="406"/>
      <c r="J111" s="595"/>
    </row>
    <row r="112" spans="1:10" x14ac:dyDescent="0.25">
      <c r="A112" s="406"/>
      <c r="J112" s="595"/>
    </row>
    <row r="113" spans="1:10" x14ac:dyDescent="0.25">
      <c r="A113" s="406"/>
      <c r="J113" s="595"/>
    </row>
    <row r="114" spans="1:10" x14ac:dyDescent="0.25">
      <c r="A114" s="406"/>
      <c r="J114" s="595"/>
    </row>
    <row r="115" spans="1:10" x14ac:dyDescent="0.25">
      <c r="A115" s="406"/>
      <c r="J115" s="595"/>
    </row>
    <row r="116" spans="1:10" x14ac:dyDescent="0.25">
      <c r="A116" s="406"/>
      <c r="J116" s="595"/>
    </row>
    <row r="117" spans="1:10" x14ac:dyDescent="0.25">
      <c r="A117" s="406"/>
      <c r="J117" s="595"/>
    </row>
    <row r="118" spans="1:10" x14ac:dyDescent="0.25">
      <c r="A118" s="406"/>
      <c r="J118" s="595"/>
    </row>
    <row r="119" spans="1:10" x14ac:dyDescent="0.25">
      <c r="A119" s="406"/>
      <c r="J119" s="595"/>
    </row>
    <row r="120" spans="1:10" x14ac:dyDescent="0.25">
      <c r="A120" s="406"/>
      <c r="J120" s="595"/>
    </row>
    <row r="121" spans="1:10" x14ac:dyDescent="0.25">
      <c r="A121" s="406"/>
      <c r="J121" s="595"/>
    </row>
    <row r="122" spans="1:10" x14ac:dyDescent="0.25">
      <c r="A122" s="406"/>
      <c r="J122" s="595"/>
    </row>
    <row r="123" spans="1:10" x14ac:dyDescent="0.25">
      <c r="A123" s="406"/>
      <c r="J123" s="595"/>
    </row>
    <row r="124" spans="1:10" x14ac:dyDescent="0.25">
      <c r="A124" s="406"/>
      <c r="J124" s="595"/>
    </row>
    <row r="125" spans="1:10" x14ac:dyDescent="0.25">
      <c r="A125" s="406"/>
      <c r="J125" s="595"/>
    </row>
    <row r="126" spans="1:10" x14ac:dyDescent="0.25">
      <c r="A126" s="406"/>
      <c r="J126" s="595"/>
    </row>
    <row r="127" spans="1:10" x14ac:dyDescent="0.25">
      <c r="A127" s="406"/>
      <c r="J127" s="595"/>
    </row>
    <row r="128" spans="1:10" x14ac:dyDescent="0.25">
      <c r="A128" s="406"/>
      <c r="J128" s="595"/>
    </row>
    <row r="129" spans="1:10" x14ac:dyDescent="0.25">
      <c r="A129" s="406"/>
      <c r="J129" s="595"/>
    </row>
    <row r="130" spans="1:10" x14ac:dyDescent="0.25">
      <c r="A130" s="406"/>
      <c r="J130" s="595"/>
    </row>
    <row r="131" spans="1:10" x14ac:dyDescent="0.25">
      <c r="A131" s="406"/>
      <c r="J131" s="595"/>
    </row>
    <row r="132" spans="1:10" x14ac:dyDescent="0.25">
      <c r="A132" s="406"/>
      <c r="J132" s="595"/>
    </row>
    <row r="133" spans="1:10" x14ac:dyDescent="0.25">
      <c r="A133" s="406"/>
      <c r="J133" s="595"/>
    </row>
    <row r="134" spans="1:10" x14ac:dyDescent="0.25">
      <c r="A134" s="406"/>
      <c r="J134" s="595"/>
    </row>
    <row r="135" spans="1:10" x14ac:dyDescent="0.25">
      <c r="A135" s="406"/>
      <c r="J135" s="595"/>
    </row>
    <row r="136" spans="1:10" x14ac:dyDescent="0.25">
      <c r="A136" s="406"/>
      <c r="J136" s="595"/>
    </row>
    <row r="137" spans="1:10" x14ac:dyDescent="0.25">
      <c r="A137" s="406"/>
      <c r="J137" s="595"/>
    </row>
    <row r="138" spans="1:10" x14ac:dyDescent="0.25">
      <c r="A138" s="406"/>
      <c r="J138" s="595"/>
    </row>
    <row r="139" spans="1:10" x14ac:dyDescent="0.25">
      <c r="A139" s="406"/>
      <c r="J139" s="595"/>
    </row>
    <row r="140" spans="1:10" x14ac:dyDescent="0.25">
      <c r="A140" s="406"/>
      <c r="J140" s="595"/>
    </row>
    <row r="141" spans="1:10" x14ac:dyDescent="0.25">
      <c r="A141" s="406"/>
      <c r="J141" s="595"/>
    </row>
    <row r="142" spans="1:10" x14ac:dyDescent="0.25">
      <c r="A142" s="406"/>
      <c r="J142" s="595"/>
    </row>
    <row r="143" spans="1:10" x14ac:dyDescent="0.25">
      <c r="A143" s="406"/>
      <c r="J143" s="595"/>
    </row>
    <row r="144" spans="1:10" x14ac:dyDescent="0.25">
      <c r="A144" s="406"/>
      <c r="J144" s="595"/>
    </row>
    <row r="145" spans="1:10" x14ac:dyDescent="0.25">
      <c r="A145" s="406"/>
      <c r="J145" s="595"/>
    </row>
    <row r="146" spans="1:10" x14ac:dyDescent="0.25">
      <c r="A146" s="406"/>
      <c r="J146" s="595"/>
    </row>
    <row r="147" spans="1:10" x14ac:dyDescent="0.25">
      <c r="A147" s="406"/>
      <c r="J147" s="595"/>
    </row>
    <row r="148" spans="1:10" x14ac:dyDescent="0.25">
      <c r="A148" s="406"/>
      <c r="J148" s="595"/>
    </row>
    <row r="149" spans="1:10" x14ac:dyDescent="0.25">
      <c r="A149" s="406"/>
      <c r="J149" s="595"/>
    </row>
    <row r="150" spans="1:10" x14ac:dyDescent="0.25">
      <c r="A150" s="406"/>
      <c r="J150" s="595"/>
    </row>
    <row r="151" spans="1:10" x14ac:dyDescent="0.25">
      <c r="A151" s="406"/>
      <c r="J151" s="595"/>
    </row>
    <row r="152" spans="1:10" x14ac:dyDescent="0.25">
      <c r="A152" s="406"/>
      <c r="J152" s="595"/>
    </row>
    <row r="153" spans="1:10" x14ac:dyDescent="0.25">
      <c r="A153" s="406"/>
      <c r="J153" s="595"/>
    </row>
    <row r="154" spans="1:10" x14ac:dyDescent="0.25">
      <c r="A154" s="406"/>
      <c r="J154" s="595"/>
    </row>
    <row r="155" spans="1:10" x14ac:dyDescent="0.25">
      <c r="A155" s="406"/>
      <c r="J155" s="595"/>
    </row>
    <row r="156" spans="1:10" x14ac:dyDescent="0.25">
      <c r="A156" s="406"/>
      <c r="J156" s="595"/>
    </row>
    <row r="157" spans="1:10" x14ac:dyDescent="0.25">
      <c r="A157" s="406"/>
      <c r="J157" s="595"/>
    </row>
    <row r="158" spans="1:10" x14ac:dyDescent="0.25">
      <c r="A158" s="406"/>
      <c r="J158" s="595"/>
    </row>
    <row r="159" spans="1:10" x14ac:dyDescent="0.25">
      <c r="A159" s="406"/>
      <c r="J159" s="595"/>
    </row>
    <row r="160" spans="1:10" x14ac:dyDescent="0.25">
      <c r="A160" s="406"/>
      <c r="J160" s="595"/>
    </row>
    <row r="161" spans="1:10" x14ac:dyDescent="0.25">
      <c r="A161" s="406"/>
      <c r="J161" s="595"/>
    </row>
    <row r="162" spans="1:10" x14ac:dyDescent="0.25">
      <c r="A162" s="406"/>
      <c r="J162" s="595"/>
    </row>
    <row r="163" spans="1:10" x14ac:dyDescent="0.25">
      <c r="A163" s="406"/>
      <c r="J163" s="595"/>
    </row>
    <row r="164" spans="1:10" x14ac:dyDescent="0.25">
      <c r="A164" s="406"/>
      <c r="J164" s="595"/>
    </row>
    <row r="165" spans="1:10" x14ac:dyDescent="0.25">
      <c r="A165" s="406"/>
      <c r="J165" s="595"/>
    </row>
    <row r="166" spans="1:10" x14ac:dyDescent="0.25">
      <c r="A166" s="406"/>
      <c r="J166" s="595"/>
    </row>
    <row r="167" spans="1:10" x14ac:dyDescent="0.25">
      <c r="A167" s="406"/>
      <c r="J167" s="595"/>
    </row>
    <row r="168" spans="1:10" x14ac:dyDescent="0.25">
      <c r="A168" s="406"/>
      <c r="J168" s="595"/>
    </row>
    <row r="169" spans="1:10" x14ac:dyDescent="0.25">
      <c r="A169" s="406"/>
      <c r="J169" s="595"/>
    </row>
    <row r="170" spans="1:10" x14ac:dyDescent="0.25">
      <c r="A170" s="406"/>
      <c r="J170" s="595"/>
    </row>
    <row r="171" spans="1:10" x14ac:dyDescent="0.25">
      <c r="A171" s="406"/>
      <c r="J171" s="595"/>
    </row>
    <row r="172" spans="1:10" x14ac:dyDescent="0.25">
      <c r="A172" s="406"/>
      <c r="J172" s="595"/>
    </row>
    <row r="173" spans="1:10" x14ac:dyDescent="0.25">
      <c r="A173" s="406"/>
      <c r="J173" s="595"/>
    </row>
    <row r="174" spans="1:10" x14ac:dyDescent="0.25">
      <c r="A174" s="406"/>
      <c r="J174" s="595"/>
    </row>
    <row r="175" spans="1:10" x14ac:dyDescent="0.25">
      <c r="A175" s="406"/>
      <c r="J175" s="595"/>
    </row>
    <row r="176" spans="1:10" x14ac:dyDescent="0.25">
      <c r="A176" s="406"/>
      <c r="J176" s="595"/>
    </row>
    <row r="177" spans="1:10" x14ac:dyDescent="0.25">
      <c r="A177" s="406"/>
      <c r="J177" s="595"/>
    </row>
    <row r="178" spans="1:10" x14ac:dyDescent="0.25">
      <c r="A178" s="406"/>
      <c r="J178" s="595"/>
    </row>
    <row r="179" spans="1:10" x14ac:dyDescent="0.25">
      <c r="A179" s="406"/>
      <c r="J179" s="595"/>
    </row>
    <row r="180" spans="1:10" x14ac:dyDescent="0.25">
      <c r="A180" s="406"/>
      <c r="J180" s="595"/>
    </row>
    <row r="181" spans="1:10" x14ac:dyDescent="0.25">
      <c r="A181" s="406"/>
      <c r="J181" s="595"/>
    </row>
    <row r="182" spans="1:10" x14ac:dyDescent="0.25">
      <c r="A182" s="406"/>
      <c r="J182" s="595"/>
    </row>
    <row r="183" spans="1:10" x14ac:dyDescent="0.25">
      <c r="A183" s="406"/>
      <c r="J183" s="595"/>
    </row>
    <row r="184" spans="1:10" x14ac:dyDescent="0.25">
      <c r="A184" s="406"/>
      <c r="J184" s="595"/>
    </row>
    <row r="185" spans="1:10" x14ac:dyDescent="0.25">
      <c r="A185" s="406"/>
      <c r="J185" s="595"/>
    </row>
    <row r="186" spans="1:10" x14ac:dyDescent="0.25">
      <c r="A186" s="406"/>
      <c r="J186" s="595"/>
    </row>
    <row r="187" spans="1:10" x14ac:dyDescent="0.25">
      <c r="A187" s="406"/>
      <c r="J187" s="595"/>
    </row>
    <row r="188" spans="1:10" x14ac:dyDescent="0.25">
      <c r="A188" s="406"/>
      <c r="J188" s="595"/>
    </row>
    <row r="189" spans="1:10" x14ac:dyDescent="0.25">
      <c r="A189" s="406"/>
      <c r="J189" s="595"/>
    </row>
    <row r="190" spans="1:10" x14ac:dyDescent="0.25">
      <c r="A190" s="406"/>
      <c r="J190" s="595"/>
    </row>
    <row r="191" spans="1:10" x14ac:dyDescent="0.25">
      <c r="A191" s="406"/>
      <c r="J191" s="595"/>
    </row>
    <row r="192" spans="1:10" x14ac:dyDescent="0.25">
      <c r="A192" s="406"/>
      <c r="J192" s="595"/>
    </row>
    <row r="193" spans="1:10" x14ac:dyDescent="0.25">
      <c r="A193" s="406"/>
      <c r="J193" s="595"/>
    </row>
    <row r="194" spans="1:10" x14ac:dyDescent="0.25">
      <c r="A194" s="406"/>
      <c r="J194" s="595"/>
    </row>
    <row r="195" spans="1:10" x14ac:dyDescent="0.25">
      <c r="A195" s="406"/>
      <c r="J195" s="595"/>
    </row>
    <row r="196" spans="1:10" x14ac:dyDescent="0.25">
      <c r="A196" s="406"/>
      <c r="J196" s="595"/>
    </row>
    <row r="197" spans="1:10" x14ac:dyDescent="0.25">
      <c r="A197" s="406"/>
      <c r="J197" s="595"/>
    </row>
    <row r="198" spans="1:10" x14ac:dyDescent="0.25">
      <c r="A198" s="406"/>
      <c r="J198" s="595"/>
    </row>
    <row r="199" spans="1:10" x14ac:dyDescent="0.25">
      <c r="A199" s="406"/>
      <c r="J199" s="595"/>
    </row>
    <row r="200" spans="1:10" x14ac:dyDescent="0.25">
      <c r="A200" s="406"/>
      <c r="J200" s="595"/>
    </row>
    <row r="201" spans="1:10" x14ac:dyDescent="0.25">
      <c r="A201" s="406"/>
      <c r="J201" s="595"/>
    </row>
    <row r="202" spans="1:10" x14ac:dyDescent="0.25">
      <c r="A202" s="406"/>
      <c r="J202" s="595"/>
    </row>
    <row r="203" spans="1:10" x14ac:dyDescent="0.25">
      <c r="A203" s="406"/>
      <c r="J203" s="595"/>
    </row>
    <row r="204" spans="1:10" x14ac:dyDescent="0.25">
      <c r="A204" s="406"/>
      <c r="J204" s="595"/>
    </row>
    <row r="205" spans="1:10" x14ac:dyDescent="0.25">
      <c r="A205" s="406"/>
      <c r="J205" s="595"/>
    </row>
    <row r="206" spans="1:10" x14ac:dyDescent="0.25">
      <c r="A206" s="406"/>
      <c r="J206" s="595"/>
    </row>
    <row r="207" spans="1:10" x14ac:dyDescent="0.25">
      <c r="A207" s="406"/>
      <c r="J207" s="595"/>
    </row>
    <row r="208" spans="1:10" x14ac:dyDescent="0.25">
      <c r="A208" s="406"/>
      <c r="J208" s="595"/>
    </row>
    <row r="209" spans="1:10" x14ac:dyDescent="0.25">
      <c r="A209" s="406"/>
      <c r="J209" s="595"/>
    </row>
    <row r="210" spans="1:10" x14ac:dyDescent="0.25">
      <c r="A210" s="406"/>
      <c r="J210" s="595"/>
    </row>
    <row r="211" spans="1:10" x14ac:dyDescent="0.25">
      <c r="A211" s="406"/>
      <c r="J211" s="595"/>
    </row>
    <row r="212" spans="1:10" x14ac:dyDescent="0.25">
      <c r="A212" s="406"/>
      <c r="J212" s="595"/>
    </row>
    <row r="213" spans="1:10" x14ac:dyDescent="0.25">
      <c r="A213" s="406"/>
      <c r="J213" s="595"/>
    </row>
    <row r="214" spans="1:10" x14ac:dyDescent="0.25">
      <c r="A214" s="406"/>
      <c r="J214" s="595"/>
    </row>
    <row r="215" spans="1:10" x14ac:dyDescent="0.25">
      <c r="A215" s="406"/>
      <c r="J215" s="595"/>
    </row>
    <row r="216" spans="1:10" x14ac:dyDescent="0.25">
      <c r="A216" s="406"/>
      <c r="J216" s="595"/>
    </row>
    <row r="217" spans="1:10" x14ac:dyDescent="0.25">
      <c r="A217" s="406"/>
      <c r="J217" s="595"/>
    </row>
    <row r="218" spans="1:10" x14ac:dyDescent="0.25">
      <c r="A218" s="406"/>
      <c r="J218" s="595"/>
    </row>
    <row r="219" spans="1:10" x14ac:dyDescent="0.25">
      <c r="A219" s="406"/>
      <c r="J219" s="595"/>
    </row>
    <row r="220" spans="1:10" x14ac:dyDescent="0.25">
      <c r="A220" s="406"/>
      <c r="J220" s="595"/>
    </row>
    <row r="221" spans="1:10" x14ac:dyDescent="0.25">
      <c r="A221" s="406"/>
      <c r="J221" s="595"/>
    </row>
    <row r="222" spans="1:10" x14ac:dyDescent="0.25">
      <c r="A222" s="406"/>
      <c r="J222" s="595"/>
    </row>
    <row r="223" spans="1:10" x14ac:dyDescent="0.25">
      <c r="A223" s="406"/>
      <c r="J223" s="595"/>
    </row>
    <row r="224" spans="1:10" x14ac:dyDescent="0.25">
      <c r="A224" s="406"/>
      <c r="J224" s="595"/>
    </row>
    <row r="225" spans="1:11" x14ac:dyDescent="0.25">
      <c r="A225" s="406"/>
      <c r="J225" s="595"/>
    </row>
    <row r="226" spans="1:11" x14ac:dyDescent="0.25">
      <c r="A226" s="406"/>
      <c r="F226" s="406"/>
      <c r="J226" s="595"/>
      <c r="K226" s="406"/>
    </row>
    <row r="227" spans="1:11" x14ac:dyDescent="0.25">
      <c r="A227" s="406"/>
      <c r="F227" s="406"/>
      <c r="J227" s="595"/>
      <c r="K227" s="406"/>
    </row>
    <row r="228" spans="1:11" x14ac:dyDescent="0.25">
      <c r="A228" s="406"/>
      <c r="F228" s="406"/>
      <c r="J228" s="595"/>
      <c r="K228" s="406"/>
    </row>
    <row r="229" spans="1:11" x14ac:dyDescent="0.25">
      <c r="A229" s="406"/>
      <c r="F229" s="406"/>
      <c r="J229" s="595"/>
      <c r="K229" s="406"/>
    </row>
    <row r="230" spans="1:11" x14ac:dyDescent="0.25">
      <c r="A230" s="406"/>
      <c r="F230" s="406"/>
      <c r="J230" s="595"/>
      <c r="K230" s="406"/>
    </row>
    <row r="231" spans="1:11" x14ac:dyDescent="0.25">
      <c r="A231" s="406"/>
      <c r="F231" s="406"/>
      <c r="J231" s="595"/>
      <c r="K231" s="406"/>
    </row>
    <row r="232" spans="1:11" x14ac:dyDescent="0.25">
      <c r="A232" s="406"/>
      <c r="F232" s="406"/>
      <c r="J232" s="595"/>
      <c r="K232" s="406"/>
    </row>
    <row r="233" spans="1:11" x14ac:dyDescent="0.25">
      <c r="A233" s="406"/>
      <c r="F233" s="406"/>
      <c r="J233" s="595"/>
      <c r="K233" s="406"/>
    </row>
    <row r="234" spans="1:11" x14ac:dyDescent="0.25">
      <c r="A234" s="406"/>
      <c r="F234" s="406"/>
      <c r="J234" s="595"/>
      <c r="K234" s="406"/>
    </row>
    <row r="235" spans="1:11" x14ac:dyDescent="0.25">
      <c r="A235" s="406"/>
      <c r="F235" s="406"/>
      <c r="J235" s="595"/>
      <c r="K235" s="406"/>
    </row>
    <row r="236" spans="1:11" x14ac:dyDescent="0.25">
      <c r="A236" s="406"/>
      <c r="F236" s="406"/>
      <c r="J236" s="595"/>
      <c r="K236" s="406"/>
    </row>
    <row r="237" spans="1:11" x14ac:dyDescent="0.25">
      <c r="A237" s="406"/>
      <c r="F237" s="406"/>
      <c r="J237" s="595"/>
      <c r="K237" s="406"/>
    </row>
    <row r="238" spans="1:11" x14ac:dyDescent="0.25">
      <c r="A238" s="406"/>
      <c r="F238" s="406"/>
      <c r="J238" s="595"/>
      <c r="K238" s="406"/>
    </row>
    <row r="239" spans="1:11" x14ac:dyDescent="0.25">
      <c r="A239" s="406"/>
      <c r="F239" s="406"/>
      <c r="J239" s="595"/>
      <c r="K239" s="406"/>
    </row>
    <row r="240" spans="1:11" x14ac:dyDescent="0.25">
      <c r="A240" s="406"/>
      <c r="F240" s="406"/>
      <c r="J240" s="595"/>
      <c r="K240" s="406"/>
    </row>
    <row r="241" spans="1:11" x14ac:dyDescent="0.25">
      <c r="A241" s="406"/>
      <c r="F241" s="406"/>
      <c r="J241" s="595"/>
      <c r="K241" s="406"/>
    </row>
    <row r="242" spans="1:11" x14ac:dyDescent="0.25">
      <c r="A242" s="406"/>
      <c r="F242" s="406"/>
      <c r="J242" s="595"/>
      <c r="K242" s="406"/>
    </row>
    <row r="243" spans="1:11" x14ac:dyDescent="0.25">
      <c r="A243" s="406"/>
      <c r="F243" s="406"/>
      <c r="J243" s="595"/>
      <c r="K243" s="406"/>
    </row>
    <row r="244" spans="1:11" x14ac:dyDescent="0.25">
      <c r="A244" s="406"/>
      <c r="F244" s="406"/>
      <c r="J244" s="595"/>
      <c r="K244" s="406"/>
    </row>
    <row r="245" spans="1:11" x14ac:dyDescent="0.25">
      <c r="A245" s="406"/>
      <c r="F245" s="406"/>
      <c r="J245" s="595"/>
      <c r="K245" s="406"/>
    </row>
    <row r="246" spans="1:11" x14ac:dyDescent="0.25">
      <c r="A246" s="406"/>
      <c r="F246" s="406"/>
      <c r="J246" s="595"/>
      <c r="K246" s="406"/>
    </row>
    <row r="247" spans="1:11" x14ac:dyDescent="0.25">
      <c r="A247" s="406"/>
      <c r="F247" s="406"/>
      <c r="J247" s="595"/>
      <c r="K247" s="406"/>
    </row>
    <row r="248" spans="1:11" x14ac:dyDescent="0.25">
      <c r="A248" s="406"/>
      <c r="F248" s="406"/>
      <c r="J248" s="595"/>
      <c r="K248" s="406"/>
    </row>
    <row r="249" spans="1:11" x14ac:dyDescent="0.25">
      <c r="A249" s="406"/>
      <c r="F249" s="406"/>
      <c r="J249" s="595"/>
      <c r="K249" s="406"/>
    </row>
    <row r="250" spans="1:11" x14ac:dyDescent="0.25">
      <c r="A250" s="406"/>
      <c r="F250" s="406"/>
      <c r="J250" s="595"/>
      <c r="K250" s="406"/>
    </row>
    <row r="251" spans="1:11" x14ac:dyDescent="0.25">
      <c r="A251" s="406"/>
      <c r="F251" s="406"/>
      <c r="J251" s="595"/>
      <c r="K251" s="406"/>
    </row>
    <row r="252" spans="1:11" x14ac:dyDescent="0.25">
      <c r="A252" s="406"/>
      <c r="F252" s="406"/>
      <c r="J252" s="595"/>
      <c r="K252" s="406"/>
    </row>
    <row r="253" spans="1:11" x14ac:dyDescent="0.25">
      <c r="A253" s="406"/>
      <c r="F253" s="406"/>
      <c r="J253" s="595"/>
      <c r="K253" s="406"/>
    </row>
    <row r="254" spans="1:11" x14ac:dyDescent="0.25">
      <c r="A254" s="406"/>
      <c r="F254" s="406"/>
      <c r="J254" s="595"/>
      <c r="K254" s="406"/>
    </row>
    <row r="255" spans="1:11" x14ac:dyDescent="0.25">
      <c r="A255" s="406"/>
      <c r="F255" s="406"/>
      <c r="J255" s="595"/>
      <c r="K255" s="406"/>
    </row>
    <row r="256" spans="1:11" x14ac:dyDescent="0.25">
      <c r="A256" s="406"/>
      <c r="F256" s="406"/>
      <c r="J256" s="595"/>
      <c r="K256" s="406"/>
    </row>
    <row r="257" spans="1:11" x14ac:dyDescent="0.25">
      <c r="A257" s="406"/>
      <c r="F257" s="406"/>
      <c r="J257" s="595"/>
      <c r="K257" s="406"/>
    </row>
    <row r="258" spans="1:11" x14ac:dyDescent="0.25">
      <c r="A258" s="406"/>
      <c r="F258" s="406"/>
      <c r="J258" s="595"/>
      <c r="K258" s="406"/>
    </row>
    <row r="259" spans="1:11" x14ac:dyDescent="0.25">
      <c r="A259" s="406"/>
      <c r="F259" s="406"/>
      <c r="J259" s="595"/>
      <c r="K259" s="406"/>
    </row>
    <row r="260" spans="1:11" x14ac:dyDescent="0.25">
      <c r="A260" s="406"/>
      <c r="F260" s="406"/>
      <c r="J260" s="595"/>
      <c r="K260" s="406"/>
    </row>
    <row r="261" spans="1:11" x14ac:dyDescent="0.25">
      <c r="A261" s="406"/>
      <c r="F261" s="406"/>
      <c r="J261" s="595"/>
      <c r="K261" s="406"/>
    </row>
    <row r="262" spans="1:11" x14ac:dyDescent="0.25">
      <c r="A262" s="406"/>
      <c r="F262" s="406"/>
      <c r="J262" s="595"/>
      <c r="K262" s="406"/>
    </row>
    <row r="263" spans="1:11" x14ac:dyDescent="0.25">
      <c r="A263" s="406"/>
      <c r="F263" s="406"/>
      <c r="J263" s="595"/>
      <c r="K263" s="406"/>
    </row>
    <row r="264" spans="1:11" x14ac:dyDescent="0.25">
      <c r="A264" s="406"/>
      <c r="F264" s="406"/>
      <c r="J264" s="595"/>
      <c r="K264" s="406"/>
    </row>
    <row r="265" spans="1:11" x14ac:dyDescent="0.25">
      <c r="A265" s="406"/>
      <c r="F265" s="406"/>
      <c r="J265" s="595"/>
      <c r="K265" s="406"/>
    </row>
    <row r="266" spans="1:11" x14ac:dyDescent="0.25">
      <c r="A266" s="406"/>
      <c r="F266" s="406"/>
      <c r="J266" s="595"/>
      <c r="K266" s="406"/>
    </row>
    <row r="267" spans="1:11" x14ac:dyDescent="0.25">
      <c r="A267" s="406"/>
      <c r="F267" s="406"/>
      <c r="J267" s="595"/>
      <c r="K267" s="406"/>
    </row>
    <row r="268" spans="1:11" x14ac:dyDescent="0.25">
      <c r="A268" s="406"/>
      <c r="F268" s="406"/>
      <c r="J268" s="595"/>
      <c r="K268" s="406"/>
    </row>
    <row r="269" spans="1:11" x14ac:dyDescent="0.25">
      <c r="A269" s="406"/>
      <c r="F269" s="406"/>
      <c r="J269" s="595"/>
      <c r="K269" s="406"/>
    </row>
    <row r="270" spans="1:11" x14ac:dyDescent="0.25">
      <c r="A270" s="406"/>
      <c r="F270" s="406"/>
      <c r="J270" s="595"/>
      <c r="K270" s="406"/>
    </row>
    <row r="271" spans="1:11" x14ac:dyDescent="0.25">
      <c r="A271" s="406"/>
      <c r="F271" s="406"/>
      <c r="J271" s="595"/>
      <c r="K271" s="406"/>
    </row>
    <row r="272" spans="1:11" x14ac:dyDescent="0.25">
      <c r="A272" s="406"/>
      <c r="F272" s="406"/>
      <c r="J272" s="595"/>
      <c r="K272" s="406"/>
    </row>
    <row r="273" spans="1:11" x14ac:dyDescent="0.25">
      <c r="A273" s="406"/>
      <c r="F273" s="406"/>
      <c r="J273" s="595"/>
      <c r="K273" s="406"/>
    </row>
    <row r="274" spans="1:11" x14ac:dyDescent="0.25">
      <c r="A274" s="406"/>
      <c r="F274" s="406"/>
      <c r="J274" s="595"/>
      <c r="K274" s="406"/>
    </row>
    <row r="275" spans="1:11" x14ac:dyDescent="0.25">
      <c r="A275" s="406"/>
      <c r="F275" s="406"/>
      <c r="J275" s="595"/>
      <c r="K275" s="406"/>
    </row>
    <row r="276" spans="1:11" x14ac:dyDescent="0.25">
      <c r="A276" s="406"/>
      <c r="F276" s="406"/>
      <c r="J276" s="595"/>
      <c r="K276" s="406"/>
    </row>
    <row r="277" spans="1:11" x14ac:dyDescent="0.25">
      <c r="A277" s="406"/>
      <c r="F277" s="406"/>
      <c r="J277" s="595"/>
      <c r="K277" s="406"/>
    </row>
    <row r="278" spans="1:11" x14ac:dyDescent="0.25">
      <c r="A278" s="406"/>
      <c r="F278" s="406"/>
      <c r="J278" s="595"/>
      <c r="K278" s="406"/>
    </row>
    <row r="279" spans="1:11" x14ac:dyDescent="0.25">
      <c r="A279" s="406"/>
      <c r="F279" s="406"/>
      <c r="J279" s="595"/>
      <c r="K279" s="406"/>
    </row>
    <row r="280" spans="1:11" x14ac:dyDescent="0.25">
      <c r="A280" s="406"/>
      <c r="F280" s="406"/>
      <c r="J280" s="595"/>
      <c r="K280" s="406"/>
    </row>
    <row r="281" spans="1:11" x14ac:dyDescent="0.25">
      <c r="A281" s="406"/>
      <c r="F281" s="406"/>
      <c r="J281" s="595"/>
      <c r="K281" s="406"/>
    </row>
    <row r="282" spans="1:11" x14ac:dyDescent="0.25">
      <c r="A282" s="406"/>
      <c r="F282" s="406"/>
      <c r="J282" s="595"/>
      <c r="K282" s="406"/>
    </row>
    <row r="283" spans="1:11" x14ac:dyDescent="0.25">
      <c r="A283" s="406"/>
      <c r="F283" s="406"/>
      <c r="J283" s="595"/>
      <c r="K283" s="406"/>
    </row>
    <row r="284" spans="1:11" x14ac:dyDescent="0.25">
      <c r="A284" s="406"/>
      <c r="F284" s="406"/>
      <c r="J284" s="595"/>
      <c r="K284" s="406"/>
    </row>
    <row r="285" spans="1:11" x14ac:dyDescent="0.25">
      <c r="A285" s="406"/>
      <c r="F285" s="406"/>
      <c r="J285" s="595"/>
      <c r="K285" s="406"/>
    </row>
    <row r="286" spans="1:11" x14ac:dyDescent="0.25">
      <c r="A286" s="406"/>
      <c r="F286" s="406"/>
      <c r="J286" s="595"/>
      <c r="K286" s="406"/>
    </row>
    <row r="287" spans="1:11" x14ac:dyDescent="0.25">
      <c r="A287" s="406"/>
      <c r="F287" s="406"/>
      <c r="J287" s="595"/>
      <c r="K287" s="406"/>
    </row>
    <row r="288" spans="1:11" x14ac:dyDescent="0.25">
      <c r="A288" s="406"/>
      <c r="F288" s="406"/>
      <c r="J288" s="595"/>
      <c r="K288" s="406"/>
    </row>
    <row r="289" spans="1:11" x14ac:dyDescent="0.25">
      <c r="A289" s="406"/>
      <c r="F289" s="406"/>
      <c r="J289" s="595"/>
      <c r="K289" s="406"/>
    </row>
    <row r="290" spans="1:11" x14ac:dyDescent="0.25">
      <c r="A290" s="406"/>
      <c r="F290" s="406"/>
      <c r="J290" s="595"/>
      <c r="K290" s="406"/>
    </row>
    <row r="291" spans="1:11" x14ac:dyDescent="0.25">
      <c r="A291" s="406"/>
      <c r="F291" s="406"/>
      <c r="J291" s="595"/>
      <c r="K291" s="406"/>
    </row>
    <row r="292" spans="1:11" x14ac:dyDescent="0.25">
      <c r="A292" s="406"/>
      <c r="F292" s="406"/>
      <c r="J292" s="595"/>
      <c r="K292" s="406"/>
    </row>
    <row r="293" spans="1:11" x14ac:dyDescent="0.25">
      <c r="A293" s="406"/>
      <c r="F293" s="406"/>
      <c r="J293" s="595"/>
      <c r="K293" s="406"/>
    </row>
    <row r="294" spans="1:11" x14ac:dyDescent="0.25">
      <c r="A294" s="406"/>
      <c r="F294" s="406"/>
      <c r="J294" s="595"/>
      <c r="K294" s="406"/>
    </row>
    <row r="295" spans="1:11" x14ac:dyDescent="0.25">
      <c r="A295" s="406"/>
      <c r="F295" s="406"/>
      <c r="J295" s="595"/>
      <c r="K295" s="406"/>
    </row>
    <row r="296" spans="1:11" x14ac:dyDescent="0.25">
      <c r="A296" s="406"/>
      <c r="F296" s="406"/>
      <c r="J296" s="595"/>
      <c r="K296" s="406"/>
    </row>
    <row r="297" spans="1:11" x14ac:dyDescent="0.25">
      <c r="A297" s="406"/>
      <c r="F297" s="406"/>
      <c r="J297" s="595"/>
      <c r="K297" s="406"/>
    </row>
    <row r="298" spans="1:11" x14ac:dyDescent="0.25">
      <c r="A298" s="406"/>
      <c r="F298" s="406"/>
      <c r="J298" s="595"/>
      <c r="K298" s="406"/>
    </row>
    <row r="299" spans="1:11" x14ac:dyDescent="0.25">
      <c r="A299" s="406"/>
      <c r="F299" s="406"/>
      <c r="J299" s="595"/>
      <c r="K299" s="406"/>
    </row>
    <row r="300" spans="1:11" x14ac:dyDescent="0.25">
      <c r="A300" s="406"/>
      <c r="F300" s="406"/>
      <c r="J300" s="595"/>
      <c r="K300" s="406"/>
    </row>
    <row r="301" spans="1:11" x14ac:dyDescent="0.25">
      <c r="A301" s="406"/>
      <c r="F301" s="406"/>
      <c r="J301" s="595"/>
      <c r="K301" s="406"/>
    </row>
    <row r="302" spans="1:11" x14ac:dyDescent="0.25">
      <c r="A302" s="406"/>
      <c r="F302" s="406"/>
      <c r="J302" s="595"/>
      <c r="K302" s="406"/>
    </row>
    <row r="303" spans="1:11" x14ac:dyDescent="0.25">
      <c r="A303" s="406"/>
      <c r="F303" s="406"/>
      <c r="J303" s="595"/>
      <c r="K303" s="406"/>
    </row>
    <row r="304" spans="1:11" x14ac:dyDescent="0.25">
      <c r="A304" s="406"/>
      <c r="F304" s="406"/>
      <c r="J304" s="595"/>
      <c r="K304" s="406"/>
    </row>
    <row r="305" spans="1:11" x14ac:dyDescent="0.25">
      <c r="A305" s="406"/>
      <c r="F305" s="406"/>
      <c r="J305" s="595"/>
      <c r="K305" s="406"/>
    </row>
    <row r="306" spans="1:11" x14ac:dyDescent="0.25">
      <c r="A306" s="406"/>
      <c r="F306" s="406"/>
      <c r="J306" s="595"/>
      <c r="K306" s="406"/>
    </row>
    <row r="307" spans="1:11" x14ac:dyDescent="0.25">
      <c r="A307" s="406"/>
      <c r="F307" s="406"/>
      <c r="J307" s="595"/>
      <c r="K307" s="406"/>
    </row>
    <row r="308" spans="1:11" x14ac:dyDescent="0.25">
      <c r="A308" s="406"/>
      <c r="F308" s="406"/>
      <c r="J308" s="595"/>
      <c r="K308" s="406"/>
    </row>
    <row r="309" spans="1:11" x14ac:dyDescent="0.25">
      <c r="A309" s="406"/>
      <c r="F309" s="406"/>
      <c r="J309" s="595"/>
      <c r="K309" s="406"/>
    </row>
    <row r="310" spans="1:11" x14ac:dyDescent="0.25">
      <c r="A310" s="406"/>
      <c r="F310" s="406"/>
      <c r="J310" s="595"/>
      <c r="K310" s="406"/>
    </row>
    <row r="311" spans="1:11" x14ac:dyDescent="0.25">
      <c r="A311" s="406"/>
      <c r="F311" s="406"/>
      <c r="J311" s="595"/>
      <c r="K311" s="406"/>
    </row>
    <row r="312" spans="1:11" x14ac:dyDescent="0.25">
      <c r="A312" s="406"/>
      <c r="F312" s="406"/>
      <c r="J312" s="595"/>
      <c r="K312" s="406"/>
    </row>
    <row r="313" spans="1:11" x14ac:dyDescent="0.25">
      <c r="A313" s="406"/>
      <c r="F313" s="406"/>
      <c r="J313" s="595"/>
      <c r="K313" s="406"/>
    </row>
    <row r="314" spans="1:11" x14ac:dyDescent="0.25">
      <c r="A314" s="406"/>
      <c r="F314" s="406"/>
      <c r="J314" s="595"/>
      <c r="K314" s="406"/>
    </row>
    <row r="315" spans="1:11" x14ac:dyDescent="0.25">
      <c r="A315" s="406"/>
      <c r="F315" s="406"/>
      <c r="J315" s="595"/>
      <c r="K315" s="406"/>
    </row>
    <row r="316" spans="1:11" x14ac:dyDescent="0.25">
      <c r="A316" s="406"/>
      <c r="F316" s="406"/>
      <c r="J316" s="595"/>
      <c r="K316" s="406"/>
    </row>
    <row r="317" spans="1:11" x14ac:dyDescent="0.25">
      <c r="A317" s="406"/>
      <c r="F317" s="406"/>
      <c r="J317" s="595"/>
      <c r="K317" s="406"/>
    </row>
    <row r="318" spans="1:11" x14ac:dyDescent="0.25">
      <c r="A318" s="406"/>
      <c r="F318" s="406"/>
      <c r="J318" s="595"/>
      <c r="K318" s="406"/>
    </row>
    <row r="319" spans="1:11" x14ac:dyDescent="0.25">
      <c r="A319" s="406"/>
      <c r="F319" s="406"/>
      <c r="J319" s="595"/>
      <c r="K319" s="406"/>
    </row>
    <row r="320" spans="1:11" x14ac:dyDescent="0.25">
      <c r="A320" s="406"/>
      <c r="F320" s="406"/>
      <c r="J320" s="595"/>
      <c r="K320" s="406"/>
    </row>
    <row r="321" spans="1:11" x14ac:dyDescent="0.25">
      <c r="A321" s="406"/>
      <c r="F321" s="406"/>
      <c r="J321" s="595"/>
      <c r="K321" s="406"/>
    </row>
    <row r="322" spans="1:11" x14ac:dyDescent="0.25">
      <c r="A322" s="406"/>
      <c r="F322" s="406"/>
      <c r="J322" s="595"/>
      <c r="K322" s="406"/>
    </row>
    <row r="323" spans="1:11" x14ac:dyDescent="0.25">
      <c r="A323" s="406"/>
      <c r="F323" s="406"/>
      <c r="J323" s="595"/>
      <c r="K323" s="406"/>
    </row>
    <row r="324" spans="1:11" x14ac:dyDescent="0.25">
      <c r="A324" s="406"/>
      <c r="F324" s="406"/>
      <c r="J324" s="595"/>
      <c r="K324" s="406"/>
    </row>
    <row r="325" spans="1:11" x14ac:dyDescent="0.25">
      <c r="A325" s="406"/>
      <c r="F325" s="406"/>
      <c r="J325" s="595"/>
      <c r="K325" s="406"/>
    </row>
    <row r="326" spans="1:11" x14ac:dyDescent="0.25">
      <c r="A326" s="406"/>
      <c r="F326" s="406"/>
      <c r="J326" s="595"/>
      <c r="K326" s="406"/>
    </row>
    <row r="327" spans="1:11" x14ac:dyDescent="0.25">
      <c r="A327" s="406"/>
      <c r="F327" s="406"/>
      <c r="J327" s="595"/>
      <c r="K327" s="406"/>
    </row>
    <row r="328" spans="1:11" x14ac:dyDescent="0.25">
      <c r="A328" s="406"/>
      <c r="F328" s="406"/>
      <c r="J328" s="595"/>
      <c r="K328" s="406"/>
    </row>
    <row r="329" spans="1:11" x14ac:dyDescent="0.25">
      <c r="A329" s="406"/>
      <c r="F329" s="406"/>
      <c r="J329" s="595"/>
      <c r="K329" s="406"/>
    </row>
    <row r="330" spans="1:11" x14ac:dyDescent="0.25">
      <c r="A330" s="406"/>
      <c r="F330" s="406"/>
      <c r="J330" s="595"/>
      <c r="K330" s="406"/>
    </row>
    <row r="331" spans="1:11" x14ac:dyDescent="0.25">
      <c r="A331" s="406"/>
      <c r="F331" s="406"/>
      <c r="J331" s="595"/>
      <c r="K331" s="406"/>
    </row>
    <row r="332" spans="1:11" x14ac:dyDescent="0.25">
      <c r="A332" s="406"/>
      <c r="F332" s="406"/>
      <c r="J332" s="595"/>
      <c r="K332" s="406"/>
    </row>
    <row r="333" spans="1:11" x14ac:dyDescent="0.25">
      <c r="A333" s="406"/>
      <c r="F333" s="406"/>
      <c r="J333" s="595"/>
      <c r="K333" s="406"/>
    </row>
    <row r="334" spans="1:11" x14ac:dyDescent="0.25">
      <c r="A334" s="406"/>
      <c r="F334" s="406"/>
      <c r="J334" s="595"/>
      <c r="K334" s="406"/>
    </row>
    <row r="335" spans="1:11" x14ac:dyDescent="0.25">
      <c r="A335" s="406"/>
      <c r="F335" s="406"/>
      <c r="J335" s="595"/>
      <c r="K335" s="406"/>
    </row>
    <row r="336" spans="1:11" x14ac:dyDescent="0.25">
      <c r="A336" s="406"/>
      <c r="F336" s="406"/>
      <c r="J336" s="595"/>
      <c r="K336" s="406"/>
    </row>
    <row r="337" spans="1:11" x14ac:dyDescent="0.25">
      <c r="A337" s="406"/>
      <c r="F337" s="406"/>
      <c r="J337" s="595"/>
      <c r="K337" s="406"/>
    </row>
    <row r="338" spans="1:11" x14ac:dyDescent="0.25">
      <c r="A338" s="406"/>
      <c r="F338" s="406"/>
      <c r="J338" s="595"/>
      <c r="K338" s="406"/>
    </row>
    <row r="339" spans="1:11" x14ac:dyDescent="0.25">
      <c r="A339" s="406"/>
      <c r="F339" s="406"/>
      <c r="J339" s="595"/>
      <c r="K339" s="406"/>
    </row>
    <row r="340" spans="1:11" x14ac:dyDescent="0.25">
      <c r="A340" s="406"/>
      <c r="F340" s="406"/>
      <c r="J340" s="595"/>
      <c r="K340" s="406"/>
    </row>
    <row r="341" spans="1:11" x14ac:dyDescent="0.25">
      <c r="A341" s="406"/>
      <c r="F341" s="406"/>
      <c r="J341" s="595"/>
      <c r="K341" s="406"/>
    </row>
    <row r="342" spans="1:11" x14ac:dyDescent="0.25">
      <c r="A342" s="406"/>
      <c r="F342" s="406"/>
      <c r="J342" s="595"/>
      <c r="K342" s="406"/>
    </row>
    <row r="343" spans="1:11" x14ac:dyDescent="0.25">
      <c r="A343" s="406"/>
      <c r="F343" s="406"/>
      <c r="J343" s="595"/>
      <c r="K343" s="406"/>
    </row>
    <row r="344" spans="1:11" x14ac:dyDescent="0.25">
      <c r="A344" s="406"/>
      <c r="F344" s="406"/>
      <c r="J344" s="595"/>
      <c r="K344" s="406"/>
    </row>
    <row r="345" spans="1:11" x14ac:dyDescent="0.25">
      <c r="A345" s="406"/>
      <c r="F345" s="406"/>
      <c r="J345" s="595"/>
      <c r="K345" s="406"/>
    </row>
    <row r="346" spans="1:11" x14ac:dyDescent="0.25">
      <c r="A346" s="406"/>
      <c r="F346" s="406"/>
      <c r="J346" s="595"/>
      <c r="K346" s="406"/>
    </row>
    <row r="347" spans="1:11" x14ac:dyDescent="0.25">
      <c r="A347" s="406"/>
      <c r="F347" s="406"/>
      <c r="J347" s="595"/>
      <c r="K347" s="406"/>
    </row>
    <row r="348" spans="1:11" x14ac:dyDescent="0.25">
      <c r="A348" s="406"/>
      <c r="F348" s="406"/>
      <c r="J348" s="595"/>
      <c r="K348" s="406"/>
    </row>
    <row r="349" spans="1:11" x14ac:dyDescent="0.25">
      <c r="A349" s="406"/>
      <c r="F349" s="406"/>
      <c r="J349" s="595"/>
      <c r="K349" s="406"/>
    </row>
    <row r="350" spans="1:11" x14ac:dyDescent="0.25">
      <c r="A350" s="406"/>
      <c r="F350" s="406"/>
      <c r="J350" s="595"/>
      <c r="K350" s="406"/>
    </row>
    <row r="351" spans="1:11" x14ac:dyDescent="0.25">
      <c r="A351" s="406"/>
      <c r="F351" s="406"/>
      <c r="J351" s="595"/>
      <c r="K351" s="406"/>
    </row>
    <row r="352" spans="1:11" x14ac:dyDescent="0.25">
      <c r="A352" s="406"/>
      <c r="F352" s="406"/>
      <c r="J352" s="595"/>
      <c r="K352" s="406"/>
    </row>
    <row r="353" spans="1:11" x14ac:dyDescent="0.25">
      <c r="A353" s="406"/>
      <c r="F353" s="406"/>
      <c r="J353" s="595"/>
      <c r="K353" s="406"/>
    </row>
    <row r="354" spans="1:11" x14ac:dyDescent="0.25">
      <c r="A354" s="406"/>
      <c r="F354" s="406"/>
      <c r="J354" s="595"/>
      <c r="K354" s="406"/>
    </row>
    <row r="355" spans="1:11" x14ac:dyDescent="0.25">
      <c r="A355" s="406"/>
      <c r="F355" s="406"/>
      <c r="J355" s="595"/>
      <c r="K355" s="406"/>
    </row>
    <row r="356" spans="1:11" x14ac:dyDescent="0.25">
      <c r="A356" s="406"/>
      <c r="F356" s="406"/>
      <c r="J356" s="595"/>
      <c r="K356" s="406"/>
    </row>
    <row r="357" spans="1:11" x14ac:dyDescent="0.25">
      <c r="A357" s="406"/>
      <c r="F357" s="406"/>
      <c r="J357" s="595"/>
      <c r="K357" s="406"/>
    </row>
    <row r="358" spans="1:11" x14ac:dyDescent="0.25">
      <c r="A358" s="406"/>
      <c r="F358" s="406"/>
      <c r="J358" s="595"/>
      <c r="K358" s="406"/>
    </row>
    <row r="359" spans="1:11" x14ac:dyDescent="0.25">
      <c r="A359" s="406"/>
      <c r="F359" s="406"/>
      <c r="J359" s="595"/>
      <c r="K359" s="406"/>
    </row>
    <row r="360" spans="1:11" x14ac:dyDescent="0.25">
      <c r="A360" s="406"/>
      <c r="F360" s="406"/>
      <c r="J360" s="595"/>
      <c r="K360" s="406"/>
    </row>
    <row r="361" spans="1:11" x14ac:dyDescent="0.25">
      <c r="A361" s="406"/>
      <c r="F361" s="406"/>
      <c r="J361" s="595"/>
      <c r="K361" s="406"/>
    </row>
    <row r="362" spans="1:11" x14ac:dyDescent="0.25">
      <c r="A362" s="406"/>
      <c r="F362" s="406"/>
      <c r="J362" s="595"/>
      <c r="K362" s="406"/>
    </row>
    <row r="363" spans="1:11" x14ac:dyDescent="0.25">
      <c r="A363" s="406"/>
      <c r="F363" s="406"/>
      <c r="J363" s="595"/>
      <c r="K363" s="406"/>
    </row>
    <row r="364" spans="1:11" x14ac:dyDescent="0.25">
      <c r="A364" s="406"/>
      <c r="F364" s="406"/>
      <c r="J364" s="595"/>
      <c r="K364" s="406"/>
    </row>
    <row r="365" spans="1:11" x14ac:dyDescent="0.25">
      <c r="A365" s="406"/>
      <c r="F365" s="406"/>
      <c r="J365" s="595"/>
      <c r="K365" s="406"/>
    </row>
    <row r="366" spans="1:11" x14ac:dyDescent="0.25">
      <c r="A366" s="406"/>
      <c r="F366" s="406"/>
      <c r="J366" s="595"/>
      <c r="K366" s="406"/>
    </row>
    <row r="367" spans="1:11" x14ac:dyDescent="0.25">
      <c r="A367" s="406"/>
      <c r="F367" s="406"/>
      <c r="J367" s="595"/>
      <c r="K367" s="406"/>
    </row>
    <row r="368" spans="1:11" x14ac:dyDescent="0.25">
      <c r="A368" s="406"/>
      <c r="F368" s="406"/>
      <c r="J368" s="595"/>
      <c r="K368" s="406"/>
    </row>
    <row r="369" spans="1:11" x14ac:dyDescent="0.25">
      <c r="A369" s="406"/>
      <c r="F369" s="406"/>
      <c r="J369" s="595"/>
      <c r="K369" s="406"/>
    </row>
    <row r="370" spans="1:11" x14ac:dyDescent="0.25">
      <c r="A370" s="406"/>
      <c r="F370" s="406"/>
      <c r="J370" s="595"/>
      <c r="K370" s="406"/>
    </row>
    <row r="371" spans="1:11" x14ac:dyDescent="0.25">
      <c r="A371" s="406"/>
      <c r="F371" s="406"/>
      <c r="J371" s="595"/>
      <c r="K371" s="406"/>
    </row>
    <row r="372" spans="1:11" x14ac:dyDescent="0.25">
      <c r="A372" s="406"/>
      <c r="F372" s="406"/>
      <c r="J372" s="595"/>
      <c r="K372" s="406"/>
    </row>
    <row r="373" spans="1:11" x14ac:dyDescent="0.25">
      <c r="A373" s="406"/>
      <c r="F373" s="406"/>
      <c r="J373" s="595"/>
      <c r="K373" s="406"/>
    </row>
    <row r="374" spans="1:11" x14ac:dyDescent="0.25">
      <c r="A374" s="406"/>
      <c r="F374" s="406"/>
      <c r="J374" s="595"/>
      <c r="K374" s="406"/>
    </row>
    <row r="375" spans="1:11" x14ac:dyDescent="0.25">
      <c r="A375" s="406"/>
      <c r="F375" s="406"/>
      <c r="J375" s="595"/>
      <c r="K375" s="406"/>
    </row>
    <row r="376" spans="1:11" x14ac:dyDescent="0.25">
      <c r="A376" s="406"/>
      <c r="F376" s="406"/>
      <c r="J376" s="595"/>
      <c r="K376" s="406"/>
    </row>
    <row r="377" spans="1:11" x14ac:dyDescent="0.25">
      <c r="A377" s="406"/>
      <c r="F377" s="406"/>
      <c r="J377" s="595"/>
      <c r="K377" s="406"/>
    </row>
    <row r="378" spans="1:11" x14ac:dyDescent="0.25">
      <c r="A378" s="406"/>
      <c r="F378" s="406"/>
      <c r="J378" s="595"/>
      <c r="K378" s="406"/>
    </row>
    <row r="379" spans="1:11" x14ac:dyDescent="0.25">
      <c r="A379" s="406"/>
      <c r="F379" s="406"/>
      <c r="J379" s="595"/>
      <c r="K379" s="406"/>
    </row>
    <row r="380" spans="1:11" x14ac:dyDescent="0.25">
      <c r="A380" s="406"/>
      <c r="F380" s="406"/>
      <c r="J380" s="595"/>
      <c r="K380" s="406"/>
    </row>
    <row r="381" spans="1:11" x14ac:dyDescent="0.25">
      <c r="A381" s="406"/>
      <c r="F381" s="406"/>
      <c r="J381" s="595"/>
      <c r="K381" s="406"/>
    </row>
    <row r="382" spans="1:11" x14ac:dyDescent="0.25">
      <c r="A382" s="406"/>
      <c r="F382" s="406"/>
      <c r="J382" s="595"/>
      <c r="K382" s="406"/>
    </row>
    <row r="383" spans="1:11" x14ac:dyDescent="0.25">
      <c r="A383" s="406"/>
      <c r="F383" s="406"/>
      <c r="J383" s="595"/>
      <c r="K383" s="406"/>
    </row>
    <row r="384" spans="1:11" x14ac:dyDescent="0.25">
      <c r="A384" s="406"/>
      <c r="F384" s="406"/>
      <c r="J384" s="595"/>
      <c r="K384" s="406"/>
    </row>
    <row r="385" spans="1:11" x14ac:dyDescent="0.25">
      <c r="A385" s="406"/>
      <c r="F385" s="406"/>
      <c r="J385" s="595"/>
      <c r="K385" s="406"/>
    </row>
    <row r="386" spans="1:11" x14ac:dyDescent="0.25">
      <c r="A386" s="406"/>
      <c r="F386" s="406"/>
      <c r="J386" s="595"/>
      <c r="K386" s="406"/>
    </row>
    <row r="387" spans="1:11" x14ac:dyDescent="0.25">
      <c r="A387" s="406"/>
      <c r="F387" s="406"/>
      <c r="J387" s="595"/>
      <c r="K387" s="406"/>
    </row>
    <row r="388" spans="1:11" x14ac:dyDescent="0.25">
      <c r="A388" s="406"/>
      <c r="F388" s="406"/>
      <c r="J388" s="595"/>
      <c r="K388" s="406"/>
    </row>
    <row r="389" spans="1:11" x14ac:dyDescent="0.25">
      <c r="A389" s="406"/>
      <c r="F389" s="406"/>
      <c r="J389" s="595"/>
      <c r="K389" s="406"/>
    </row>
    <row r="390" spans="1:11" x14ac:dyDescent="0.25">
      <c r="A390" s="406"/>
      <c r="F390" s="406"/>
      <c r="J390" s="595"/>
      <c r="K390" s="406"/>
    </row>
    <row r="391" spans="1:11" x14ac:dyDescent="0.25">
      <c r="A391" s="406"/>
      <c r="F391" s="406"/>
      <c r="J391" s="595"/>
      <c r="K391" s="406"/>
    </row>
    <row r="392" spans="1:11" x14ac:dyDescent="0.25">
      <c r="A392" s="406"/>
      <c r="F392" s="406"/>
      <c r="J392" s="595"/>
      <c r="K392" s="406"/>
    </row>
    <row r="393" spans="1:11" x14ac:dyDescent="0.25">
      <c r="A393" s="406"/>
      <c r="F393" s="406"/>
      <c r="J393" s="595"/>
      <c r="K393" s="406"/>
    </row>
    <row r="394" spans="1:11" x14ac:dyDescent="0.25">
      <c r="A394" s="406"/>
      <c r="F394" s="406"/>
      <c r="J394" s="595"/>
      <c r="K394" s="406"/>
    </row>
    <row r="395" spans="1:11" x14ac:dyDescent="0.25">
      <c r="A395" s="406"/>
      <c r="F395" s="406"/>
      <c r="J395" s="595"/>
      <c r="K395" s="406"/>
    </row>
    <row r="396" spans="1:11" x14ac:dyDescent="0.25">
      <c r="A396" s="406"/>
      <c r="F396" s="406"/>
      <c r="J396" s="595"/>
      <c r="K396" s="406"/>
    </row>
    <row r="397" spans="1:11" x14ac:dyDescent="0.25">
      <c r="A397" s="406"/>
      <c r="F397" s="406"/>
      <c r="J397" s="595"/>
      <c r="K397" s="406"/>
    </row>
    <row r="398" spans="1:11" x14ac:dyDescent="0.25">
      <c r="A398" s="406"/>
      <c r="F398" s="406"/>
      <c r="J398" s="595"/>
      <c r="K398" s="406"/>
    </row>
    <row r="399" spans="1:11" x14ac:dyDescent="0.25">
      <c r="A399" s="406"/>
      <c r="F399" s="406"/>
      <c r="J399" s="595"/>
      <c r="K399" s="406"/>
    </row>
    <row r="400" spans="1:11" x14ac:dyDescent="0.25">
      <c r="A400" s="406"/>
      <c r="F400" s="406"/>
      <c r="J400" s="595"/>
      <c r="K400" s="406"/>
    </row>
    <row r="401" spans="1:11" x14ac:dyDescent="0.25">
      <c r="A401" s="406"/>
      <c r="F401" s="406"/>
      <c r="J401" s="595"/>
      <c r="K401" s="406"/>
    </row>
    <row r="402" spans="1:11" x14ac:dyDescent="0.25">
      <c r="A402" s="406"/>
      <c r="F402" s="406"/>
      <c r="J402" s="595"/>
      <c r="K402" s="406"/>
    </row>
    <row r="403" spans="1:11" x14ac:dyDescent="0.25">
      <c r="A403" s="406"/>
      <c r="F403" s="406"/>
      <c r="J403" s="595"/>
      <c r="K403" s="406"/>
    </row>
    <row r="404" spans="1:11" x14ac:dyDescent="0.25">
      <c r="A404" s="406"/>
      <c r="F404" s="406"/>
      <c r="J404" s="595"/>
      <c r="K404" s="406"/>
    </row>
    <row r="405" spans="1:11" x14ac:dyDescent="0.25">
      <c r="A405" s="406"/>
      <c r="F405" s="406"/>
      <c r="J405" s="595"/>
      <c r="K405" s="406"/>
    </row>
    <row r="406" spans="1:11" x14ac:dyDescent="0.25">
      <c r="A406" s="406"/>
      <c r="F406" s="406"/>
      <c r="J406" s="595"/>
      <c r="K406" s="406"/>
    </row>
    <row r="407" spans="1:11" x14ac:dyDescent="0.25">
      <c r="A407" s="406"/>
      <c r="F407" s="406"/>
      <c r="J407" s="595"/>
      <c r="K407" s="406"/>
    </row>
    <row r="408" spans="1:11" x14ac:dyDescent="0.25">
      <c r="A408" s="406"/>
      <c r="F408" s="406"/>
      <c r="J408" s="595"/>
      <c r="K408" s="406"/>
    </row>
    <row r="409" spans="1:11" x14ac:dyDescent="0.25">
      <c r="A409" s="406"/>
      <c r="F409" s="406"/>
      <c r="J409" s="595"/>
      <c r="K409" s="406"/>
    </row>
    <row r="410" spans="1:11" x14ac:dyDescent="0.25">
      <c r="A410" s="406"/>
      <c r="F410" s="406"/>
      <c r="J410" s="595"/>
      <c r="K410" s="406"/>
    </row>
    <row r="411" spans="1:11" x14ac:dyDescent="0.25">
      <c r="A411" s="406"/>
      <c r="F411" s="406"/>
      <c r="J411" s="595"/>
      <c r="K411" s="406"/>
    </row>
    <row r="412" spans="1:11" x14ac:dyDescent="0.25">
      <c r="A412" s="406"/>
      <c r="F412" s="406"/>
      <c r="J412" s="595"/>
      <c r="K412" s="406"/>
    </row>
    <row r="413" spans="1:11" x14ac:dyDescent="0.25">
      <c r="A413" s="406"/>
      <c r="F413" s="406"/>
      <c r="J413" s="595"/>
      <c r="K413" s="406"/>
    </row>
    <row r="414" spans="1:11" x14ac:dyDescent="0.25">
      <c r="A414" s="406"/>
      <c r="F414" s="406"/>
      <c r="J414" s="595"/>
      <c r="K414" s="406"/>
    </row>
    <row r="415" spans="1:11" x14ac:dyDescent="0.25">
      <c r="A415" s="406"/>
      <c r="F415" s="406"/>
      <c r="J415" s="595"/>
      <c r="K415" s="406"/>
    </row>
    <row r="416" spans="1:11" x14ac:dyDescent="0.25">
      <c r="A416" s="406"/>
      <c r="F416" s="406"/>
      <c r="J416" s="595"/>
      <c r="K416" s="406"/>
    </row>
    <row r="417" spans="1:11" x14ac:dyDescent="0.25">
      <c r="A417" s="406"/>
      <c r="F417" s="406"/>
      <c r="J417" s="595"/>
      <c r="K417" s="406"/>
    </row>
    <row r="418" spans="1:11" x14ac:dyDescent="0.25">
      <c r="A418" s="406"/>
      <c r="F418" s="406"/>
      <c r="J418" s="595"/>
      <c r="K418" s="406"/>
    </row>
    <row r="419" spans="1:11" x14ac:dyDescent="0.25">
      <c r="A419" s="406"/>
      <c r="F419" s="406"/>
      <c r="J419" s="595"/>
      <c r="K419" s="406"/>
    </row>
    <row r="420" spans="1:11" x14ac:dyDescent="0.25">
      <c r="A420" s="406"/>
      <c r="F420" s="406"/>
      <c r="J420" s="595"/>
      <c r="K420" s="406"/>
    </row>
    <row r="421" spans="1:11" x14ac:dyDescent="0.25">
      <c r="A421" s="406"/>
      <c r="F421" s="406"/>
      <c r="J421" s="595"/>
      <c r="K421" s="406"/>
    </row>
    <row r="422" spans="1:11" x14ac:dyDescent="0.25">
      <c r="A422" s="406"/>
      <c r="F422" s="406"/>
      <c r="J422" s="595"/>
      <c r="K422" s="406"/>
    </row>
    <row r="423" spans="1:11" x14ac:dyDescent="0.25">
      <c r="A423" s="406"/>
      <c r="F423" s="406"/>
      <c r="J423" s="595"/>
      <c r="K423" s="406"/>
    </row>
    <row r="424" spans="1:11" x14ac:dyDescent="0.25">
      <c r="A424" s="406"/>
      <c r="F424" s="406"/>
      <c r="J424" s="595"/>
      <c r="K424" s="406"/>
    </row>
    <row r="425" spans="1:11" x14ac:dyDescent="0.25">
      <c r="A425" s="406"/>
      <c r="F425" s="406"/>
      <c r="J425" s="595"/>
      <c r="K425" s="406"/>
    </row>
    <row r="426" spans="1:11" x14ac:dyDescent="0.25">
      <c r="A426" s="406"/>
      <c r="F426" s="406"/>
      <c r="J426" s="595"/>
      <c r="K426" s="406"/>
    </row>
    <row r="427" spans="1:11" x14ac:dyDescent="0.25">
      <c r="A427" s="406"/>
      <c r="F427" s="406"/>
      <c r="J427" s="595"/>
      <c r="K427" s="406"/>
    </row>
    <row r="428" spans="1:11" x14ac:dyDescent="0.25">
      <c r="A428" s="406"/>
      <c r="F428" s="406"/>
      <c r="J428" s="595"/>
      <c r="K428" s="406"/>
    </row>
    <row r="429" spans="1:11" x14ac:dyDescent="0.25">
      <c r="A429" s="406"/>
      <c r="F429" s="406"/>
      <c r="J429" s="595"/>
      <c r="K429" s="406"/>
    </row>
    <row r="430" spans="1:11" x14ac:dyDescent="0.25">
      <c r="A430" s="406"/>
      <c r="F430" s="406"/>
      <c r="J430" s="595"/>
      <c r="K430" s="406"/>
    </row>
    <row r="431" spans="1:11" x14ac:dyDescent="0.25">
      <c r="A431" s="406"/>
      <c r="F431" s="406"/>
      <c r="J431" s="595"/>
      <c r="K431" s="406"/>
    </row>
    <row r="432" spans="1:11" x14ac:dyDescent="0.25">
      <c r="A432" s="406"/>
      <c r="F432" s="406"/>
      <c r="J432" s="595"/>
      <c r="K432" s="406"/>
    </row>
    <row r="433" spans="1:11" x14ac:dyDescent="0.25">
      <c r="A433" s="406"/>
      <c r="F433" s="406"/>
      <c r="J433" s="595"/>
      <c r="K433" s="406"/>
    </row>
    <row r="434" spans="1:11" x14ac:dyDescent="0.25">
      <c r="A434" s="406"/>
      <c r="F434" s="406"/>
      <c r="J434" s="595"/>
      <c r="K434" s="406"/>
    </row>
    <row r="435" spans="1:11" x14ac:dyDescent="0.25">
      <c r="A435" s="406"/>
      <c r="F435" s="406"/>
      <c r="J435" s="595"/>
      <c r="K435" s="406"/>
    </row>
    <row r="436" spans="1:11" x14ac:dyDescent="0.25">
      <c r="A436" s="406"/>
      <c r="F436" s="406"/>
      <c r="J436" s="595"/>
      <c r="K436" s="406"/>
    </row>
    <row r="437" spans="1:11" x14ac:dyDescent="0.25">
      <c r="A437" s="406"/>
      <c r="F437" s="406"/>
      <c r="J437" s="595"/>
      <c r="K437" s="406"/>
    </row>
    <row r="438" spans="1:11" x14ac:dyDescent="0.25">
      <c r="A438" s="406"/>
      <c r="F438" s="406"/>
      <c r="J438" s="595"/>
      <c r="K438" s="406"/>
    </row>
    <row r="439" spans="1:11" x14ac:dyDescent="0.25">
      <c r="A439" s="406"/>
      <c r="F439" s="406"/>
      <c r="J439" s="595"/>
      <c r="K439" s="406"/>
    </row>
    <row r="440" spans="1:11" x14ac:dyDescent="0.25">
      <c r="A440" s="406"/>
      <c r="F440" s="406"/>
      <c r="J440" s="595"/>
      <c r="K440" s="406"/>
    </row>
    <row r="441" spans="1:11" x14ac:dyDescent="0.25">
      <c r="A441" s="406"/>
      <c r="F441" s="406"/>
      <c r="J441" s="595"/>
      <c r="K441" s="406"/>
    </row>
    <row r="442" spans="1:11" x14ac:dyDescent="0.25">
      <c r="A442" s="406"/>
      <c r="F442" s="406"/>
      <c r="J442" s="595"/>
      <c r="K442" s="406"/>
    </row>
    <row r="443" spans="1:11" x14ac:dyDescent="0.25">
      <c r="A443" s="406"/>
      <c r="F443" s="406"/>
      <c r="J443" s="595"/>
      <c r="K443" s="406"/>
    </row>
    <row r="444" spans="1:11" x14ac:dyDescent="0.25">
      <c r="A444" s="406"/>
      <c r="F444" s="406"/>
      <c r="J444" s="595"/>
      <c r="K444" s="406"/>
    </row>
    <row r="445" spans="1:11" x14ac:dyDescent="0.25">
      <c r="A445" s="406"/>
      <c r="F445" s="406"/>
      <c r="J445" s="595"/>
      <c r="K445" s="406"/>
    </row>
    <row r="446" spans="1:11" x14ac:dyDescent="0.25">
      <c r="A446" s="406"/>
      <c r="F446" s="406"/>
      <c r="J446" s="595"/>
      <c r="K446" s="406"/>
    </row>
    <row r="447" spans="1:11" x14ac:dyDescent="0.25">
      <c r="A447" s="406"/>
      <c r="F447" s="406"/>
      <c r="J447" s="595"/>
      <c r="K447" s="406"/>
    </row>
    <row r="448" spans="1:11" x14ac:dyDescent="0.25">
      <c r="A448" s="406"/>
      <c r="F448" s="406"/>
      <c r="J448" s="595"/>
      <c r="K448" s="406"/>
    </row>
    <row r="449" spans="1:11" x14ac:dyDescent="0.25">
      <c r="A449" s="406"/>
      <c r="F449" s="406"/>
      <c r="J449" s="595"/>
      <c r="K449" s="406"/>
    </row>
    <row r="450" spans="1:11" x14ac:dyDescent="0.25">
      <c r="A450" s="406"/>
      <c r="F450" s="406"/>
      <c r="J450" s="595"/>
      <c r="K450" s="406"/>
    </row>
    <row r="451" spans="1:11" x14ac:dyDescent="0.25">
      <c r="A451" s="406"/>
      <c r="F451" s="406"/>
      <c r="J451" s="595"/>
      <c r="K451" s="406"/>
    </row>
    <row r="452" spans="1:11" x14ac:dyDescent="0.25">
      <c r="A452" s="406"/>
      <c r="F452" s="406"/>
      <c r="J452" s="595"/>
      <c r="K452" s="406"/>
    </row>
    <row r="453" spans="1:11" x14ac:dyDescent="0.25">
      <c r="A453" s="406"/>
      <c r="F453" s="406"/>
      <c r="J453" s="595"/>
      <c r="K453" s="406"/>
    </row>
  </sheetData>
  <mergeCells count="3">
    <mergeCell ref="A1:Q1"/>
    <mergeCell ref="A2:Q2"/>
    <mergeCell ref="E56:J56"/>
  </mergeCells>
  <conditionalFormatting sqref="L3:Q3">
    <cfRule type="cellIs" dxfId="42" priority="1" operator="equal">
      <formula>"sous surveillance"</formula>
    </cfRule>
  </conditionalFormatting>
  <dataValidations count="8">
    <dataValidation type="list" allowBlank="1" showInputMessage="1" showErrorMessage="1" sqref="O4">
      <formula1>"Yes, No"</formula1>
    </dataValidation>
    <dataValidation type="list" allowBlank="1" showInputMessage="1" sqref="O46">
      <formula1>INDIRECT(C46)</formula1>
    </dataValidation>
    <dataValidation type="list" allowBlank="1" showInputMessage="1" showErrorMessage="1" sqref="L16:L17 L19">
      <formula1>"H2O mQ, DMSO, eq NaOH, EtOH, eq HCl,Citrate buffer, directly in ACSF, O2 sucrose"</formula1>
    </dataValidation>
    <dataValidation type="list" allowBlank="1" showInputMessage="1" showErrorMessage="1" sqref="L32 L23:L27 L4 L7:L8 L20 L15 L34 L36 L38:L39 L41:L42 L44:L46">
      <formula1>"H2O mQ, DMSO, eq NaOH, EtOH, eq HCl,Citrate buffer, directly in ACSF"</formula1>
    </dataValidation>
    <dataValidation errorStyle="warning" allowBlank="1" showInputMessage="1" showErrorMessage="1" sqref="L3:P3"/>
    <dataValidation type="list" allowBlank="1" showInputMessage="1" showErrorMessage="1" sqref="L22">
      <formula1>"H2O mQ, DMSO, eq NaOH, EtOH, eq HCl,Citrate buffer, directly in ACSF,PBS sterile"</formula1>
    </dataValidation>
    <dataValidation type="list" allowBlank="1" showInputMessage="1" showErrorMessage="1" sqref="L37 L35 L9:L10 L33 L28:L31 L40 L43">
      <formula1>"Medium NBA, H2O mQ, DMSO, eq NaOH, EtOH, eq HCl,Citrate buffer, directly in ACSF"</formula1>
    </dataValidation>
    <dataValidation type="list" allowBlank="1" showInputMessage="1" showErrorMessage="1" sqref="L5:L6 L11:L14 L18 L21">
      <formula1>"medium NBA, H2O mQ, DMSO, eq NaOH, EtOH, eq HCl,Citrate buffer, directly in ACSF"</formula1>
    </dataValidation>
  </dataValidations>
  <pageMargins left="0.7" right="0.7" top="0.75" bottom="0.75" header="0.3" footer="0.3"/>
  <pageSetup paperSize="9" scale="34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53"/>
  <sheetViews>
    <sheetView zoomScale="85" zoomScaleNormal="85" workbookViewId="0">
      <pane ySplit="3" topLeftCell="A40" activePane="bottomLeft" state="frozen"/>
      <selection pane="bottomLeft" activeCell="E37" sqref="E37"/>
    </sheetView>
  </sheetViews>
  <sheetFormatPr baseColWidth="10" defaultColWidth="11.42578125" defaultRowHeight="15" x14ac:dyDescent="0.25"/>
  <cols>
    <col min="1" max="1" width="19" style="223" customWidth="1"/>
    <col min="2" max="2" width="30.85546875" style="388" customWidth="1"/>
    <col min="3" max="3" width="13.5703125" style="388" customWidth="1"/>
    <col min="4" max="4" width="21" style="672" customWidth="1"/>
    <col min="5" max="5" width="36" style="182" bestFit="1" customWidth="1"/>
    <col min="6" max="6" width="12.140625" style="516" bestFit="1" customWidth="1"/>
    <col min="7" max="7" width="11.85546875" style="182" customWidth="1"/>
    <col min="8" max="8" width="16.7109375" style="182" customWidth="1"/>
    <col min="9" max="9" width="20.85546875" style="182" customWidth="1"/>
    <col min="10" max="10" width="14.7109375" style="182" customWidth="1"/>
    <col min="11" max="11" width="10.5703125" style="182" customWidth="1"/>
    <col min="12" max="12" width="16.140625" style="182" customWidth="1"/>
    <col min="13" max="14" width="17.7109375" style="182" customWidth="1"/>
    <col min="15" max="15" width="11.42578125" style="182"/>
    <col min="16" max="16" width="28.140625" style="406" customWidth="1"/>
    <col min="17" max="17" width="13.140625" style="406" customWidth="1"/>
    <col min="18" max="16384" width="11.42578125" style="388"/>
  </cols>
  <sheetData>
    <row r="1" spans="1:17" ht="26.25" x14ac:dyDescent="0.25">
      <c r="A1" s="772" t="s">
        <v>1340</v>
      </c>
      <c r="B1" s="772"/>
      <c r="C1" s="772"/>
      <c r="D1" s="773"/>
      <c r="E1" s="773"/>
      <c r="F1" s="773"/>
      <c r="G1" s="773"/>
      <c r="H1" s="773"/>
      <c r="I1" s="773"/>
      <c r="J1" s="773"/>
      <c r="K1" s="773"/>
      <c r="L1" s="773"/>
      <c r="M1" s="773"/>
      <c r="N1" s="773"/>
      <c r="O1" s="773"/>
      <c r="P1" s="773"/>
      <c r="Q1" s="773"/>
    </row>
    <row r="2" spans="1:17" x14ac:dyDescent="0.25">
      <c r="A2" s="774" t="s">
        <v>1826</v>
      </c>
      <c r="B2" s="775"/>
      <c r="C2" s="775"/>
      <c r="D2" s="776"/>
      <c r="E2" s="776"/>
      <c r="F2" s="776"/>
      <c r="G2" s="776"/>
      <c r="H2" s="776"/>
      <c r="I2" s="776"/>
      <c r="J2" s="776"/>
      <c r="K2" s="776"/>
      <c r="L2" s="776"/>
      <c r="M2" s="776"/>
      <c r="N2" s="776"/>
      <c r="O2" s="776"/>
      <c r="P2" s="776"/>
      <c r="Q2" s="776"/>
    </row>
    <row r="3" spans="1:17" ht="30" x14ac:dyDescent="0.25">
      <c r="A3" s="209" t="s">
        <v>4</v>
      </c>
      <c r="B3" s="88" t="s">
        <v>10</v>
      </c>
      <c r="C3" s="210" t="s">
        <v>1232</v>
      </c>
      <c r="D3" s="196" t="s">
        <v>2791</v>
      </c>
      <c r="E3" s="538" t="s">
        <v>2792</v>
      </c>
      <c r="F3" s="539" t="s">
        <v>2793</v>
      </c>
      <c r="G3" s="447" t="s">
        <v>23</v>
      </c>
      <c r="H3" s="447" t="s">
        <v>2817</v>
      </c>
      <c r="I3" s="540" t="s">
        <v>2818</v>
      </c>
      <c r="J3" s="540" t="s">
        <v>2819</v>
      </c>
      <c r="K3" s="541" t="s">
        <v>1344</v>
      </c>
      <c r="L3" s="447" t="s">
        <v>37</v>
      </c>
      <c r="M3" s="447" t="s">
        <v>1237</v>
      </c>
      <c r="N3" s="447" t="s">
        <v>2794</v>
      </c>
      <c r="O3" s="447" t="s">
        <v>1239</v>
      </c>
      <c r="P3" s="447" t="s">
        <v>1240</v>
      </c>
      <c r="Q3" s="447" t="s">
        <v>1241</v>
      </c>
    </row>
    <row r="4" spans="1:17" ht="25.5" x14ac:dyDescent="0.25">
      <c r="A4" s="649">
        <v>43280</v>
      </c>
      <c r="B4" s="650" t="s">
        <v>3295</v>
      </c>
      <c r="C4" s="651" t="s">
        <v>170</v>
      </c>
      <c r="D4" s="652" t="s">
        <v>701</v>
      </c>
      <c r="E4" s="614" t="s">
        <v>860</v>
      </c>
      <c r="F4" s="653">
        <v>43280</v>
      </c>
      <c r="G4" s="614">
        <v>336.28</v>
      </c>
      <c r="H4" s="614">
        <v>20</v>
      </c>
      <c r="I4" s="614">
        <v>46.37</v>
      </c>
      <c r="J4" s="617">
        <f t="shared" ref="J4:J5" si="0">(I4*K4/100)/(H4*G4)*1000</f>
        <v>6.8256066373260387</v>
      </c>
      <c r="K4" s="614">
        <v>99</v>
      </c>
      <c r="L4" s="614" t="s">
        <v>212</v>
      </c>
      <c r="M4" s="614" t="s">
        <v>3192</v>
      </c>
      <c r="N4" s="620" t="s">
        <v>1493</v>
      </c>
      <c r="O4" s="614" t="s">
        <v>2846</v>
      </c>
      <c r="P4" s="549" t="s">
        <v>2834</v>
      </c>
      <c r="Q4" s="551" t="s">
        <v>3305</v>
      </c>
    </row>
    <row r="5" spans="1:17" ht="25.5" x14ac:dyDescent="0.25">
      <c r="A5" s="221">
        <v>43283</v>
      </c>
      <c r="B5" s="88" t="s">
        <v>3294</v>
      </c>
      <c r="C5" s="220" t="s">
        <v>40</v>
      </c>
      <c r="D5" s="642" t="s">
        <v>701</v>
      </c>
      <c r="E5" s="640" t="s">
        <v>638</v>
      </c>
      <c r="F5" s="624">
        <v>43280</v>
      </c>
      <c r="G5" s="640">
        <v>170.21</v>
      </c>
      <c r="H5" s="640">
        <v>100</v>
      </c>
      <c r="I5" s="640">
        <v>36.07</v>
      </c>
      <c r="J5" s="626">
        <f t="shared" si="0"/>
        <v>2.119146936137712</v>
      </c>
      <c r="K5" s="640">
        <v>100</v>
      </c>
      <c r="L5" s="640" t="s">
        <v>49</v>
      </c>
      <c r="M5" s="640" t="s">
        <v>1431</v>
      </c>
      <c r="N5" s="629" t="s">
        <v>3290</v>
      </c>
      <c r="O5" s="640" t="s">
        <v>2648</v>
      </c>
      <c r="P5" s="558"/>
      <c r="Q5" s="673" t="s">
        <v>3305</v>
      </c>
    </row>
    <row r="6" spans="1:17" ht="25.5" x14ac:dyDescent="0.25">
      <c r="A6" s="213">
        <v>43285</v>
      </c>
      <c r="B6" s="88" t="s">
        <v>3285</v>
      </c>
      <c r="C6" s="220" t="s">
        <v>743</v>
      </c>
      <c r="D6" s="642" t="s">
        <v>230</v>
      </c>
      <c r="E6" s="124" t="s">
        <v>3281</v>
      </c>
      <c r="F6" s="638">
        <v>43278</v>
      </c>
      <c r="G6" s="640">
        <v>428.57</v>
      </c>
      <c r="H6" s="640">
        <v>10</v>
      </c>
      <c r="I6" s="555">
        <v>3.13</v>
      </c>
      <c r="J6" s="674">
        <f>(I6*K6/100)/(H6*G6)*1000</f>
        <v>0.7303357677858926</v>
      </c>
      <c r="K6" s="640">
        <v>100</v>
      </c>
      <c r="L6" s="640" t="s">
        <v>212</v>
      </c>
      <c r="M6" s="556" t="s">
        <v>1464</v>
      </c>
      <c r="N6" s="557" t="s">
        <v>3274</v>
      </c>
      <c r="O6" s="556" t="s">
        <v>2648</v>
      </c>
      <c r="P6" s="558"/>
      <c r="Q6" s="673" t="s">
        <v>3305</v>
      </c>
    </row>
    <row r="7" spans="1:17" ht="25.5" x14ac:dyDescent="0.25">
      <c r="A7" s="221">
        <v>43285</v>
      </c>
      <c r="B7" s="88" t="s">
        <v>3306</v>
      </c>
      <c r="C7" s="220" t="s">
        <v>40</v>
      </c>
      <c r="D7" s="124" t="s">
        <v>2332</v>
      </c>
      <c r="E7" s="124" t="s">
        <v>2334</v>
      </c>
      <c r="F7" s="260">
        <v>42961</v>
      </c>
      <c r="G7" s="126" t="s">
        <v>60</v>
      </c>
      <c r="H7" s="554" t="s">
        <v>61</v>
      </c>
      <c r="I7" s="555" t="s">
        <v>61</v>
      </c>
      <c r="J7" s="674" t="e">
        <f t="shared" ref="J7:J54" si="1">(I7*K7/100)/(H7*G7)*1000</f>
        <v>#VALUE!</v>
      </c>
      <c r="K7" s="555" t="s">
        <v>61</v>
      </c>
      <c r="L7" s="556"/>
      <c r="M7" s="556" t="s">
        <v>1463</v>
      </c>
      <c r="N7" s="557"/>
      <c r="O7" s="556" t="s">
        <v>2846</v>
      </c>
      <c r="P7" s="558" t="s">
        <v>3308</v>
      </c>
      <c r="Q7" s="673" t="s">
        <v>3305</v>
      </c>
    </row>
    <row r="8" spans="1:17" ht="25.5" x14ac:dyDescent="0.25">
      <c r="A8" s="221">
        <v>43285</v>
      </c>
      <c r="B8" s="88" t="s">
        <v>3307</v>
      </c>
      <c r="C8" s="220" t="s">
        <v>40</v>
      </c>
      <c r="D8" s="124" t="s">
        <v>2332</v>
      </c>
      <c r="E8" s="124" t="s">
        <v>2588</v>
      </c>
      <c r="F8" s="260">
        <v>43065</v>
      </c>
      <c r="G8" s="126" t="s">
        <v>60</v>
      </c>
      <c r="H8" s="554" t="s">
        <v>61</v>
      </c>
      <c r="I8" s="555" t="s">
        <v>61</v>
      </c>
      <c r="J8" s="674" t="e">
        <f t="shared" ref="J8" si="2">(I8*K8/100)/(H8*G8)*1000</f>
        <v>#VALUE!</v>
      </c>
      <c r="K8" s="555" t="s">
        <v>61</v>
      </c>
      <c r="L8" s="556"/>
      <c r="M8" s="556" t="s">
        <v>1463</v>
      </c>
      <c r="N8" s="557"/>
      <c r="O8" s="556" t="s">
        <v>2846</v>
      </c>
      <c r="P8" s="558" t="s">
        <v>3308</v>
      </c>
      <c r="Q8" s="673" t="s">
        <v>3305</v>
      </c>
    </row>
    <row r="9" spans="1:17" ht="25.5" x14ac:dyDescent="0.25">
      <c r="A9" s="221">
        <v>43285</v>
      </c>
      <c r="B9" s="88" t="s">
        <v>3310</v>
      </c>
      <c r="C9" s="220" t="s">
        <v>40</v>
      </c>
      <c r="D9" s="535" t="s">
        <v>701</v>
      </c>
      <c r="E9" s="559" t="s">
        <v>638</v>
      </c>
      <c r="F9" s="553">
        <v>43280</v>
      </c>
      <c r="G9" s="561">
        <v>170.21</v>
      </c>
      <c r="H9" s="554">
        <v>100</v>
      </c>
      <c r="I9" s="555">
        <v>17.2</v>
      </c>
      <c r="J9" s="674">
        <f t="shared" si="1"/>
        <v>1.0105164208918396</v>
      </c>
      <c r="K9" s="555">
        <v>100</v>
      </c>
      <c r="L9" s="556" t="s">
        <v>49</v>
      </c>
      <c r="M9" s="556" t="s">
        <v>1463</v>
      </c>
      <c r="N9" s="562" t="s">
        <v>3290</v>
      </c>
      <c r="O9" s="556" t="s">
        <v>2648</v>
      </c>
      <c r="P9" s="558"/>
      <c r="Q9" s="673" t="s">
        <v>3446</v>
      </c>
    </row>
    <row r="10" spans="1:17" ht="25.5" x14ac:dyDescent="0.25">
      <c r="A10" s="221">
        <v>43285</v>
      </c>
      <c r="B10" s="88" t="s">
        <v>3311</v>
      </c>
      <c r="C10" s="220" t="s">
        <v>1493</v>
      </c>
      <c r="D10" s="537" t="s">
        <v>701</v>
      </c>
      <c r="E10" s="560" t="s">
        <v>3312</v>
      </c>
      <c r="F10" s="553">
        <v>42681</v>
      </c>
      <c r="G10" s="554">
        <v>234.25</v>
      </c>
      <c r="H10" s="554">
        <v>1000</v>
      </c>
      <c r="I10" s="555">
        <v>46850</v>
      </c>
      <c r="J10" s="674">
        <f t="shared" si="1"/>
        <v>200</v>
      </c>
      <c r="K10" s="555">
        <v>100</v>
      </c>
      <c r="L10" s="556" t="s">
        <v>49</v>
      </c>
      <c r="M10" s="556" t="s">
        <v>1613</v>
      </c>
      <c r="N10" s="557"/>
      <c r="O10" s="556" t="s">
        <v>2648</v>
      </c>
      <c r="P10" s="558" t="s">
        <v>3313</v>
      </c>
      <c r="Q10" s="673" t="s">
        <v>3446</v>
      </c>
    </row>
    <row r="11" spans="1:17" ht="25.5" x14ac:dyDescent="0.25">
      <c r="A11" s="221">
        <v>43285</v>
      </c>
      <c r="B11" s="88" t="s">
        <v>3314</v>
      </c>
      <c r="C11" s="220" t="s">
        <v>1493</v>
      </c>
      <c r="D11" s="535" t="s">
        <v>701</v>
      </c>
      <c r="E11" s="559" t="s">
        <v>3315</v>
      </c>
      <c r="F11" s="563">
        <v>43285</v>
      </c>
      <c r="G11" s="554">
        <v>136.09</v>
      </c>
      <c r="H11" s="561" t="s">
        <v>61</v>
      </c>
      <c r="I11" s="561" t="s">
        <v>61</v>
      </c>
      <c r="J11" s="674" t="e">
        <f t="shared" si="1"/>
        <v>#VALUE!</v>
      </c>
      <c r="K11" s="564" t="s">
        <v>61</v>
      </c>
      <c r="L11" s="556"/>
      <c r="M11" s="554" t="s">
        <v>1613</v>
      </c>
      <c r="N11" s="565"/>
      <c r="O11" s="566" t="s">
        <v>2648</v>
      </c>
      <c r="P11" s="558" t="s">
        <v>3316</v>
      </c>
      <c r="Q11" s="673" t="s">
        <v>3446</v>
      </c>
    </row>
    <row r="12" spans="1:17" ht="30" x14ac:dyDescent="0.25">
      <c r="A12" s="221">
        <v>43286</v>
      </c>
      <c r="B12" s="88" t="s">
        <v>3335</v>
      </c>
      <c r="C12" s="220" t="s">
        <v>1493</v>
      </c>
      <c r="D12" s="536" t="s">
        <v>701</v>
      </c>
      <c r="E12" s="560" t="s">
        <v>3336</v>
      </c>
      <c r="F12" s="257">
        <v>41835</v>
      </c>
      <c r="G12" s="443">
        <v>198.11</v>
      </c>
      <c r="H12" s="554" t="s">
        <v>61</v>
      </c>
      <c r="I12" s="555" t="s">
        <v>61</v>
      </c>
      <c r="J12" s="674" t="e">
        <f t="shared" si="1"/>
        <v>#VALUE!</v>
      </c>
      <c r="K12" s="555" t="s">
        <v>61</v>
      </c>
      <c r="L12" s="556"/>
      <c r="M12" s="556" t="s">
        <v>1463</v>
      </c>
      <c r="N12" s="562"/>
      <c r="O12" s="556" t="s">
        <v>2846</v>
      </c>
      <c r="P12" s="558" t="s">
        <v>3337</v>
      </c>
      <c r="Q12" s="673" t="s">
        <v>3446</v>
      </c>
    </row>
    <row r="13" spans="1:17" ht="25.5" x14ac:dyDescent="0.25">
      <c r="A13" s="221">
        <v>43286</v>
      </c>
      <c r="B13" s="88" t="s">
        <v>3338</v>
      </c>
      <c r="C13" s="220" t="s">
        <v>1610</v>
      </c>
      <c r="D13" s="535" t="s">
        <v>701</v>
      </c>
      <c r="E13" s="559" t="s">
        <v>3339</v>
      </c>
      <c r="F13" s="553"/>
      <c r="G13" s="561">
        <v>228</v>
      </c>
      <c r="H13" s="554">
        <v>100</v>
      </c>
      <c r="I13" s="555">
        <v>2376</v>
      </c>
      <c r="J13" s="674">
        <f>(I13*K13/100)/(H13*G13)*1000</f>
        <v>102.12631578947369</v>
      </c>
      <c r="K13" s="555">
        <v>98</v>
      </c>
      <c r="L13" s="556" t="s">
        <v>49</v>
      </c>
      <c r="M13" s="556" t="s">
        <v>2873</v>
      </c>
      <c r="N13" s="562" t="s">
        <v>3340</v>
      </c>
      <c r="O13" s="556" t="s">
        <v>2648</v>
      </c>
      <c r="P13" s="558"/>
      <c r="Q13" s="673" t="s">
        <v>3446</v>
      </c>
    </row>
    <row r="14" spans="1:17" ht="25.5" x14ac:dyDescent="0.25">
      <c r="A14" s="221">
        <v>43286</v>
      </c>
      <c r="B14" s="88" t="s">
        <v>2949</v>
      </c>
      <c r="C14" s="220" t="s">
        <v>1610</v>
      </c>
      <c r="D14" s="536" t="s">
        <v>701</v>
      </c>
      <c r="E14" s="560" t="s">
        <v>1777</v>
      </c>
      <c r="F14" s="553">
        <v>43039</v>
      </c>
      <c r="G14" s="554">
        <v>298.85000000000002</v>
      </c>
      <c r="H14" s="554">
        <v>5</v>
      </c>
      <c r="I14" s="555">
        <v>150.80000000000001</v>
      </c>
      <c r="J14" s="674">
        <f t="shared" si="1"/>
        <v>99.910992136523333</v>
      </c>
      <c r="K14" s="555">
        <v>99</v>
      </c>
      <c r="L14" s="556" t="s">
        <v>49</v>
      </c>
      <c r="M14" s="556" t="s">
        <v>2873</v>
      </c>
      <c r="N14" s="562" t="s">
        <v>3340</v>
      </c>
      <c r="O14" s="556" t="s">
        <v>2648</v>
      </c>
      <c r="P14" s="558"/>
      <c r="Q14" s="673" t="s">
        <v>3446</v>
      </c>
    </row>
    <row r="15" spans="1:17" ht="25.5" x14ac:dyDescent="0.25">
      <c r="A15" s="221">
        <v>43286</v>
      </c>
      <c r="B15" s="88" t="s">
        <v>3258</v>
      </c>
      <c r="C15" s="220" t="s">
        <v>1610</v>
      </c>
      <c r="D15" s="536" t="s">
        <v>701</v>
      </c>
      <c r="E15" s="560" t="s">
        <v>3036</v>
      </c>
      <c r="F15" s="553">
        <v>43265</v>
      </c>
      <c r="G15" s="554">
        <v>165.7</v>
      </c>
      <c r="H15" s="554">
        <v>10</v>
      </c>
      <c r="I15" s="555">
        <v>166</v>
      </c>
      <c r="J15" s="674">
        <f t="shared" si="1"/>
        <v>99.479782739891377</v>
      </c>
      <c r="K15" s="555">
        <v>99.3</v>
      </c>
      <c r="L15" s="556" t="s">
        <v>49</v>
      </c>
      <c r="M15" s="556" t="s">
        <v>2873</v>
      </c>
      <c r="N15" s="562" t="s">
        <v>3340</v>
      </c>
      <c r="O15" s="556" t="s">
        <v>2648</v>
      </c>
      <c r="P15" s="558"/>
      <c r="Q15" s="673" t="s">
        <v>3446</v>
      </c>
    </row>
    <row r="16" spans="1:17" ht="25.5" x14ac:dyDescent="0.25">
      <c r="A16" s="221">
        <v>43286</v>
      </c>
      <c r="B16" s="88" t="s">
        <v>3341</v>
      </c>
      <c r="C16" s="220" t="s">
        <v>1610</v>
      </c>
      <c r="D16" s="536" t="s">
        <v>701</v>
      </c>
      <c r="E16" s="560" t="s">
        <v>1878</v>
      </c>
      <c r="F16" s="553">
        <v>43286</v>
      </c>
      <c r="G16" s="554">
        <v>380.35</v>
      </c>
      <c r="H16" s="554">
        <v>1</v>
      </c>
      <c r="I16" s="555">
        <v>39.369999999999997</v>
      </c>
      <c r="J16" s="674">
        <f t="shared" si="1"/>
        <v>100.40462731694491</v>
      </c>
      <c r="K16" s="555">
        <v>97</v>
      </c>
      <c r="L16" s="556" t="s">
        <v>49</v>
      </c>
      <c r="M16" s="556" t="s">
        <v>2873</v>
      </c>
      <c r="N16" s="562" t="s">
        <v>3340</v>
      </c>
      <c r="O16" s="556" t="s">
        <v>2648</v>
      </c>
      <c r="P16" s="558"/>
      <c r="Q16" s="673" t="s">
        <v>3446</v>
      </c>
    </row>
    <row r="17" spans="1:17" ht="25.5" x14ac:dyDescent="0.25">
      <c r="A17" s="221">
        <v>43286</v>
      </c>
      <c r="B17" s="88" t="s">
        <v>3159</v>
      </c>
      <c r="C17" s="220" t="s">
        <v>1610</v>
      </c>
      <c r="D17" s="536" t="s">
        <v>701</v>
      </c>
      <c r="E17" s="560" t="s">
        <v>1840</v>
      </c>
      <c r="F17" s="553">
        <v>43235</v>
      </c>
      <c r="G17" s="554">
        <v>238.3</v>
      </c>
      <c r="H17" s="554">
        <v>10</v>
      </c>
      <c r="I17" s="555">
        <v>239.15</v>
      </c>
      <c r="J17" s="674">
        <f t="shared" si="1"/>
        <v>99.854909777591274</v>
      </c>
      <c r="K17" s="555">
        <v>99.5</v>
      </c>
      <c r="L17" s="556" t="s">
        <v>49</v>
      </c>
      <c r="M17" s="556" t="s">
        <v>2873</v>
      </c>
      <c r="N17" s="562" t="s">
        <v>3340</v>
      </c>
      <c r="O17" s="556" t="s">
        <v>2648</v>
      </c>
      <c r="P17" s="558"/>
      <c r="Q17" s="673" t="s">
        <v>3446</v>
      </c>
    </row>
    <row r="18" spans="1:17" ht="25.5" x14ac:dyDescent="0.25">
      <c r="A18" s="221">
        <v>43286</v>
      </c>
      <c r="B18" s="88" t="s">
        <v>3342</v>
      </c>
      <c r="C18" s="220" t="s">
        <v>1610</v>
      </c>
      <c r="D18" s="536" t="s">
        <v>701</v>
      </c>
      <c r="E18" s="559" t="s">
        <v>3344</v>
      </c>
      <c r="F18" s="553"/>
      <c r="G18" s="554">
        <v>523.17999999999995</v>
      </c>
      <c r="H18" s="554">
        <v>1.5</v>
      </c>
      <c r="I18" s="555">
        <v>46</v>
      </c>
      <c r="J18" s="674">
        <f t="shared" si="1"/>
        <v>55.685105190055694</v>
      </c>
      <c r="K18" s="555">
        <v>95</v>
      </c>
      <c r="L18" s="556" t="s">
        <v>49</v>
      </c>
      <c r="M18" s="556" t="s">
        <v>2873</v>
      </c>
      <c r="N18" s="562" t="s">
        <v>3340</v>
      </c>
      <c r="O18" s="556" t="s">
        <v>2846</v>
      </c>
      <c r="P18" s="558"/>
      <c r="Q18" s="673" t="s">
        <v>3446</v>
      </c>
    </row>
    <row r="19" spans="1:17" ht="25.5" x14ac:dyDescent="0.25">
      <c r="A19" s="221">
        <v>43286</v>
      </c>
      <c r="B19" s="88" t="s">
        <v>3343</v>
      </c>
      <c r="C19" s="220" t="s">
        <v>1610</v>
      </c>
      <c r="D19" s="536" t="s">
        <v>701</v>
      </c>
      <c r="E19" s="559" t="s">
        <v>3344</v>
      </c>
      <c r="F19" s="553">
        <v>43286</v>
      </c>
      <c r="G19" s="554">
        <v>523.17999999999995</v>
      </c>
      <c r="H19" s="554">
        <v>1.5</v>
      </c>
      <c r="I19" s="555">
        <v>36.799999999999997</v>
      </c>
      <c r="J19" s="674">
        <f t="shared" si="1"/>
        <v>44.548084152044538</v>
      </c>
      <c r="K19" s="555">
        <v>95</v>
      </c>
      <c r="L19" s="556" t="s">
        <v>49</v>
      </c>
      <c r="M19" s="556" t="s">
        <v>2873</v>
      </c>
      <c r="N19" s="562" t="s">
        <v>3340</v>
      </c>
      <c r="O19" s="556" t="s">
        <v>2648</v>
      </c>
      <c r="P19" s="558"/>
      <c r="Q19" s="673" t="s">
        <v>3446</v>
      </c>
    </row>
    <row r="20" spans="1:17" ht="46.5" x14ac:dyDescent="0.25">
      <c r="A20" s="221">
        <v>43287</v>
      </c>
      <c r="B20" s="88" t="s">
        <v>3345</v>
      </c>
      <c r="C20" s="220" t="s">
        <v>744</v>
      </c>
      <c r="D20" s="536" t="s">
        <v>701</v>
      </c>
      <c r="E20" s="560" t="s">
        <v>2702</v>
      </c>
      <c r="F20" s="553">
        <v>43273</v>
      </c>
      <c r="G20" s="554"/>
      <c r="H20" s="554"/>
      <c r="I20" s="555"/>
      <c r="J20" s="674" t="e">
        <f t="shared" si="1"/>
        <v>#DIV/0!</v>
      </c>
      <c r="K20" s="555"/>
      <c r="L20" s="556"/>
      <c r="M20" s="556" t="s">
        <v>1463</v>
      </c>
      <c r="N20" s="557"/>
      <c r="O20" s="556" t="s">
        <v>2846</v>
      </c>
      <c r="P20" s="558"/>
      <c r="Q20" s="673" t="s">
        <v>3446</v>
      </c>
    </row>
    <row r="21" spans="1:17" ht="46.5" x14ac:dyDescent="0.25">
      <c r="A21" s="221">
        <v>43287</v>
      </c>
      <c r="B21" s="88" t="s">
        <v>3346</v>
      </c>
      <c r="C21" s="220" t="s">
        <v>744</v>
      </c>
      <c r="D21" s="536" t="s">
        <v>701</v>
      </c>
      <c r="E21" s="560" t="s">
        <v>2702</v>
      </c>
      <c r="F21" s="553">
        <v>43287</v>
      </c>
      <c r="G21" s="561"/>
      <c r="H21" s="554"/>
      <c r="I21" s="555"/>
      <c r="J21" s="674" t="e">
        <f t="shared" si="1"/>
        <v>#DIV/0!</v>
      </c>
      <c r="K21" s="555"/>
      <c r="L21" s="556"/>
      <c r="M21" s="556" t="s">
        <v>1463</v>
      </c>
      <c r="N21" s="562"/>
      <c r="O21" s="556" t="s">
        <v>2648</v>
      </c>
      <c r="P21" s="558"/>
      <c r="Q21" s="673" t="s">
        <v>3446</v>
      </c>
    </row>
    <row r="22" spans="1:17" ht="25.5" x14ac:dyDescent="0.25">
      <c r="A22" s="221">
        <v>43287</v>
      </c>
      <c r="B22" s="88" t="s">
        <v>3347</v>
      </c>
      <c r="C22" s="220" t="s">
        <v>170</v>
      </c>
      <c r="D22" s="536" t="s">
        <v>416</v>
      </c>
      <c r="E22" s="560" t="s">
        <v>3348</v>
      </c>
      <c r="F22" s="553">
        <v>42921</v>
      </c>
      <c r="G22" s="554">
        <v>438.71</v>
      </c>
      <c r="H22" s="554">
        <v>10</v>
      </c>
      <c r="I22" s="555">
        <v>3.9</v>
      </c>
      <c r="J22" s="674">
        <f t="shared" si="1"/>
        <v>0.88808096464634967</v>
      </c>
      <c r="K22" s="555">
        <v>99.9</v>
      </c>
      <c r="L22" s="556" t="s">
        <v>212</v>
      </c>
      <c r="M22" s="556" t="s">
        <v>1431</v>
      </c>
      <c r="N22" s="557"/>
      <c r="O22" s="556" t="s">
        <v>3286</v>
      </c>
      <c r="P22" s="558"/>
      <c r="Q22" s="673" t="s">
        <v>3446</v>
      </c>
    </row>
    <row r="23" spans="1:17" ht="25.5" x14ac:dyDescent="0.25">
      <c r="A23" s="221">
        <v>43287</v>
      </c>
      <c r="B23" s="88" t="s">
        <v>3311</v>
      </c>
      <c r="C23" s="220" t="s">
        <v>1610</v>
      </c>
      <c r="D23" s="536" t="s">
        <v>701</v>
      </c>
      <c r="E23" s="560" t="s">
        <v>3312</v>
      </c>
      <c r="F23" s="553">
        <v>42681</v>
      </c>
      <c r="G23" s="554">
        <v>234.25</v>
      </c>
      <c r="H23" s="554">
        <v>130</v>
      </c>
      <c r="I23" s="555">
        <v>3068.38</v>
      </c>
      <c r="J23" s="674">
        <f t="shared" si="1"/>
        <v>99.751948115918225</v>
      </c>
      <c r="K23" s="555">
        <v>99</v>
      </c>
      <c r="L23" s="556" t="s">
        <v>49</v>
      </c>
      <c r="M23" s="556" t="s">
        <v>2873</v>
      </c>
      <c r="N23" s="562" t="s">
        <v>3349</v>
      </c>
      <c r="O23" s="556" t="s">
        <v>2648</v>
      </c>
      <c r="P23" s="558"/>
      <c r="Q23" s="673" t="s">
        <v>3446</v>
      </c>
    </row>
    <row r="24" spans="1:17" ht="25.5" x14ac:dyDescent="0.25">
      <c r="A24" s="221">
        <v>43287</v>
      </c>
      <c r="B24" s="88" t="s">
        <v>3341</v>
      </c>
      <c r="C24" s="220" t="s">
        <v>1610</v>
      </c>
      <c r="D24" s="536" t="s">
        <v>701</v>
      </c>
      <c r="E24" s="560" t="s">
        <v>1878</v>
      </c>
      <c r="F24" s="553">
        <v>43286</v>
      </c>
      <c r="G24" s="554">
        <v>380.35</v>
      </c>
      <c r="H24" s="554">
        <v>0.3</v>
      </c>
      <c r="I24" s="555">
        <v>11.76</v>
      </c>
      <c r="J24" s="674">
        <f t="shared" si="1"/>
        <v>99.971079269094247</v>
      </c>
      <c r="K24" s="555">
        <v>97</v>
      </c>
      <c r="L24" s="556" t="s">
        <v>49</v>
      </c>
      <c r="M24" s="556" t="s">
        <v>2873</v>
      </c>
      <c r="N24" s="562" t="s">
        <v>3349</v>
      </c>
      <c r="O24" s="556" t="s">
        <v>2648</v>
      </c>
      <c r="P24" s="558"/>
      <c r="Q24" s="673" t="s">
        <v>3446</v>
      </c>
    </row>
    <row r="25" spans="1:17" ht="25.5" x14ac:dyDescent="0.25">
      <c r="A25" s="221">
        <v>43287</v>
      </c>
      <c r="B25" s="88" t="s">
        <v>3159</v>
      </c>
      <c r="C25" s="220" t="s">
        <v>1610</v>
      </c>
      <c r="D25" s="536" t="s">
        <v>701</v>
      </c>
      <c r="E25" s="560" t="s">
        <v>1840</v>
      </c>
      <c r="F25" s="553">
        <v>43235</v>
      </c>
      <c r="G25" s="554">
        <v>238.3</v>
      </c>
      <c r="H25" s="554">
        <v>10</v>
      </c>
      <c r="I25" s="555">
        <v>239.71</v>
      </c>
      <c r="J25" s="674">
        <f t="shared" si="1"/>
        <v>100.08873268988668</v>
      </c>
      <c r="K25" s="555">
        <v>99.5</v>
      </c>
      <c r="L25" s="556" t="s">
        <v>49</v>
      </c>
      <c r="M25" s="556" t="s">
        <v>2873</v>
      </c>
      <c r="N25" s="562" t="s">
        <v>3349</v>
      </c>
      <c r="O25" s="556" t="s">
        <v>2648</v>
      </c>
      <c r="P25" s="558"/>
      <c r="Q25" s="673" t="s">
        <v>3446</v>
      </c>
    </row>
    <row r="26" spans="1:17" ht="25.5" x14ac:dyDescent="0.25">
      <c r="A26" s="221">
        <v>43287</v>
      </c>
      <c r="B26" s="88" t="s">
        <v>3350</v>
      </c>
      <c r="C26" s="220" t="s">
        <v>40</v>
      </c>
      <c r="D26" s="536" t="s">
        <v>701</v>
      </c>
      <c r="E26" s="560" t="s">
        <v>1582</v>
      </c>
      <c r="F26" s="553">
        <v>43287</v>
      </c>
      <c r="G26" s="554">
        <v>319.27999999999997</v>
      </c>
      <c r="H26" s="554">
        <v>1</v>
      </c>
      <c r="I26" s="555">
        <v>1</v>
      </c>
      <c r="J26" s="674">
        <f t="shared" si="1"/>
        <v>3.1007266349285896</v>
      </c>
      <c r="K26" s="555">
        <v>99</v>
      </c>
      <c r="L26" s="556" t="s">
        <v>1724</v>
      </c>
      <c r="M26" s="556" t="s">
        <v>1431</v>
      </c>
      <c r="N26" s="557"/>
      <c r="O26" s="556" t="s">
        <v>2648</v>
      </c>
      <c r="P26" s="558"/>
      <c r="Q26" s="673" t="s">
        <v>3446</v>
      </c>
    </row>
    <row r="27" spans="1:17" ht="25.5" x14ac:dyDescent="0.25">
      <c r="A27" s="221">
        <v>43291</v>
      </c>
      <c r="B27" s="88" t="s">
        <v>3351</v>
      </c>
      <c r="C27" s="220" t="s">
        <v>170</v>
      </c>
      <c r="D27" s="536" t="s">
        <v>230</v>
      </c>
      <c r="E27" s="124" t="s">
        <v>3278</v>
      </c>
      <c r="F27" s="553">
        <v>43291</v>
      </c>
      <c r="G27" s="126">
        <v>430.59</v>
      </c>
      <c r="H27" s="554">
        <v>10</v>
      </c>
      <c r="I27" s="555">
        <v>2.4500000000000002</v>
      </c>
      <c r="J27" s="674">
        <f t="shared" si="1"/>
        <v>0.56898673912538622</v>
      </c>
      <c r="K27" s="555">
        <v>100</v>
      </c>
      <c r="L27" s="556" t="s">
        <v>212</v>
      </c>
      <c r="M27" s="556" t="s">
        <v>3192</v>
      </c>
      <c r="N27" s="557"/>
      <c r="O27" s="556" t="s">
        <v>3286</v>
      </c>
      <c r="P27" s="558"/>
      <c r="Q27" s="673" t="s">
        <v>3446</v>
      </c>
    </row>
    <row r="28" spans="1:17" ht="25.5" x14ac:dyDescent="0.25">
      <c r="A28" s="221">
        <v>43293</v>
      </c>
      <c r="B28" s="88" t="s">
        <v>3368</v>
      </c>
      <c r="C28" s="220" t="s">
        <v>1610</v>
      </c>
      <c r="D28" s="536" t="s">
        <v>701</v>
      </c>
      <c r="E28" s="560" t="s">
        <v>860</v>
      </c>
      <c r="F28" s="553">
        <v>43293</v>
      </c>
      <c r="G28" s="554">
        <v>336.28</v>
      </c>
      <c r="H28" s="554">
        <v>20</v>
      </c>
      <c r="I28" s="555">
        <v>47.57</v>
      </c>
      <c r="J28" s="674">
        <f t="shared" si="1"/>
        <v>7.0022451528488174</v>
      </c>
      <c r="K28" s="555">
        <v>99</v>
      </c>
      <c r="L28" s="556" t="s">
        <v>212</v>
      </c>
      <c r="M28" s="556" t="s">
        <v>2873</v>
      </c>
      <c r="N28" s="557" t="s">
        <v>3274</v>
      </c>
      <c r="O28" s="556" t="s">
        <v>2846</v>
      </c>
      <c r="P28" s="558"/>
      <c r="Q28" s="673" t="s">
        <v>3446</v>
      </c>
    </row>
    <row r="29" spans="1:17" ht="46.5" x14ac:dyDescent="0.25">
      <c r="A29" s="221">
        <v>43293</v>
      </c>
      <c r="B29" s="88" t="s">
        <v>2678</v>
      </c>
      <c r="C29" s="220" t="s">
        <v>744</v>
      </c>
      <c r="D29" s="536" t="s">
        <v>701</v>
      </c>
      <c r="E29" s="560" t="s">
        <v>2558</v>
      </c>
      <c r="F29" s="553">
        <v>43070</v>
      </c>
      <c r="G29" s="554">
        <v>89.09</v>
      </c>
      <c r="H29" s="554">
        <v>1.8</v>
      </c>
      <c r="I29" s="555">
        <v>192.3</v>
      </c>
      <c r="J29" s="674">
        <f t="shared" si="1"/>
        <v>1199.1618962098253</v>
      </c>
      <c r="K29" s="555">
        <v>100</v>
      </c>
      <c r="L29" s="556" t="s">
        <v>49</v>
      </c>
      <c r="M29" s="556" t="s">
        <v>1463</v>
      </c>
      <c r="N29" s="557"/>
      <c r="O29" s="556" t="s">
        <v>2648</v>
      </c>
      <c r="P29" s="558"/>
      <c r="Q29" s="673" t="s">
        <v>3446</v>
      </c>
    </row>
    <row r="30" spans="1:17" ht="46.5" x14ac:dyDescent="0.25">
      <c r="A30" s="221">
        <v>43293</v>
      </c>
      <c r="B30" s="88" t="s">
        <v>2678</v>
      </c>
      <c r="C30" s="220" t="s">
        <v>744</v>
      </c>
      <c r="D30" s="536" t="s">
        <v>701</v>
      </c>
      <c r="E30" s="560" t="s">
        <v>2558</v>
      </c>
      <c r="F30" s="553">
        <v>43070</v>
      </c>
      <c r="G30" s="554">
        <v>89.09</v>
      </c>
      <c r="H30" s="554">
        <v>3.6</v>
      </c>
      <c r="I30" s="555">
        <v>1672.31</v>
      </c>
      <c r="J30" s="674">
        <f t="shared" si="1"/>
        <v>5214.1716865591588</v>
      </c>
      <c r="K30" s="555">
        <v>100</v>
      </c>
      <c r="L30" s="556" t="s">
        <v>49</v>
      </c>
      <c r="M30" s="556" t="s">
        <v>1463</v>
      </c>
      <c r="N30" s="557"/>
      <c r="O30" s="556" t="s">
        <v>2648</v>
      </c>
      <c r="P30" s="558"/>
      <c r="Q30" s="673" t="s">
        <v>3446</v>
      </c>
    </row>
    <row r="31" spans="1:17" ht="46.5" x14ac:dyDescent="0.25">
      <c r="A31" s="221">
        <v>43294</v>
      </c>
      <c r="B31" s="88" t="s">
        <v>2678</v>
      </c>
      <c r="C31" s="220" t="s">
        <v>744</v>
      </c>
      <c r="D31" s="536" t="s">
        <v>701</v>
      </c>
      <c r="E31" s="560" t="s">
        <v>2558</v>
      </c>
      <c r="F31" s="553">
        <v>43070</v>
      </c>
      <c r="G31" s="554">
        <v>89.09</v>
      </c>
      <c r="H31" s="554">
        <v>1.8</v>
      </c>
      <c r="I31" s="555">
        <v>212.47</v>
      </c>
      <c r="J31" s="674">
        <f t="shared" si="1"/>
        <v>1324.939823648994</v>
      </c>
      <c r="K31" s="555">
        <v>100</v>
      </c>
      <c r="L31" s="556" t="s">
        <v>49</v>
      </c>
      <c r="M31" s="556" t="s">
        <v>1463</v>
      </c>
      <c r="N31" s="557"/>
      <c r="O31" s="556" t="s">
        <v>2648</v>
      </c>
      <c r="P31" s="558"/>
      <c r="Q31" s="673" t="s">
        <v>3446</v>
      </c>
    </row>
    <row r="32" spans="1:17" ht="46.5" x14ac:dyDescent="0.25">
      <c r="A32" s="221">
        <v>43297</v>
      </c>
      <c r="B32" s="88" t="s">
        <v>2678</v>
      </c>
      <c r="C32" s="220" t="s">
        <v>744</v>
      </c>
      <c r="D32" s="536" t="s">
        <v>701</v>
      </c>
      <c r="E32" s="560" t="s">
        <v>2558</v>
      </c>
      <c r="F32" s="553">
        <v>43070</v>
      </c>
      <c r="G32" s="554">
        <v>89.09</v>
      </c>
      <c r="H32" s="554">
        <v>3.6</v>
      </c>
      <c r="I32" s="555">
        <v>625.44000000000005</v>
      </c>
      <c r="J32" s="674">
        <f t="shared" si="1"/>
        <v>1950.0879260672727</v>
      </c>
      <c r="K32" s="555">
        <v>100</v>
      </c>
      <c r="L32" s="556" t="s">
        <v>49</v>
      </c>
      <c r="M32" s="556" t="s">
        <v>1463</v>
      </c>
      <c r="N32" s="557"/>
      <c r="O32" s="556" t="s">
        <v>2648</v>
      </c>
      <c r="P32" s="558" t="s">
        <v>3454</v>
      </c>
      <c r="Q32" s="673" t="s">
        <v>3446</v>
      </c>
    </row>
    <row r="33" spans="1:17" ht="46.5" x14ac:dyDescent="0.25">
      <c r="A33" s="221">
        <v>43297</v>
      </c>
      <c r="B33" s="88" t="s">
        <v>3382</v>
      </c>
      <c r="C33" s="220" t="s">
        <v>744</v>
      </c>
      <c r="D33" s="536" t="s">
        <v>701</v>
      </c>
      <c r="E33" s="552" t="s">
        <v>3336</v>
      </c>
      <c r="F33" s="553">
        <v>43199</v>
      </c>
      <c r="G33" s="443">
        <v>198.11</v>
      </c>
      <c r="H33" s="554" t="s">
        <v>61</v>
      </c>
      <c r="I33" s="555" t="s">
        <v>61</v>
      </c>
      <c r="J33" s="674" t="e">
        <f t="shared" ref="J33" si="3">(I33*K33/100)/(H33*G33)*1000</f>
        <v>#VALUE!</v>
      </c>
      <c r="K33" s="555" t="s">
        <v>61</v>
      </c>
      <c r="L33" s="556"/>
      <c r="M33" s="556" t="s">
        <v>1463</v>
      </c>
      <c r="N33" s="557"/>
      <c r="O33" s="556" t="s">
        <v>2846</v>
      </c>
      <c r="P33" s="558"/>
      <c r="Q33" s="673" t="s">
        <v>3446</v>
      </c>
    </row>
    <row r="34" spans="1:17" ht="46.5" x14ac:dyDescent="0.25">
      <c r="A34" s="221">
        <v>43297</v>
      </c>
      <c r="B34" s="88" t="s">
        <v>3381</v>
      </c>
      <c r="C34" s="220" t="s">
        <v>744</v>
      </c>
      <c r="D34" s="536" t="s">
        <v>701</v>
      </c>
      <c r="E34" s="552" t="s">
        <v>3336</v>
      </c>
      <c r="F34" s="553">
        <v>43297</v>
      </c>
      <c r="G34" s="443">
        <v>198.11</v>
      </c>
      <c r="H34" s="554" t="s">
        <v>61</v>
      </c>
      <c r="I34" s="555" t="s">
        <v>61</v>
      </c>
      <c r="J34" s="674" t="e">
        <f t="shared" ref="J34" si="4">(I34*K34/100)/(H34*G34)*1000</f>
        <v>#VALUE!</v>
      </c>
      <c r="K34" s="555" t="s">
        <v>61</v>
      </c>
      <c r="L34" s="556"/>
      <c r="M34" s="556" t="s">
        <v>1463</v>
      </c>
      <c r="N34" s="557"/>
      <c r="O34" s="556" t="s">
        <v>2648</v>
      </c>
      <c r="P34" s="558"/>
      <c r="Q34" s="673" t="s">
        <v>3446</v>
      </c>
    </row>
    <row r="35" spans="1:17" ht="46.5" x14ac:dyDescent="0.25">
      <c r="A35" s="221">
        <v>43298</v>
      </c>
      <c r="B35" s="88" t="s">
        <v>2678</v>
      </c>
      <c r="C35" s="220" t="s">
        <v>744</v>
      </c>
      <c r="D35" s="536" t="s">
        <v>701</v>
      </c>
      <c r="E35" s="560" t="s">
        <v>2558</v>
      </c>
      <c r="F35" s="553">
        <v>43070</v>
      </c>
      <c r="G35" s="554">
        <v>89.09</v>
      </c>
      <c r="H35" s="554">
        <v>3.6</v>
      </c>
      <c r="I35" s="555">
        <v>795.04</v>
      </c>
      <c r="J35" s="674">
        <f t="shared" si="1"/>
        <v>2478.8915079632329</v>
      </c>
      <c r="K35" s="555">
        <v>100</v>
      </c>
      <c r="L35" s="556" t="s">
        <v>49</v>
      </c>
      <c r="M35" s="556" t="s">
        <v>1463</v>
      </c>
      <c r="N35" s="557"/>
      <c r="O35" s="556" t="s">
        <v>2648</v>
      </c>
      <c r="P35" s="558" t="s">
        <v>3453</v>
      </c>
      <c r="Q35" s="673" t="s">
        <v>3446</v>
      </c>
    </row>
    <row r="36" spans="1:17" ht="30" x14ac:dyDescent="0.25">
      <c r="A36" s="221"/>
      <c r="B36" s="214"/>
      <c r="C36" s="220"/>
      <c r="D36" s="536"/>
      <c r="E36" s="560"/>
      <c r="F36" s="553"/>
      <c r="G36" s="679">
        <v>491.68299999999999</v>
      </c>
      <c r="H36" s="680">
        <v>10</v>
      </c>
      <c r="I36" s="681">
        <v>24.69</v>
      </c>
      <c r="J36" s="682">
        <f t="shared" si="1"/>
        <v>5.0215280983885959</v>
      </c>
      <c r="K36" s="681">
        <v>100</v>
      </c>
      <c r="L36" s="556"/>
      <c r="M36" s="556"/>
      <c r="N36" s="557"/>
      <c r="O36" s="556"/>
      <c r="P36" s="558" t="s">
        <v>3452</v>
      </c>
      <c r="Q36" s="673"/>
    </row>
    <row r="37" spans="1:17" ht="25.5" x14ac:dyDescent="0.25">
      <c r="A37" s="221">
        <v>43298</v>
      </c>
      <c r="B37" s="416" t="s">
        <v>3408</v>
      </c>
      <c r="C37" s="220" t="s">
        <v>1610</v>
      </c>
      <c r="D37" s="536" t="s">
        <v>2935</v>
      </c>
      <c r="E37" s="560" t="s">
        <v>3355</v>
      </c>
      <c r="F37" s="553" t="s">
        <v>3406</v>
      </c>
      <c r="G37" s="554">
        <v>371.32900000000001</v>
      </c>
      <c r="H37" s="554">
        <v>10</v>
      </c>
      <c r="I37" s="555">
        <v>2.68</v>
      </c>
      <c r="J37" s="674">
        <v>0.72199999999999998</v>
      </c>
      <c r="K37" s="555">
        <v>100</v>
      </c>
      <c r="L37" s="556" t="s">
        <v>212</v>
      </c>
      <c r="M37" s="556" t="s">
        <v>1756</v>
      </c>
      <c r="N37" s="557"/>
      <c r="O37" s="556" t="s">
        <v>2846</v>
      </c>
      <c r="P37" s="558"/>
      <c r="Q37" s="673" t="s">
        <v>3446</v>
      </c>
    </row>
    <row r="38" spans="1:17" ht="25.5" x14ac:dyDescent="0.25">
      <c r="A38" s="221">
        <v>43299</v>
      </c>
      <c r="B38" s="221" t="s">
        <v>3407</v>
      </c>
      <c r="C38" s="220" t="s">
        <v>1610</v>
      </c>
      <c r="D38" s="536" t="s">
        <v>2935</v>
      </c>
      <c r="E38" s="560" t="s">
        <v>3352</v>
      </c>
      <c r="F38" s="553">
        <v>43299</v>
      </c>
      <c r="G38" s="126">
        <v>303.33100000000002</v>
      </c>
      <c r="H38" s="554">
        <v>10</v>
      </c>
      <c r="I38" s="555">
        <v>10.4</v>
      </c>
      <c r="J38" s="674">
        <f t="shared" si="1"/>
        <v>3.4285978024006774</v>
      </c>
      <c r="K38" s="555">
        <v>100</v>
      </c>
      <c r="L38" s="556" t="s">
        <v>212</v>
      </c>
      <c r="M38" s="556" t="s">
        <v>1756</v>
      </c>
      <c r="N38" s="557"/>
      <c r="O38" s="556" t="s">
        <v>2648</v>
      </c>
      <c r="P38" s="558"/>
      <c r="Q38" s="673" t="s">
        <v>3446</v>
      </c>
    </row>
    <row r="39" spans="1:17" ht="25.5" x14ac:dyDescent="0.25">
      <c r="A39" s="654">
        <v>43299</v>
      </c>
      <c r="B39" s="654" t="s">
        <v>3447</v>
      </c>
      <c r="C39" s="656" t="s">
        <v>1610</v>
      </c>
      <c r="D39" s="684" t="s">
        <v>2935</v>
      </c>
      <c r="E39" s="685" t="s">
        <v>3353</v>
      </c>
      <c r="F39" s="686">
        <v>43299</v>
      </c>
      <c r="G39" s="687">
        <v>455.44299999999998</v>
      </c>
      <c r="H39" s="688">
        <v>10</v>
      </c>
      <c r="I39" s="689">
        <v>8.1199999999999992</v>
      </c>
      <c r="J39" s="675">
        <f t="shared" si="1"/>
        <v>1.7828795260877868</v>
      </c>
      <c r="K39" s="689">
        <v>100</v>
      </c>
      <c r="L39" s="690" t="s">
        <v>212</v>
      </c>
      <c r="M39" s="690" t="s">
        <v>1756</v>
      </c>
      <c r="N39" s="691"/>
      <c r="O39" s="690" t="s">
        <v>2648</v>
      </c>
      <c r="P39" s="692"/>
      <c r="Q39" s="693" t="s">
        <v>3446</v>
      </c>
    </row>
    <row r="40" spans="1:17" ht="25.5" x14ac:dyDescent="0.25">
      <c r="A40" s="697">
        <v>43300</v>
      </c>
      <c r="B40" s="408" t="s">
        <v>3409</v>
      </c>
      <c r="C40" s="698" t="s">
        <v>40</v>
      </c>
      <c r="D40" s="633" t="s">
        <v>1041</v>
      </c>
      <c r="E40" s="633" t="s">
        <v>3410</v>
      </c>
      <c r="F40" s="624">
        <v>43300</v>
      </c>
      <c r="G40" s="625">
        <v>516.97400000000005</v>
      </c>
      <c r="H40" s="625">
        <v>40</v>
      </c>
      <c r="I40" s="627">
        <v>75</v>
      </c>
      <c r="J40" s="626">
        <f t="shared" si="1"/>
        <v>3.6268748525070889</v>
      </c>
      <c r="K40" s="627">
        <v>100</v>
      </c>
      <c r="L40" s="628" t="s">
        <v>49</v>
      </c>
      <c r="M40" s="628" t="s">
        <v>1463</v>
      </c>
      <c r="N40" s="629" t="s">
        <v>3290</v>
      </c>
      <c r="O40" s="628" t="s">
        <v>2846</v>
      </c>
      <c r="P40" s="630"/>
      <c r="Q40" s="694" t="s">
        <v>3446</v>
      </c>
    </row>
    <row r="41" spans="1:17" ht="25.5" x14ac:dyDescent="0.25">
      <c r="A41" s="697">
        <v>43300</v>
      </c>
      <c r="B41" s="408" t="s">
        <v>3411</v>
      </c>
      <c r="C41" s="698" t="s">
        <v>1610</v>
      </c>
      <c r="D41" s="633" t="s">
        <v>2935</v>
      </c>
      <c r="E41" s="633" t="s">
        <v>3354</v>
      </c>
      <c r="F41" s="624">
        <v>43300</v>
      </c>
      <c r="G41" s="625">
        <v>269.63499999999999</v>
      </c>
      <c r="H41" s="625">
        <v>10</v>
      </c>
      <c r="I41" s="627">
        <v>8.6</v>
      </c>
      <c r="J41" s="626">
        <f t="shared" si="1"/>
        <v>3.1894969124928143</v>
      </c>
      <c r="K41" s="627">
        <v>100</v>
      </c>
      <c r="L41" s="628" t="s">
        <v>212</v>
      </c>
      <c r="M41" s="628" t="s">
        <v>1756</v>
      </c>
      <c r="N41" s="629"/>
      <c r="O41" s="628" t="s">
        <v>2648</v>
      </c>
      <c r="P41" s="630"/>
      <c r="Q41" s="694" t="s">
        <v>3446</v>
      </c>
    </row>
    <row r="42" spans="1:17" ht="25.5" x14ac:dyDescent="0.25">
      <c r="A42" s="697">
        <v>43300</v>
      </c>
      <c r="B42" s="408" t="s">
        <v>3350</v>
      </c>
      <c r="C42" s="698" t="s">
        <v>1610</v>
      </c>
      <c r="D42" s="633" t="s">
        <v>701</v>
      </c>
      <c r="E42" s="633" t="s">
        <v>1582</v>
      </c>
      <c r="F42" s="624">
        <v>43300</v>
      </c>
      <c r="G42" s="625">
        <v>319.27999999999997</v>
      </c>
      <c r="H42" s="625">
        <v>1</v>
      </c>
      <c r="I42" s="627">
        <v>1</v>
      </c>
      <c r="J42" s="626">
        <f t="shared" si="1"/>
        <v>3.1007266349285896</v>
      </c>
      <c r="K42" s="627">
        <v>99</v>
      </c>
      <c r="L42" s="628" t="s">
        <v>1724</v>
      </c>
      <c r="M42" s="628" t="s">
        <v>1600</v>
      </c>
      <c r="N42" s="629"/>
      <c r="O42" s="628" t="s">
        <v>2648</v>
      </c>
      <c r="P42" s="630"/>
      <c r="Q42" s="694" t="s">
        <v>3446</v>
      </c>
    </row>
    <row r="43" spans="1:17" ht="25.5" x14ac:dyDescent="0.25">
      <c r="A43" s="697">
        <v>43300</v>
      </c>
      <c r="B43" s="408" t="s">
        <v>3418</v>
      </c>
      <c r="C43" s="698" t="s">
        <v>1610</v>
      </c>
      <c r="D43" s="633" t="s">
        <v>701</v>
      </c>
      <c r="E43" s="633" t="s">
        <v>3188</v>
      </c>
      <c r="F43" s="624">
        <v>43300</v>
      </c>
      <c r="G43" s="625">
        <v>509.3</v>
      </c>
      <c r="H43" s="625">
        <v>10</v>
      </c>
      <c r="I43" s="627">
        <v>50</v>
      </c>
      <c r="J43" s="626">
        <f t="shared" ref="J43:J46" si="5">(I43*K43/100)/(H43*G43)*1000</f>
        <v>9.7388572550559598</v>
      </c>
      <c r="K43" s="627">
        <v>99.2</v>
      </c>
      <c r="L43" s="628" t="s">
        <v>49</v>
      </c>
      <c r="M43" s="628" t="s">
        <v>1600</v>
      </c>
      <c r="N43" s="629"/>
      <c r="O43" s="640" t="s">
        <v>2846</v>
      </c>
      <c r="P43" s="641"/>
      <c r="Q43" s="694" t="s">
        <v>3446</v>
      </c>
    </row>
    <row r="44" spans="1:17" ht="25.5" x14ac:dyDescent="0.25">
      <c r="A44" s="697">
        <v>43301</v>
      </c>
      <c r="B44" s="408" t="s">
        <v>3430</v>
      </c>
      <c r="C44" s="698" t="s">
        <v>40</v>
      </c>
      <c r="D44" s="633" t="s">
        <v>1701</v>
      </c>
      <c r="E44" s="633" t="s">
        <v>3417</v>
      </c>
      <c r="F44" s="624">
        <v>43301</v>
      </c>
      <c r="G44" s="625">
        <v>192.08</v>
      </c>
      <c r="H44" s="625">
        <v>90</v>
      </c>
      <c r="I44" s="640">
        <v>100</v>
      </c>
      <c r="J44" s="626">
        <f t="shared" ref="J44:J48" si="6">(I44*K44/100)/(H44*G44)*1000</f>
        <v>5.4953954370863993</v>
      </c>
      <c r="K44" s="627">
        <v>95</v>
      </c>
      <c r="L44" s="628" t="s">
        <v>49</v>
      </c>
      <c r="M44" s="628" t="s">
        <v>1429</v>
      </c>
      <c r="N44" s="695" t="s">
        <v>3414</v>
      </c>
      <c r="O44" s="640" t="s">
        <v>2846</v>
      </c>
      <c r="P44" s="641"/>
      <c r="Q44" s="694" t="s">
        <v>3446</v>
      </c>
    </row>
    <row r="45" spans="1:17" ht="25.5" x14ac:dyDescent="0.25">
      <c r="A45" s="697">
        <v>43301</v>
      </c>
      <c r="B45" s="408" t="s">
        <v>3431</v>
      </c>
      <c r="C45" s="698" t="s">
        <v>40</v>
      </c>
      <c r="D45" s="633" t="s">
        <v>1701</v>
      </c>
      <c r="E45" s="633" t="s">
        <v>3417</v>
      </c>
      <c r="F45" s="624">
        <v>43301</v>
      </c>
      <c r="G45" s="625">
        <v>192.08</v>
      </c>
      <c r="H45" s="625">
        <v>90</v>
      </c>
      <c r="I45" s="640">
        <v>100</v>
      </c>
      <c r="J45" s="626">
        <f t="shared" si="6"/>
        <v>5.4953954370863993</v>
      </c>
      <c r="K45" s="627">
        <v>95</v>
      </c>
      <c r="L45" s="628" t="s">
        <v>49</v>
      </c>
      <c r="M45" s="628" t="s">
        <v>1429</v>
      </c>
      <c r="N45" s="695" t="s">
        <v>3414</v>
      </c>
      <c r="O45" s="640" t="s">
        <v>2846</v>
      </c>
      <c r="P45" s="641"/>
      <c r="Q45" s="694" t="s">
        <v>3446</v>
      </c>
    </row>
    <row r="46" spans="1:17" ht="25.5" x14ac:dyDescent="0.25">
      <c r="A46" s="697">
        <v>43301</v>
      </c>
      <c r="B46" s="408" t="s">
        <v>3432</v>
      </c>
      <c r="C46" s="698" t="s">
        <v>40</v>
      </c>
      <c r="D46" s="633" t="s">
        <v>1701</v>
      </c>
      <c r="E46" s="633" t="s">
        <v>3417</v>
      </c>
      <c r="F46" s="624">
        <v>43301</v>
      </c>
      <c r="G46" s="625">
        <v>192.08</v>
      </c>
      <c r="H46" s="625">
        <v>90</v>
      </c>
      <c r="I46" s="627">
        <v>18.5</v>
      </c>
      <c r="J46" s="626">
        <f t="shared" si="5"/>
        <v>1.0166481558609839</v>
      </c>
      <c r="K46" s="627">
        <v>95</v>
      </c>
      <c r="L46" s="628" t="s">
        <v>49</v>
      </c>
      <c r="M46" s="628" t="s">
        <v>1429</v>
      </c>
      <c r="N46" s="629" t="s">
        <v>3414</v>
      </c>
      <c r="O46" s="640" t="s">
        <v>2648</v>
      </c>
      <c r="P46" s="641"/>
      <c r="Q46" s="694" t="s">
        <v>3450</v>
      </c>
    </row>
    <row r="47" spans="1:17" ht="25.5" x14ac:dyDescent="0.25">
      <c r="A47" s="697">
        <v>43301</v>
      </c>
      <c r="B47" s="408" t="s">
        <v>3432</v>
      </c>
      <c r="C47" s="698" t="s">
        <v>40</v>
      </c>
      <c r="D47" s="633" t="s">
        <v>1701</v>
      </c>
      <c r="E47" s="633" t="s">
        <v>3417</v>
      </c>
      <c r="F47" s="624">
        <v>43301</v>
      </c>
      <c r="G47" s="625">
        <v>192.08</v>
      </c>
      <c r="H47" s="625">
        <v>90</v>
      </c>
      <c r="I47" s="640">
        <v>26.5</v>
      </c>
      <c r="J47" s="626">
        <f t="shared" si="6"/>
        <v>1.4562797908278957</v>
      </c>
      <c r="K47" s="627">
        <v>95</v>
      </c>
      <c r="L47" s="628" t="s">
        <v>49</v>
      </c>
      <c r="M47" s="628" t="s">
        <v>1429</v>
      </c>
      <c r="N47" s="695" t="s">
        <v>3414</v>
      </c>
      <c r="O47" s="640" t="s">
        <v>2648</v>
      </c>
      <c r="P47" s="641"/>
      <c r="Q47" s="694" t="s">
        <v>3450</v>
      </c>
    </row>
    <row r="48" spans="1:17" ht="25.5" x14ac:dyDescent="0.25">
      <c r="A48" s="697">
        <v>43306</v>
      </c>
      <c r="B48" s="408" t="s">
        <v>3428</v>
      </c>
      <c r="C48" s="698" t="s">
        <v>40</v>
      </c>
      <c r="D48" s="696" t="s">
        <v>230</v>
      </c>
      <c r="E48" s="640" t="s">
        <v>3448</v>
      </c>
      <c r="F48" s="638">
        <v>43306</v>
      </c>
      <c r="G48" s="640">
        <v>526.76</v>
      </c>
      <c r="H48" s="640">
        <v>7</v>
      </c>
      <c r="I48" s="640">
        <v>12.1</v>
      </c>
      <c r="J48" s="626">
        <f t="shared" si="6"/>
        <v>3.2815161146849205</v>
      </c>
      <c r="K48" s="640">
        <v>100</v>
      </c>
      <c r="L48" s="640" t="s">
        <v>212</v>
      </c>
      <c r="M48" s="640" t="s">
        <v>1430</v>
      </c>
      <c r="N48" s="695" t="s">
        <v>3419</v>
      </c>
      <c r="O48" s="640" t="s">
        <v>2846</v>
      </c>
      <c r="P48" s="641"/>
      <c r="Q48" s="694" t="s">
        <v>3450</v>
      </c>
    </row>
    <row r="49" spans="1:17" ht="25.5" x14ac:dyDescent="0.25">
      <c r="A49" s="697">
        <v>43306</v>
      </c>
      <c r="B49" s="408" t="s">
        <v>3429</v>
      </c>
      <c r="C49" s="698" t="s">
        <v>40</v>
      </c>
      <c r="D49" s="696" t="s">
        <v>230</v>
      </c>
      <c r="E49" s="640" t="s">
        <v>3449</v>
      </c>
      <c r="F49" s="638">
        <v>43306</v>
      </c>
      <c r="G49" s="640">
        <v>428.57</v>
      </c>
      <c r="H49" s="640">
        <v>7</v>
      </c>
      <c r="I49" s="640">
        <v>5.83</v>
      </c>
      <c r="J49" s="626">
        <f t="shared" si="1"/>
        <v>1.9433398111327038</v>
      </c>
      <c r="K49" s="640">
        <v>100</v>
      </c>
      <c r="L49" s="640" t="s">
        <v>212</v>
      </c>
      <c r="M49" s="640" t="s">
        <v>1430</v>
      </c>
      <c r="N49" s="695" t="s">
        <v>3419</v>
      </c>
      <c r="O49" s="640" t="s">
        <v>2648</v>
      </c>
      <c r="P49" s="641"/>
      <c r="Q49" s="694" t="s">
        <v>3450</v>
      </c>
    </row>
    <row r="50" spans="1:17" ht="25.5" x14ac:dyDescent="0.25">
      <c r="A50" s="697">
        <v>43307</v>
      </c>
      <c r="B50" s="408" t="s">
        <v>3351</v>
      </c>
      <c r="C50" s="698" t="s">
        <v>170</v>
      </c>
      <c r="D50" s="633" t="s">
        <v>230</v>
      </c>
      <c r="E50" s="633" t="s">
        <v>3278</v>
      </c>
      <c r="F50" s="624">
        <v>43291</v>
      </c>
      <c r="G50" s="625">
        <v>430.59</v>
      </c>
      <c r="H50" s="625">
        <v>10</v>
      </c>
      <c r="I50" s="640">
        <v>2.2400000000000002</v>
      </c>
      <c r="J50" s="626">
        <f t="shared" si="1"/>
        <v>0.52021644720035309</v>
      </c>
      <c r="K50" s="627">
        <v>100</v>
      </c>
      <c r="L50" s="628" t="s">
        <v>212</v>
      </c>
      <c r="M50" s="628" t="s">
        <v>2873</v>
      </c>
      <c r="N50" s="695" t="s">
        <v>3274</v>
      </c>
      <c r="O50" s="640" t="s">
        <v>2648</v>
      </c>
      <c r="P50" s="641"/>
      <c r="Q50" s="694" t="s">
        <v>3450</v>
      </c>
    </row>
    <row r="51" spans="1:17" ht="25.5" x14ac:dyDescent="0.25">
      <c r="A51" s="697">
        <v>43308</v>
      </c>
      <c r="B51" s="408" t="s">
        <v>3160</v>
      </c>
      <c r="C51" s="698" t="s">
        <v>40</v>
      </c>
      <c r="D51" s="633" t="s">
        <v>701</v>
      </c>
      <c r="E51" s="633" t="s">
        <v>429</v>
      </c>
      <c r="F51" s="624">
        <v>41480</v>
      </c>
      <c r="G51" s="625">
        <v>213.66</v>
      </c>
      <c r="H51" s="625">
        <v>10</v>
      </c>
      <c r="I51" s="640">
        <v>6.6820000000000004</v>
      </c>
      <c r="J51" s="626">
        <f t="shared" si="1"/>
        <v>3.0648506973696525</v>
      </c>
      <c r="K51" s="627">
        <v>98</v>
      </c>
      <c r="L51" s="628" t="s">
        <v>49</v>
      </c>
      <c r="M51" s="628" t="s">
        <v>3192</v>
      </c>
      <c r="N51" s="695"/>
      <c r="O51" s="640" t="s">
        <v>2648</v>
      </c>
      <c r="P51" s="641"/>
      <c r="Q51" s="694" t="s">
        <v>3450</v>
      </c>
    </row>
    <row r="52" spans="1:17" ht="46.5" x14ac:dyDescent="0.25">
      <c r="A52" s="697">
        <v>43308</v>
      </c>
      <c r="B52" s="408" t="s">
        <v>2678</v>
      </c>
      <c r="C52" s="698" t="s">
        <v>744</v>
      </c>
      <c r="D52" s="633" t="s">
        <v>701</v>
      </c>
      <c r="E52" s="633" t="s">
        <v>2558</v>
      </c>
      <c r="F52" s="624">
        <v>43070</v>
      </c>
      <c r="G52" s="625">
        <v>89.09</v>
      </c>
      <c r="H52" s="625">
        <v>3.6</v>
      </c>
      <c r="I52" s="640">
        <v>1036.26</v>
      </c>
      <c r="J52" s="626">
        <f t="shared" si="1"/>
        <v>3231.0023571669094</v>
      </c>
      <c r="K52" s="627">
        <v>100</v>
      </c>
      <c r="L52" s="628" t="s">
        <v>49</v>
      </c>
      <c r="M52" s="628" t="s">
        <v>1463</v>
      </c>
      <c r="N52" s="695" t="s">
        <v>1493</v>
      </c>
      <c r="O52" s="640" t="s">
        <v>2648</v>
      </c>
      <c r="P52" s="641"/>
      <c r="Q52" s="694" t="s">
        <v>3450</v>
      </c>
    </row>
    <row r="53" spans="1:17" ht="46.5" x14ac:dyDescent="0.25">
      <c r="A53" s="697">
        <v>43308</v>
      </c>
      <c r="B53" s="408" t="s">
        <v>2678</v>
      </c>
      <c r="C53" s="698" t="s">
        <v>744</v>
      </c>
      <c r="D53" s="633" t="s">
        <v>701</v>
      </c>
      <c r="E53" s="633" t="s">
        <v>2558</v>
      </c>
      <c r="F53" s="624">
        <v>43070</v>
      </c>
      <c r="G53" s="625">
        <v>89.09</v>
      </c>
      <c r="H53" s="625">
        <v>3.6</v>
      </c>
      <c r="I53" s="640">
        <v>2291.71</v>
      </c>
      <c r="J53" s="626">
        <f t="shared" si="1"/>
        <v>7145.4272209126848</v>
      </c>
      <c r="K53" s="640">
        <v>100</v>
      </c>
      <c r="L53" s="628" t="s">
        <v>49</v>
      </c>
      <c r="M53" s="640" t="s">
        <v>1463</v>
      </c>
      <c r="N53" s="695" t="s">
        <v>1493</v>
      </c>
      <c r="O53" s="640" t="s">
        <v>2648</v>
      </c>
      <c r="P53" s="641"/>
      <c r="Q53" s="694" t="s">
        <v>3450</v>
      </c>
    </row>
    <row r="54" spans="1:17" ht="25.5" x14ac:dyDescent="0.25">
      <c r="A54" s="697">
        <v>43312</v>
      </c>
      <c r="B54" s="700" t="s">
        <v>3445</v>
      </c>
      <c r="C54" s="699" t="s">
        <v>170</v>
      </c>
      <c r="D54" s="696" t="s">
        <v>1041</v>
      </c>
      <c r="E54" s="640" t="s">
        <v>3370</v>
      </c>
      <c r="F54" s="624">
        <v>43312</v>
      </c>
      <c r="G54" s="640">
        <v>392.33</v>
      </c>
      <c r="H54" s="640">
        <v>10</v>
      </c>
      <c r="I54" s="640">
        <v>2.16</v>
      </c>
      <c r="J54" s="626">
        <f t="shared" si="1"/>
        <v>0.55055692911579546</v>
      </c>
      <c r="K54" s="640">
        <v>100</v>
      </c>
      <c r="L54" s="640" t="s">
        <v>212</v>
      </c>
      <c r="M54" s="640" t="s">
        <v>1463</v>
      </c>
      <c r="N54" s="695" t="s">
        <v>3440</v>
      </c>
      <c r="O54" s="640" t="s">
        <v>2648</v>
      </c>
      <c r="P54" s="641"/>
      <c r="Q54" s="694" t="s">
        <v>3450</v>
      </c>
    </row>
    <row r="55" spans="1:17" ht="25.5" x14ac:dyDescent="0.25">
      <c r="A55" s="697">
        <v>43312</v>
      </c>
      <c r="B55" s="408" t="s">
        <v>3350</v>
      </c>
      <c r="C55" s="698" t="s">
        <v>170</v>
      </c>
      <c r="D55" s="633" t="s">
        <v>701</v>
      </c>
      <c r="E55" s="633" t="s">
        <v>1582</v>
      </c>
      <c r="F55" s="624">
        <v>43312</v>
      </c>
      <c r="G55" s="625">
        <v>319.27999999999997</v>
      </c>
      <c r="H55" s="625">
        <v>1</v>
      </c>
      <c r="I55" s="627">
        <v>1</v>
      </c>
      <c r="J55" s="626">
        <f t="shared" ref="J55" si="7">(I55*K55/100)/(H55*G55)*1000</f>
        <v>3.1007266349285896</v>
      </c>
      <c r="K55" s="627">
        <v>99</v>
      </c>
      <c r="L55" s="628" t="s">
        <v>1724</v>
      </c>
      <c r="M55" s="628" t="s">
        <v>1463</v>
      </c>
      <c r="N55" s="629" t="s">
        <v>1493</v>
      </c>
      <c r="O55" s="628" t="s">
        <v>2648</v>
      </c>
      <c r="P55" s="641"/>
      <c r="Q55" s="694" t="s">
        <v>3450</v>
      </c>
    </row>
    <row r="56" spans="1:17" ht="23.25" x14ac:dyDescent="0.25">
      <c r="A56" s="666"/>
      <c r="B56" s="667"/>
      <c r="C56" s="667"/>
      <c r="D56" s="663"/>
      <c r="E56" s="663"/>
      <c r="F56" s="664"/>
      <c r="G56" s="663"/>
      <c r="H56" s="663"/>
      <c r="I56" s="663"/>
      <c r="J56" s="668"/>
      <c r="K56" s="663"/>
      <c r="L56" s="663"/>
      <c r="M56" s="663"/>
      <c r="N56" s="663"/>
      <c r="O56" s="663"/>
      <c r="P56" s="665"/>
      <c r="Q56" s="665"/>
    </row>
    <row r="57" spans="1:17" ht="23.25" x14ac:dyDescent="0.25">
      <c r="A57" s="670"/>
      <c r="B57" s="671"/>
      <c r="C57" s="671"/>
      <c r="D57" s="182"/>
      <c r="E57" s="796" t="s">
        <v>3451</v>
      </c>
      <c r="F57" s="790"/>
      <c r="G57" s="790"/>
      <c r="H57" s="790"/>
      <c r="I57" s="790"/>
      <c r="J57" s="790"/>
    </row>
    <row r="58" spans="1:17" ht="23.25" x14ac:dyDescent="0.25">
      <c r="A58" s="670"/>
      <c r="B58" s="671"/>
      <c r="C58" s="671"/>
      <c r="D58" s="182"/>
      <c r="J58" s="595"/>
    </row>
    <row r="59" spans="1:17" x14ac:dyDescent="0.25">
      <c r="A59" s="406"/>
      <c r="B59" s="406"/>
      <c r="C59" s="406"/>
      <c r="D59" s="182"/>
      <c r="J59" s="595"/>
    </row>
    <row r="60" spans="1:17" x14ac:dyDescent="0.25">
      <c r="A60" s="406"/>
      <c r="B60" s="406"/>
      <c r="C60" s="406"/>
      <c r="D60" s="182"/>
      <c r="J60" s="595"/>
    </row>
    <row r="61" spans="1:17" x14ac:dyDescent="0.25">
      <c r="A61" s="406"/>
      <c r="B61" s="406"/>
      <c r="C61" s="406"/>
      <c r="D61" s="182"/>
      <c r="J61" s="595"/>
    </row>
    <row r="62" spans="1:17" x14ac:dyDescent="0.25">
      <c r="A62" s="406"/>
      <c r="B62" s="406"/>
      <c r="C62" s="406"/>
      <c r="D62" s="182"/>
      <c r="J62" s="595"/>
    </row>
    <row r="63" spans="1:17" x14ac:dyDescent="0.25">
      <c r="A63" s="406"/>
      <c r="B63" s="406"/>
      <c r="C63" s="406"/>
      <c r="D63" s="182"/>
      <c r="J63" s="595"/>
    </row>
    <row r="64" spans="1:17" x14ac:dyDescent="0.25">
      <c r="A64" s="406"/>
      <c r="B64" s="406"/>
      <c r="C64" s="406"/>
      <c r="D64" s="182"/>
      <c r="J64" s="595"/>
    </row>
    <row r="65" spans="1:10" x14ac:dyDescent="0.25">
      <c r="A65" s="406"/>
      <c r="B65" s="406"/>
      <c r="C65" s="406"/>
      <c r="D65" s="182"/>
      <c r="J65" s="595"/>
    </row>
    <row r="66" spans="1:10" x14ac:dyDescent="0.25">
      <c r="A66" s="406"/>
      <c r="B66" s="406"/>
      <c r="C66" s="406"/>
      <c r="D66" s="182"/>
      <c r="J66" s="595"/>
    </row>
    <row r="67" spans="1:10" x14ac:dyDescent="0.25">
      <c r="A67" s="406"/>
      <c r="B67" s="406"/>
      <c r="C67" s="406"/>
      <c r="D67" s="182"/>
      <c r="J67" s="595"/>
    </row>
    <row r="68" spans="1:10" x14ac:dyDescent="0.25">
      <c r="A68" s="388"/>
      <c r="J68" s="648"/>
    </row>
    <row r="69" spans="1:10" x14ac:dyDescent="0.25">
      <c r="A69" s="388"/>
      <c r="J69" s="648"/>
    </row>
    <row r="70" spans="1:10" x14ac:dyDescent="0.25">
      <c r="A70" s="388"/>
      <c r="J70" s="648"/>
    </row>
    <row r="71" spans="1:10" x14ac:dyDescent="0.25">
      <c r="A71" s="388"/>
      <c r="J71" s="648"/>
    </row>
    <row r="72" spans="1:10" x14ac:dyDescent="0.25">
      <c r="A72" s="388"/>
      <c r="J72" s="648"/>
    </row>
    <row r="73" spans="1:10" x14ac:dyDescent="0.25">
      <c r="A73" s="388"/>
      <c r="J73" s="648"/>
    </row>
    <row r="74" spans="1:10" x14ac:dyDescent="0.25">
      <c r="A74" s="388"/>
      <c r="J74" s="648"/>
    </row>
    <row r="75" spans="1:10" x14ac:dyDescent="0.25">
      <c r="A75" s="388"/>
      <c r="J75" s="648"/>
    </row>
    <row r="76" spans="1:10" x14ac:dyDescent="0.25">
      <c r="A76" s="388"/>
      <c r="J76" s="648"/>
    </row>
    <row r="77" spans="1:10" x14ac:dyDescent="0.25">
      <c r="A77" s="388"/>
      <c r="J77" s="648"/>
    </row>
    <row r="78" spans="1:10" x14ac:dyDescent="0.25">
      <c r="A78" s="388"/>
      <c r="J78" s="648"/>
    </row>
    <row r="79" spans="1:10" x14ac:dyDescent="0.25">
      <c r="A79" s="388"/>
      <c r="J79" s="648"/>
    </row>
    <row r="80" spans="1:10" x14ac:dyDescent="0.25">
      <c r="A80" s="388"/>
      <c r="J80" s="648"/>
    </row>
    <row r="81" spans="1:10" x14ac:dyDescent="0.25">
      <c r="A81" s="388"/>
      <c r="J81" s="648"/>
    </row>
    <row r="82" spans="1:10" x14ac:dyDescent="0.25">
      <c r="A82" s="388"/>
      <c r="J82" s="648"/>
    </row>
    <row r="83" spans="1:10" x14ac:dyDescent="0.25">
      <c r="A83" s="388"/>
      <c r="J83" s="648"/>
    </row>
    <row r="84" spans="1:10" x14ac:dyDescent="0.25">
      <c r="A84" s="388"/>
      <c r="J84" s="648"/>
    </row>
    <row r="85" spans="1:10" x14ac:dyDescent="0.25">
      <c r="A85" s="388"/>
      <c r="J85" s="648"/>
    </row>
    <row r="86" spans="1:10" x14ac:dyDescent="0.25">
      <c r="A86" s="388"/>
      <c r="J86" s="648"/>
    </row>
    <row r="87" spans="1:10" x14ac:dyDescent="0.25">
      <c r="A87" s="388"/>
      <c r="J87" s="648"/>
    </row>
    <row r="88" spans="1:10" x14ac:dyDescent="0.25">
      <c r="A88" s="388"/>
      <c r="J88" s="648"/>
    </row>
    <row r="89" spans="1:10" x14ac:dyDescent="0.25">
      <c r="A89" s="388"/>
      <c r="J89" s="648"/>
    </row>
    <row r="90" spans="1:10" x14ac:dyDescent="0.25">
      <c r="A90" s="388"/>
      <c r="J90" s="648"/>
    </row>
    <row r="91" spans="1:10" x14ac:dyDescent="0.25">
      <c r="A91" s="388"/>
      <c r="J91" s="648"/>
    </row>
    <row r="92" spans="1:10" x14ac:dyDescent="0.25">
      <c r="A92" s="388"/>
      <c r="J92" s="648"/>
    </row>
    <row r="93" spans="1:10" x14ac:dyDescent="0.25">
      <c r="A93" s="388"/>
      <c r="J93" s="648"/>
    </row>
    <row r="94" spans="1:10" x14ac:dyDescent="0.25">
      <c r="A94" s="388"/>
      <c r="J94" s="648"/>
    </row>
    <row r="95" spans="1:10" x14ac:dyDescent="0.25">
      <c r="A95" s="388"/>
      <c r="J95" s="648"/>
    </row>
    <row r="96" spans="1:10" x14ac:dyDescent="0.25">
      <c r="A96" s="388"/>
      <c r="J96" s="648"/>
    </row>
    <row r="97" spans="1:10" x14ac:dyDescent="0.25">
      <c r="A97" s="388"/>
      <c r="J97" s="648"/>
    </row>
    <row r="98" spans="1:10" x14ac:dyDescent="0.25">
      <c r="A98" s="388"/>
      <c r="J98" s="648"/>
    </row>
    <row r="99" spans="1:10" x14ac:dyDescent="0.25">
      <c r="A99" s="388"/>
      <c r="J99" s="648"/>
    </row>
    <row r="100" spans="1:10" x14ac:dyDescent="0.25">
      <c r="A100" s="388"/>
      <c r="J100" s="648"/>
    </row>
    <row r="101" spans="1:10" x14ac:dyDescent="0.25">
      <c r="A101" s="388"/>
      <c r="J101" s="648"/>
    </row>
    <row r="102" spans="1:10" x14ac:dyDescent="0.25">
      <c r="A102" s="388"/>
      <c r="J102" s="648"/>
    </row>
    <row r="103" spans="1:10" x14ac:dyDescent="0.25">
      <c r="A103" s="388"/>
      <c r="J103" s="648"/>
    </row>
    <row r="104" spans="1:10" x14ac:dyDescent="0.25">
      <c r="A104" s="388"/>
      <c r="J104" s="648"/>
    </row>
    <row r="105" spans="1:10" x14ac:dyDescent="0.25">
      <c r="A105" s="388"/>
      <c r="J105" s="648"/>
    </row>
    <row r="106" spans="1:10" x14ac:dyDescent="0.25">
      <c r="A106" s="388"/>
      <c r="J106" s="648"/>
    </row>
    <row r="107" spans="1:10" x14ac:dyDescent="0.25">
      <c r="A107" s="388"/>
      <c r="J107" s="648"/>
    </row>
    <row r="108" spans="1:10" x14ac:dyDescent="0.25">
      <c r="A108" s="388"/>
      <c r="J108" s="648"/>
    </row>
    <row r="109" spans="1:10" x14ac:dyDescent="0.25">
      <c r="A109" s="388"/>
      <c r="J109" s="648"/>
    </row>
    <row r="110" spans="1:10" x14ac:dyDescent="0.25">
      <c r="A110" s="388"/>
      <c r="J110" s="648"/>
    </row>
    <row r="111" spans="1:10" x14ac:dyDescent="0.25">
      <c r="A111" s="388"/>
      <c r="J111" s="648"/>
    </row>
    <row r="112" spans="1:10" x14ac:dyDescent="0.25">
      <c r="A112" s="388"/>
      <c r="J112" s="648"/>
    </row>
    <row r="113" spans="1:10" x14ac:dyDescent="0.25">
      <c r="A113" s="388"/>
      <c r="J113" s="648"/>
    </row>
    <row r="114" spans="1:10" x14ac:dyDescent="0.25">
      <c r="A114" s="388"/>
      <c r="J114" s="648"/>
    </row>
    <row r="115" spans="1:10" x14ac:dyDescent="0.25">
      <c r="A115" s="388"/>
      <c r="J115" s="648"/>
    </row>
    <row r="116" spans="1:10" x14ac:dyDescent="0.25">
      <c r="A116" s="388"/>
      <c r="J116" s="648"/>
    </row>
    <row r="117" spans="1:10" x14ac:dyDescent="0.25">
      <c r="A117" s="388"/>
      <c r="J117" s="648"/>
    </row>
    <row r="118" spans="1:10" x14ac:dyDescent="0.25">
      <c r="A118" s="388"/>
      <c r="J118" s="648"/>
    </row>
    <row r="119" spans="1:10" x14ac:dyDescent="0.25">
      <c r="A119" s="388"/>
      <c r="J119" s="648"/>
    </row>
    <row r="120" spans="1:10" x14ac:dyDescent="0.25">
      <c r="A120" s="388"/>
      <c r="J120" s="648"/>
    </row>
    <row r="121" spans="1:10" x14ac:dyDescent="0.25">
      <c r="A121" s="388"/>
      <c r="J121" s="648"/>
    </row>
    <row r="122" spans="1:10" x14ac:dyDescent="0.25">
      <c r="A122" s="388"/>
      <c r="J122" s="648"/>
    </row>
    <row r="123" spans="1:10" x14ac:dyDescent="0.25">
      <c r="A123" s="388"/>
      <c r="J123" s="648"/>
    </row>
    <row r="124" spans="1:10" x14ac:dyDescent="0.25">
      <c r="A124" s="388"/>
      <c r="J124" s="648"/>
    </row>
    <row r="125" spans="1:10" x14ac:dyDescent="0.25">
      <c r="A125" s="388"/>
      <c r="J125" s="648"/>
    </row>
    <row r="126" spans="1:10" x14ac:dyDescent="0.25">
      <c r="A126" s="388"/>
      <c r="J126" s="648"/>
    </row>
    <row r="127" spans="1:10" x14ac:dyDescent="0.25">
      <c r="A127" s="388"/>
      <c r="J127" s="648"/>
    </row>
    <row r="128" spans="1:10" x14ac:dyDescent="0.25">
      <c r="A128" s="388"/>
      <c r="J128" s="648"/>
    </row>
    <row r="129" spans="1:10" x14ac:dyDescent="0.25">
      <c r="A129" s="388"/>
      <c r="J129" s="648"/>
    </row>
    <row r="130" spans="1:10" x14ac:dyDescent="0.25">
      <c r="A130" s="388"/>
      <c r="J130" s="648"/>
    </row>
    <row r="131" spans="1:10" x14ac:dyDescent="0.25">
      <c r="A131" s="388"/>
      <c r="J131" s="648"/>
    </row>
    <row r="132" spans="1:10" x14ac:dyDescent="0.25">
      <c r="A132" s="388"/>
      <c r="J132" s="648"/>
    </row>
    <row r="133" spans="1:10" x14ac:dyDescent="0.25">
      <c r="A133" s="388"/>
      <c r="J133" s="648"/>
    </row>
    <row r="134" spans="1:10" x14ac:dyDescent="0.25">
      <c r="A134" s="388"/>
      <c r="J134" s="648"/>
    </row>
    <row r="135" spans="1:10" x14ac:dyDescent="0.25">
      <c r="A135" s="388"/>
      <c r="J135" s="648"/>
    </row>
    <row r="136" spans="1:10" x14ac:dyDescent="0.25">
      <c r="A136" s="388"/>
      <c r="J136" s="648"/>
    </row>
    <row r="137" spans="1:10" x14ac:dyDescent="0.25">
      <c r="A137" s="388"/>
      <c r="J137" s="648"/>
    </row>
    <row r="138" spans="1:10" x14ac:dyDescent="0.25">
      <c r="A138" s="388"/>
      <c r="J138" s="648"/>
    </row>
    <row r="139" spans="1:10" x14ac:dyDescent="0.25">
      <c r="A139" s="388"/>
      <c r="J139" s="648"/>
    </row>
    <row r="140" spans="1:10" x14ac:dyDescent="0.25">
      <c r="A140" s="388"/>
      <c r="J140" s="648"/>
    </row>
    <row r="141" spans="1:10" x14ac:dyDescent="0.25">
      <c r="A141" s="388"/>
      <c r="J141" s="648"/>
    </row>
    <row r="142" spans="1:10" x14ac:dyDescent="0.25">
      <c r="A142" s="388"/>
      <c r="J142" s="648"/>
    </row>
    <row r="143" spans="1:10" x14ac:dyDescent="0.25">
      <c r="A143" s="388"/>
      <c r="J143" s="648"/>
    </row>
    <row r="144" spans="1:10" x14ac:dyDescent="0.25">
      <c r="A144" s="388"/>
      <c r="J144" s="648"/>
    </row>
    <row r="145" spans="1:10" x14ac:dyDescent="0.25">
      <c r="A145" s="388"/>
      <c r="J145" s="648"/>
    </row>
    <row r="146" spans="1:10" x14ac:dyDescent="0.25">
      <c r="A146" s="388"/>
      <c r="J146" s="648"/>
    </row>
    <row r="147" spans="1:10" x14ac:dyDescent="0.25">
      <c r="A147" s="388"/>
      <c r="J147" s="648"/>
    </row>
    <row r="148" spans="1:10" x14ac:dyDescent="0.25">
      <c r="A148" s="388"/>
      <c r="J148" s="648"/>
    </row>
    <row r="149" spans="1:10" x14ac:dyDescent="0.25">
      <c r="A149" s="388"/>
      <c r="J149" s="648"/>
    </row>
    <row r="150" spans="1:10" x14ac:dyDescent="0.25">
      <c r="A150" s="388"/>
      <c r="J150" s="648"/>
    </row>
    <row r="151" spans="1:10" x14ac:dyDescent="0.25">
      <c r="A151" s="388"/>
      <c r="J151" s="648"/>
    </row>
    <row r="152" spans="1:10" x14ac:dyDescent="0.25">
      <c r="A152" s="388"/>
      <c r="J152" s="648"/>
    </row>
    <row r="153" spans="1:10" x14ac:dyDescent="0.25">
      <c r="A153" s="388"/>
      <c r="J153" s="648"/>
    </row>
    <row r="154" spans="1:10" x14ac:dyDescent="0.25">
      <c r="A154" s="388"/>
      <c r="J154" s="648"/>
    </row>
    <row r="155" spans="1:10" x14ac:dyDescent="0.25">
      <c r="A155" s="388"/>
      <c r="J155" s="648"/>
    </row>
    <row r="156" spans="1:10" x14ac:dyDescent="0.25">
      <c r="A156" s="388"/>
      <c r="J156" s="648"/>
    </row>
    <row r="157" spans="1:10" x14ac:dyDescent="0.25">
      <c r="A157" s="388"/>
      <c r="J157" s="648"/>
    </row>
    <row r="158" spans="1:10" x14ac:dyDescent="0.25">
      <c r="A158" s="388"/>
      <c r="J158" s="648"/>
    </row>
    <row r="159" spans="1:10" x14ac:dyDescent="0.25">
      <c r="A159" s="388"/>
      <c r="J159" s="648"/>
    </row>
    <row r="160" spans="1:10" x14ac:dyDescent="0.25">
      <c r="A160" s="388"/>
      <c r="J160" s="648"/>
    </row>
    <row r="161" spans="1:10" x14ac:dyDescent="0.25">
      <c r="A161" s="388"/>
      <c r="J161" s="648"/>
    </row>
    <row r="162" spans="1:10" x14ac:dyDescent="0.25">
      <c r="A162" s="388"/>
      <c r="J162" s="648"/>
    </row>
    <row r="163" spans="1:10" x14ac:dyDescent="0.25">
      <c r="A163" s="388"/>
      <c r="J163" s="648"/>
    </row>
    <row r="164" spans="1:10" x14ac:dyDescent="0.25">
      <c r="A164" s="388"/>
      <c r="J164" s="648"/>
    </row>
    <row r="165" spans="1:10" x14ac:dyDescent="0.25">
      <c r="A165" s="388"/>
      <c r="J165" s="648"/>
    </row>
    <row r="166" spans="1:10" x14ac:dyDescent="0.25">
      <c r="A166" s="388"/>
      <c r="J166" s="648"/>
    </row>
    <row r="167" spans="1:10" x14ac:dyDescent="0.25">
      <c r="A167" s="388"/>
      <c r="J167" s="648"/>
    </row>
    <row r="168" spans="1:10" x14ac:dyDescent="0.25">
      <c r="A168" s="388"/>
      <c r="J168" s="648"/>
    </row>
    <row r="169" spans="1:10" x14ac:dyDescent="0.25">
      <c r="A169" s="388"/>
      <c r="J169" s="648"/>
    </row>
    <row r="170" spans="1:10" x14ac:dyDescent="0.25">
      <c r="A170" s="388"/>
      <c r="J170" s="648"/>
    </row>
    <row r="171" spans="1:10" x14ac:dyDescent="0.25">
      <c r="A171" s="388"/>
      <c r="J171" s="648"/>
    </row>
    <row r="172" spans="1:10" x14ac:dyDescent="0.25">
      <c r="A172" s="388"/>
      <c r="J172" s="648"/>
    </row>
    <row r="173" spans="1:10" x14ac:dyDescent="0.25">
      <c r="A173" s="388"/>
      <c r="J173" s="648"/>
    </row>
    <row r="174" spans="1:10" x14ac:dyDescent="0.25">
      <c r="A174" s="388"/>
      <c r="J174" s="648"/>
    </row>
    <row r="175" spans="1:10" x14ac:dyDescent="0.25">
      <c r="A175" s="388"/>
      <c r="J175" s="648"/>
    </row>
    <row r="176" spans="1:10" x14ac:dyDescent="0.25">
      <c r="A176" s="388"/>
      <c r="J176" s="648"/>
    </row>
    <row r="177" spans="1:10" x14ac:dyDescent="0.25">
      <c r="A177" s="388"/>
      <c r="J177" s="648"/>
    </row>
    <row r="178" spans="1:10" x14ac:dyDescent="0.25">
      <c r="A178" s="388"/>
      <c r="J178" s="648"/>
    </row>
    <row r="179" spans="1:10" x14ac:dyDescent="0.25">
      <c r="A179" s="388"/>
      <c r="J179" s="648"/>
    </row>
    <row r="180" spans="1:10" x14ac:dyDescent="0.25">
      <c r="A180" s="388"/>
      <c r="J180" s="648"/>
    </row>
    <row r="181" spans="1:10" x14ac:dyDescent="0.25">
      <c r="A181" s="388"/>
      <c r="J181" s="648"/>
    </row>
    <row r="182" spans="1:10" x14ac:dyDescent="0.25">
      <c r="A182" s="388"/>
      <c r="J182" s="648"/>
    </row>
    <row r="183" spans="1:10" x14ac:dyDescent="0.25">
      <c r="A183" s="388"/>
      <c r="J183" s="648"/>
    </row>
    <row r="184" spans="1:10" x14ac:dyDescent="0.25">
      <c r="A184" s="388"/>
      <c r="J184" s="648"/>
    </row>
    <row r="185" spans="1:10" x14ac:dyDescent="0.25">
      <c r="A185" s="388"/>
      <c r="J185" s="648"/>
    </row>
    <row r="186" spans="1:10" x14ac:dyDescent="0.25">
      <c r="A186" s="388"/>
      <c r="J186" s="648"/>
    </row>
    <row r="187" spans="1:10" x14ac:dyDescent="0.25">
      <c r="A187" s="388"/>
      <c r="J187" s="648"/>
    </row>
    <row r="188" spans="1:10" x14ac:dyDescent="0.25">
      <c r="A188" s="388"/>
      <c r="J188" s="648"/>
    </row>
    <row r="189" spans="1:10" x14ac:dyDescent="0.25">
      <c r="A189" s="388"/>
      <c r="J189" s="648"/>
    </row>
    <row r="190" spans="1:10" x14ac:dyDescent="0.25">
      <c r="A190" s="388"/>
      <c r="J190" s="648"/>
    </row>
    <row r="191" spans="1:10" x14ac:dyDescent="0.25">
      <c r="A191" s="388"/>
      <c r="J191" s="648"/>
    </row>
    <row r="192" spans="1:10" x14ac:dyDescent="0.25">
      <c r="A192" s="388"/>
      <c r="J192" s="648"/>
    </row>
    <row r="193" spans="1:10" x14ac:dyDescent="0.25">
      <c r="A193" s="388"/>
      <c r="J193" s="648"/>
    </row>
    <row r="194" spans="1:10" x14ac:dyDescent="0.25">
      <c r="A194" s="388"/>
      <c r="J194" s="648"/>
    </row>
    <row r="195" spans="1:10" x14ac:dyDescent="0.25">
      <c r="A195" s="388"/>
      <c r="J195" s="648"/>
    </row>
    <row r="196" spans="1:10" x14ac:dyDescent="0.25">
      <c r="A196" s="388"/>
      <c r="J196" s="648"/>
    </row>
    <row r="197" spans="1:10" x14ac:dyDescent="0.25">
      <c r="A197" s="388"/>
      <c r="J197" s="648"/>
    </row>
    <row r="198" spans="1:10" x14ac:dyDescent="0.25">
      <c r="A198" s="388"/>
      <c r="J198" s="648"/>
    </row>
    <row r="199" spans="1:10" x14ac:dyDescent="0.25">
      <c r="A199" s="388"/>
      <c r="J199" s="648"/>
    </row>
    <row r="200" spans="1:10" x14ac:dyDescent="0.25">
      <c r="A200" s="388"/>
      <c r="J200" s="648"/>
    </row>
    <row r="201" spans="1:10" x14ac:dyDescent="0.25">
      <c r="A201" s="388"/>
      <c r="J201" s="648"/>
    </row>
    <row r="202" spans="1:10" x14ac:dyDescent="0.25">
      <c r="A202" s="388"/>
      <c r="J202" s="648"/>
    </row>
    <row r="203" spans="1:10" x14ac:dyDescent="0.25">
      <c r="A203" s="388"/>
      <c r="J203" s="648"/>
    </row>
    <row r="204" spans="1:10" x14ac:dyDescent="0.25">
      <c r="A204" s="388"/>
      <c r="J204" s="648"/>
    </row>
    <row r="205" spans="1:10" x14ac:dyDescent="0.25">
      <c r="A205" s="388"/>
      <c r="J205" s="648"/>
    </row>
    <row r="206" spans="1:10" x14ac:dyDescent="0.25">
      <c r="A206" s="388"/>
      <c r="J206" s="648"/>
    </row>
    <row r="207" spans="1:10" x14ac:dyDescent="0.25">
      <c r="A207" s="388"/>
      <c r="J207" s="648"/>
    </row>
    <row r="208" spans="1:10" x14ac:dyDescent="0.25">
      <c r="A208" s="388"/>
      <c r="J208" s="648"/>
    </row>
    <row r="209" spans="1:10" x14ac:dyDescent="0.25">
      <c r="A209" s="388"/>
      <c r="J209" s="648"/>
    </row>
    <row r="210" spans="1:10" x14ac:dyDescent="0.25">
      <c r="A210" s="388"/>
      <c r="J210" s="648"/>
    </row>
    <row r="211" spans="1:10" x14ac:dyDescent="0.25">
      <c r="A211" s="388"/>
      <c r="J211" s="648"/>
    </row>
    <row r="212" spans="1:10" x14ac:dyDescent="0.25">
      <c r="A212" s="388"/>
      <c r="J212" s="648"/>
    </row>
    <row r="213" spans="1:10" x14ac:dyDescent="0.25">
      <c r="A213" s="388"/>
      <c r="J213" s="648"/>
    </row>
    <row r="214" spans="1:10" x14ac:dyDescent="0.25">
      <c r="A214" s="388"/>
      <c r="J214" s="648"/>
    </row>
    <row r="215" spans="1:10" x14ac:dyDescent="0.25">
      <c r="A215" s="388"/>
      <c r="J215" s="648"/>
    </row>
    <row r="216" spans="1:10" x14ac:dyDescent="0.25">
      <c r="A216" s="388"/>
      <c r="J216" s="648"/>
    </row>
    <row r="217" spans="1:10" x14ac:dyDescent="0.25">
      <c r="A217" s="388"/>
      <c r="J217" s="648"/>
    </row>
    <row r="218" spans="1:10" x14ac:dyDescent="0.25">
      <c r="A218" s="388"/>
      <c r="J218" s="648"/>
    </row>
    <row r="219" spans="1:10" x14ac:dyDescent="0.25">
      <c r="A219" s="388"/>
      <c r="J219" s="648"/>
    </row>
    <row r="220" spans="1:10" x14ac:dyDescent="0.25">
      <c r="A220" s="388"/>
      <c r="J220" s="648"/>
    </row>
    <row r="221" spans="1:10" x14ac:dyDescent="0.25">
      <c r="A221" s="388"/>
      <c r="J221" s="648"/>
    </row>
    <row r="222" spans="1:10" x14ac:dyDescent="0.25">
      <c r="A222" s="388"/>
      <c r="J222" s="648"/>
    </row>
    <row r="223" spans="1:10" x14ac:dyDescent="0.25">
      <c r="A223" s="388"/>
      <c r="J223" s="648"/>
    </row>
    <row r="224" spans="1:10" x14ac:dyDescent="0.25">
      <c r="A224" s="388"/>
      <c r="J224" s="648"/>
    </row>
    <row r="225" spans="1:10" x14ac:dyDescent="0.25">
      <c r="A225" s="388"/>
      <c r="J225" s="648"/>
    </row>
    <row r="226" spans="1:10" x14ac:dyDescent="0.25">
      <c r="A226" s="388"/>
      <c r="F226" s="182"/>
      <c r="J226" s="648"/>
    </row>
    <row r="227" spans="1:10" x14ac:dyDescent="0.25">
      <c r="A227" s="388"/>
      <c r="F227" s="182"/>
      <c r="J227" s="648"/>
    </row>
    <row r="228" spans="1:10" x14ac:dyDescent="0.25">
      <c r="A228" s="388"/>
      <c r="F228" s="182"/>
      <c r="J228" s="648"/>
    </row>
    <row r="229" spans="1:10" x14ac:dyDescent="0.25">
      <c r="A229" s="388"/>
      <c r="F229" s="182"/>
      <c r="J229" s="648"/>
    </row>
    <row r="230" spans="1:10" x14ac:dyDescent="0.25">
      <c r="A230" s="388"/>
      <c r="F230" s="182"/>
      <c r="J230" s="648"/>
    </row>
    <row r="231" spans="1:10" x14ac:dyDescent="0.25">
      <c r="A231" s="388"/>
      <c r="F231" s="182"/>
      <c r="J231" s="648"/>
    </row>
    <row r="232" spans="1:10" x14ac:dyDescent="0.25">
      <c r="A232" s="388"/>
      <c r="F232" s="182"/>
      <c r="J232" s="648"/>
    </row>
    <row r="233" spans="1:10" x14ac:dyDescent="0.25">
      <c r="A233" s="388"/>
      <c r="F233" s="182"/>
      <c r="J233" s="648"/>
    </row>
    <row r="234" spans="1:10" x14ac:dyDescent="0.25">
      <c r="A234" s="388"/>
      <c r="F234" s="182"/>
      <c r="J234" s="648"/>
    </row>
    <row r="235" spans="1:10" x14ac:dyDescent="0.25">
      <c r="A235" s="388"/>
      <c r="F235" s="182"/>
      <c r="J235" s="648"/>
    </row>
    <row r="236" spans="1:10" x14ac:dyDescent="0.25">
      <c r="A236" s="388"/>
      <c r="F236" s="182"/>
      <c r="J236" s="648"/>
    </row>
    <row r="237" spans="1:10" x14ac:dyDescent="0.25">
      <c r="A237" s="388"/>
      <c r="F237" s="182"/>
      <c r="J237" s="648"/>
    </row>
    <row r="238" spans="1:10" x14ac:dyDescent="0.25">
      <c r="A238" s="388"/>
      <c r="F238" s="182"/>
      <c r="J238" s="648"/>
    </row>
    <row r="239" spans="1:10" x14ac:dyDescent="0.25">
      <c r="A239" s="388"/>
      <c r="F239" s="182"/>
      <c r="J239" s="648"/>
    </row>
    <row r="240" spans="1:10" x14ac:dyDescent="0.25">
      <c r="A240" s="388"/>
      <c r="F240" s="182"/>
      <c r="J240" s="648"/>
    </row>
    <row r="241" spans="1:10" x14ac:dyDescent="0.25">
      <c r="A241" s="388"/>
      <c r="F241" s="182"/>
      <c r="J241" s="648"/>
    </row>
    <row r="242" spans="1:10" x14ac:dyDescent="0.25">
      <c r="A242" s="388"/>
      <c r="F242" s="182"/>
      <c r="J242" s="648"/>
    </row>
    <row r="243" spans="1:10" x14ac:dyDescent="0.25">
      <c r="A243" s="388"/>
      <c r="F243" s="182"/>
      <c r="J243" s="648"/>
    </row>
    <row r="244" spans="1:10" x14ac:dyDescent="0.25">
      <c r="A244" s="388"/>
      <c r="F244" s="182"/>
      <c r="J244" s="648"/>
    </row>
    <row r="245" spans="1:10" x14ac:dyDescent="0.25">
      <c r="A245" s="388"/>
      <c r="F245" s="182"/>
      <c r="J245" s="648"/>
    </row>
    <row r="246" spans="1:10" x14ac:dyDescent="0.25">
      <c r="A246" s="388"/>
      <c r="F246" s="182"/>
      <c r="J246" s="648"/>
    </row>
    <row r="247" spans="1:10" x14ac:dyDescent="0.25">
      <c r="A247" s="388"/>
      <c r="F247" s="182"/>
      <c r="J247" s="648"/>
    </row>
    <row r="248" spans="1:10" x14ac:dyDescent="0.25">
      <c r="A248" s="388"/>
      <c r="F248" s="182"/>
      <c r="J248" s="648"/>
    </row>
    <row r="249" spans="1:10" x14ac:dyDescent="0.25">
      <c r="A249" s="388"/>
      <c r="F249" s="182"/>
      <c r="J249" s="648"/>
    </row>
    <row r="250" spans="1:10" x14ac:dyDescent="0.25">
      <c r="A250" s="388"/>
      <c r="F250" s="182"/>
      <c r="J250" s="648"/>
    </row>
    <row r="251" spans="1:10" x14ac:dyDescent="0.25">
      <c r="A251" s="388"/>
      <c r="F251" s="182"/>
      <c r="J251" s="648"/>
    </row>
    <row r="252" spans="1:10" x14ac:dyDescent="0.25">
      <c r="A252" s="388"/>
      <c r="F252" s="182"/>
      <c r="J252" s="648"/>
    </row>
    <row r="253" spans="1:10" x14ac:dyDescent="0.25">
      <c r="A253" s="388"/>
      <c r="F253" s="182"/>
      <c r="J253" s="648"/>
    </row>
    <row r="254" spans="1:10" x14ac:dyDescent="0.25">
      <c r="A254" s="388"/>
      <c r="F254" s="182"/>
      <c r="J254" s="648"/>
    </row>
    <row r="255" spans="1:10" x14ac:dyDescent="0.25">
      <c r="A255" s="388"/>
      <c r="F255" s="182"/>
      <c r="J255" s="648"/>
    </row>
    <row r="256" spans="1:10" x14ac:dyDescent="0.25">
      <c r="A256" s="388"/>
      <c r="F256" s="182"/>
      <c r="J256" s="648"/>
    </row>
    <row r="257" spans="1:10" x14ac:dyDescent="0.25">
      <c r="A257" s="388"/>
      <c r="F257" s="182"/>
      <c r="J257" s="648"/>
    </row>
    <row r="258" spans="1:10" x14ac:dyDescent="0.25">
      <c r="A258" s="388"/>
      <c r="F258" s="182"/>
      <c r="J258" s="648"/>
    </row>
    <row r="259" spans="1:10" x14ac:dyDescent="0.25">
      <c r="A259" s="388"/>
      <c r="F259" s="182"/>
      <c r="J259" s="648"/>
    </row>
    <row r="260" spans="1:10" x14ac:dyDescent="0.25">
      <c r="A260" s="388"/>
      <c r="F260" s="182"/>
      <c r="J260" s="648"/>
    </row>
    <row r="261" spans="1:10" x14ac:dyDescent="0.25">
      <c r="A261" s="388"/>
      <c r="F261" s="182"/>
      <c r="J261" s="648"/>
    </row>
    <row r="262" spans="1:10" x14ac:dyDescent="0.25">
      <c r="A262" s="388"/>
      <c r="F262" s="182"/>
      <c r="J262" s="648"/>
    </row>
    <row r="263" spans="1:10" x14ac:dyDescent="0.25">
      <c r="A263" s="388"/>
      <c r="F263" s="182"/>
      <c r="J263" s="648"/>
    </row>
    <row r="264" spans="1:10" x14ac:dyDescent="0.25">
      <c r="A264" s="388"/>
      <c r="F264" s="182"/>
      <c r="J264" s="648"/>
    </row>
    <row r="265" spans="1:10" x14ac:dyDescent="0.25">
      <c r="A265" s="388"/>
      <c r="F265" s="182"/>
      <c r="J265" s="648"/>
    </row>
    <row r="266" spans="1:10" x14ac:dyDescent="0.25">
      <c r="A266" s="388"/>
      <c r="F266" s="182"/>
      <c r="J266" s="648"/>
    </row>
    <row r="267" spans="1:10" x14ac:dyDescent="0.25">
      <c r="A267" s="388"/>
      <c r="F267" s="182"/>
      <c r="J267" s="648"/>
    </row>
    <row r="268" spans="1:10" x14ac:dyDescent="0.25">
      <c r="A268" s="388"/>
      <c r="F268" s="182"/>
      <c r="J268" s="648"/>
    </row>
    <row r="269" spans="1:10" x14ac:dyDescent="0.25">
      <c r="A269" s="388"/>
      <c r="F269" s="182"/>
      <c r="J269" s="648"/>
    </row>
    <row r="270" spans="1:10" x14ac:dyDescent="0.25">
      <c r="A270" s="388"/>
      <c r="F270" s="182"/>
      <c r="J270" s="648"/>
    </row>
    <row r="271" spans="1:10" x14ac:dyDescent="0.25">
      <c r="A271" s="388"/>
      <c r="F271" s="182"/>
      <c r="J271" s="648"/>
    </row>
    <row r="272" spans="1:10" x14ac:dyDescent="0.25">
      <c r="A272" s="388"/>
      <c r="F272" s="182"/>
      <c r="J272" s="648"/>
    </row>
    <row r="273" spans="1:10" x14ac:dyDescent="0.25">
      <c r="A273" s="388"/>
      <c r="F273" s="182"/>
      <c r="J273" s="648"/>
    </row>
    <row r="274" spans="1:10" x14ac:dyDescent="0.25">
      <c r="A274" s="388"/>
      <c r="F274" s="182"/>
      <c r="J274" s="648"/>
    </row>
    <row r="275" spans="1:10" x14ac:dyDescent="0.25">
      <c r="A275" s="388"/>
      <c r="F275" s="182"/>
      <c r="J275" s="648"/>
    </row>
    <row r="276" spans="1:10" x14ac:dyDescent="0.25">
      <c r="A276" s="388"/>
      <c r="F276" s="182"/>
      <c r="J276" s="648"/>
    </row>
    <row r="277" spans="1:10" x14ac:dyDescent="0.25">
      <c r="A277" s="388"/>
      <c r="F277" s="182"/>
      <c r="J277" s="648"/>
    </row>
    <row r="278" spans="1:10" x14ac:dyDescent="0.25">
      <c r="A278" s="388"/>
      <c r="F278" s="182"/>
      <c r="J278" s="648"/>
    </row>
    <row r="279" spans="1:10" x14ac:dyDescent="0.25">
      <c r="A279" s="388"/>
      <c r="F279" s="182"/>
      <c r="J279" s="648"/>
    </row>
    <row r="280" spans="1:10" x14ac:dyDescent="0.25">
      <c r="A280" s="388"/>
      <c r="F280" s="182"/>
      <c r="J280" s="648"/>
    </row>
    <row r="281" spans="1:10" x14ac:dyDescent="0.25">
      <c r="A281" s="388"/>
      <c r="F281" s="182"/>
      <c r="J281" s="648"/>
    </row>
    <row r="282" spans="1:10" x14ac:dyDescent="0.25">
      <c r="A282" s="388"/>
      <c r="F282" s="182"/>
      <c r="J282" s="648"/>
    </row>
    <row r="283" spans="1:10" x14ac:dyDescent="0.25">
      <c r="A283" s="388"/>
      <c r="F283" s="182"/>
      <c r="J283" s="648"/>
    </row>
    <row r="284" spans="1:10" x14ac:dyDescent="0.25">
      <c r="A284" s="388"/>
      <c r="F284" s="182"/>
      <c r="J284" s="648"/>
    </row>
    <row r="285" spans="1:10" x14ac:dyDescent="0.25">
      <c r="A285" s="388"/>
      <c r="F285" s="182"/>
      <c r="J285" s="648"/>
    </row>
    <row r="286" spans="1:10" x14ac:dyDescent="0.25">
      <c r="A286" s="388"/>
      <c r="F286" s="182"/>
      <c r="J286" s="648"/>
    </row>
    <row r="287" spans="1:10" x14ac:dyDescent="0.25">
      <c r="A287" s="388"/>
      <c r="F287" s="182"/>
      <c r="J287" s="648"/>
    </row>
    <row r="288" spans="1:10" x14ac:dyDescent="0.25">
      <c r="A288" s="388"/>
      <c r="F288" s="182"/>
      <c r="J288" s="648"/>
    </row>
    <row r="289" spans="1:10" x14ac:dyDescent="0.25">
      <c r="A289" s="388"/>
      <c r="F289" s="182"/>
      <c r="J289" s="648"/>
    </row>
    <row r="290" spans="1:10" x14ac:dyDescent="0.25">
      <c r="A290" s="388"/>
      <c r="F290" s="182"/>
      <c r="J290" s="648"/>
    </row>
    <row r="291" spans="1:10" x14ac:dyDescent="0.25">
      <c r="A291" s="388"/>
      <c r="F291" s="182"/>
      <c r="J291" s="648"/>
    </row>
    <row r="292" spans="1:10" x14ac:dyDescent="0.25">
      <c r="A292" s="388"/>
      <c r="F292" s="182"/>
      <c r="J292" s="648"/>
    </row>
    <row r="293" spans="1:10" x14ac:dyDescent="0.25">
      <c r="A293" s="388"/>
      <c r="F293" s="182"/>
      <c r="J293" s="648"/>
    </row>
    <row r="294" spans="1:10" x14ac:dyDescent="0.25">
      <c r="A294" s="388"/>
      <c r="F294" s="182"/>
      <c r="J294" s="648"/>
    </row>
    <row r="295" spans="1:10" x14ac:dyDescent="0.25">
      <c r="A295" s="388"/>
      <c r="F295" s="182"/>
      <c r="J295" s="648"/>
    </row>
    <row r="296" spans="1:10" x14ac:dyDescent="0.25">
      <c r="A296" s="388"/>
      <c r="F296" s="182"/>
      <c r="J296" s="648"/>
    </row>
    <row r="297" spans="1:10" x14ac:dyDescent="0.25">
      <c r="A297" s="388"/>
      <c r="F297" s="182"/>
      <c r="J297" s="648"/>
    </row>
    <row r="298" spans="1:10" x14ac:dyDescent="0.25">
      <c r="A298" s="388"/>
      <c r="F298" s="182"/>
      <c r="J298" s="648"/>
    </row>
    <row r="299" spans="1:10" x14ac:dyDescent="0.25">
      <c r="A299" s="388"/>
      <c r="F299" s="182"/>
      <c r="J299" s="648"/>
    </row>
    <row r="300" spans="1:10" x14ac:dyDescent="0.25">
      <c r="A300" s="388"/>
      <c r="F300" s="182"/>
      <c r="J300" s="648"/>
    </row>
    <row r="301" spans="1:10" x14ac:dyDescent="0.25">
      <c r="A301" s="388"/>
      <c r="F301" s="182"/>
      <c r="J301" s="648"/>
    </row>
    <row r="302" spans="1:10" x14ac:dyDescent="0.25">
      <c r="A302" s="388"/>
      <c r="F302" s="182"/>
      <c r="J302" s="648"/>
    </row>
    <row r="303" spans="1:10" x14ac:dyDescent="0.25">
      <c r="A303" s="388"/>
      <c r="F303" s="182"/>
      <c r="J303" s="648"/>
    </row>
    <row r="304" spans="1:10" x14ac:dyDescent="0.25">
      <c r="A304" s="388"/>
      <c r="F304" s="182"/>
      <c r="J304" s="648"/>
    </row>
    <row r="305" spans="1:10" x14ac:dyDescent="0.25">
      <c r="A305" s="388"/>
      <c r="F305" s="182"/>
      <c r="J305" s="648"/>
    </row>
    <row r="306" spans="1:10" x14ac:dyDescent="0.25">
      <c r="A306" s="388"/>
      <c r="F306" s="182"/>
      <c r="J306" s="648"/>
    </row>
    <row r="307" spans="1:10" x14ac:dyDescent="0.25">
      <c r="A307" s="388"/>
      <c r="F307" s="182"/>
      <c r="J307" s="648"/>
    </row>
    <row r="308" spans="1:10" x14ac:dyDescent="0.25">
      <c r="A308" s="388"/>
      <c r="F308" s="182"/>
      <c r="J308" s="648"/>
    </row>
    <row r="309" spans="1:10" x14ac:dyDescent="0.25">
      <c r="A309" s="388"/>
      <c r="F309" s="182"/>
      <c r="J309" s="648"/>
    </row>
    <row r="310" spans="1:10" x14ac:dyDescent="0.25">
      <c r="A310" s="388"/>
      <c r="F310" s="182"/>
      <c r="J310" s="648"/>
    </row>
    <row r="311" spans="1:10" x14ac:dyDescent="0.25">
      <c r="A311" s="388"/>
      <c r="F311" s="182"/>
      <c r="J311" s="648"/>
    </row>
    <row r="312" spans="1:10" x14ac:dyDescent="0.25">
      <c r="A312" s="388"/>
      <c r="F312" s="182"/>
      <c r="J312" s="648"/>
    </row>
    <row r="313" spans="1:10" x14ac:dyDescent="0.25">
      <c r="A313" s="388"/>
      <c r="F313" s="182"/>
      <c r="J313" s="648"/>
    </row>
    <row r="314" spans="1:10" x14ac:dyDescent="0.25">
      <c r="A314" s="388"/>
      <c r="F314" s="182"/>
      <c r="J314" s="648"/>
    </row>
    <row r="315" spans="1:10" x14ac:dyDescent="0.25">
      <c r="A315" s="388"/>
      <c r="F315" s="182"/>
      <c r="J315" s="648"/>
    </row>
    <row r="316" spans="1:10" x14ac:dyDescent="0.25">
      <c r="A316" s="388"/>
      <c r="F316" s="182"/>
      <c r="J316" s="648"/>
    </row>
    <row r="317" spans="1:10" x14ac:dyDescent="0.25">
      <c r="A317" s="388"/>
      <c r="F317" s="182"/>
      <c r="J317" s="648"/>
    </row>
    <row r="318" spans="1:10" x14ac:dyDescent="0.25">
      <c r="A318" s="388"/>
      <c r="F318" s="182"/>
      <c r="J318" s="648"/>
    </row>
    <row r="319" spans="1:10" x14ac:dyDescent="0.25">
      <c r="A319" s="388"/>
      <c r="F319" s="182"/>
      <c r="J319" s="648"/>
    </row>
    <row r="320" spans="1:10" x14ac:dyDescent="0.25">
      <c r="A320" s="388"/>
      <c r="F320" s="182"/>
      <c r="J320" s="648"/>
    </row>
    <row r="321" spans="1:10" x14ac:dyDescent="0.25">
      <c r="A321" s="388"/>
      <c r="F321" s="182"/>
      <c r="J321" s="648"/>
    </row>
    <row r="322" spans="1:10" x14ac:dyDescent="0.25">
      <c r="A322" s="388"/>
      <c r="F322" s="182"/>
      <c r="J322" s="648"/>
    </row>
    <row r="323" spans="1:10" x14ac:dyDescent="0.25">
      <c r="A323" s="388"/>
      <c r="F323" s="182"/>
      <c r="J323" s="648"/>
    </row>
    <row r="324" spans="1:10" x14ac:dyDescent="0.25">
      <c r="A324" s="388"/>
      <c r="F324" s="182"/>
      <c r="J324" s="648"/>
    </row>
    <row r="325" spans="1:10" x14ac:dyDescent="0.25">
      <c r="A325" s="388"/>
      <c r="F325" s="182"/>
      <c r="J325" s="648"/>
    </row>
    <row r="326" spans="1:10" x14ac:dyDescent="0.25">
      <c r="A326" s="388"/>
      <c r="F326" s="182"/>
      <c r="J326" s="648"/>
    </row>
    <row r="327" spans="1:10" x14ac:dyDescent="0.25">
      <c r="A327" s="388"/>
      <c r="F327" s="182"/>
      <c r="J327" s="648"/>
    </row>
    <row r="328" spans="1:10" x14ac:dyDescent="0.25">
      <c r="A328" s="388"/>
      <c r="F328" s="182"/>
      <c r="J328" s="648"/>
    </row>
    <row r="329" spans="1:10" x14ac:dyDescent="0.25">
      <c r="A329" s="388"/>
      <c r="F329" s="182"/>
      <c r="J329" s="648"/>
    </row>
    <row r="330" spans="1:10" x14ac:dyDescent="0.25">
      <c r="A330" s="388"/>
      <c r="F330" s="182"/>
      <c r="J330" s="648"/>
    </row>
    <row r="331" spans="1:10" x14ac:dyDescent="0.25">
      <c r="A331" s="388"/>
      <c r="F331" s="182"/>
      <c r="J331" s="648"/>
    </row>
    <row r="332" spans="1:10" x14ac:dyDescent="0.25">
      <c r="A332" s="388"/>
      <c r="F332" s="182"/>
      <c r="J332" s="648"/>
    </row>
    <row r="333" spans="1:10" x14ac:dyDescent="0.25">
      <c r="A333" s="388"/>
      <c r="F333" s="182"/>
      <c r="J333" s="648"/>
    </row>
    <row r="334" spans="1:10" x14ac:dyDescent="0.25">
      <c r="A334" s="388"/>
      <c r="F334" s="182"/>
      <c r="J334" s="648"/>
    </row>
    <row r="335" spans="1:10" x14ac:dyDescent="0.25">
      <c r="A335" s="388"/>
      <c r="F335" s="182"/>
      <c r="J335" s="648"/>
    </row>
    <row r="336" spans="1:10" x14ac:dyDescent="0.25">
      <c r="A336" s="388"/>
      <c r="F336" s="182"/>
      <c r="J336" s="648"/>
    </row>
    <row r="337" spans="1:10" x14ac:dyDescent="0.25">
      <c r="A337" s="388"/>
      <c r="F337" s="182"/>
      <c r="J337" s="648"/>
    </row>
    <row r="338" spans="1:10" x14ac:dyDescent="0.25">
      <c r="A338" s="388"/>
      <c r="F338" s="182"/>
      <c r="J338" s="648"/>
    </row>
    <row r="339" spans="1:10" x14ac:dyDescent="0.25">
      <c r="A339" s="388"/>
      <c r="F339" s="182"/>
      <c r="J339" s="648"/>
    </row>
    <row r="340" spans="1:10" x14ac:dyDescent="0.25">
      <c r="A340" s="388"/>
      <c r="F340" s="182"/>
      <c r="J340" s="648"/>
    </row>
    <row r="341" spans="1:10" x14ac:dyDescent="0.25">
      <c r="A341" s="388"/>
      <c r="F341" s="182"/>
      <c r="J341" s="648"/>
    </row>
    <row r="342" spans="1:10" x14ac:dyDescent="0.25">
      <c r="A342" s="388"/>
      <c r="F342" s="182"/>
      <c r="J342" s="648"/>
    </row>
    <row r="343" spans="1:10" x14ac:dyDescent="0.25">
      <c r="A343" s="388"/>
      <c r="F343" s="182"/>
      <c r="J343" s="648"/>
    </row>
    <row r="344" spans="1:10" x14ac:dyDescent="0.25">
      <c r="A344" s="388"/>
      <c r="F344" s="182"/>
      <c r="J344" s="648"/>
    </row>
    <row r="345" spans="1:10" x14ac:dyDescent="0.25">
      <c r="A345" s="388"/>
      <c r="F345" s="182"/>
      <c r="J345" s="648"/>
    </row>
    <row r="346" spans="1:10" x14ac:dyDescent="0.25">
      <c r="A346" s="388"/>
      <c r="F346" s="182"/>
      <c r="J346" s="648"/>
    </row>
    <row r="347" spans="1:10" x14ac:dyDescent="0.25">
      <c r="A347" s="388"/>
      <c r="F347" s="182"/>
      <c r="J347" s="648"/>
    </row>
    <row r="348" spans="1:10" x14ac:dyDescent="0.25">
      <c r="A348" s="388"/>
      <c r="F348" s="182"/>
      <c r="J348" s="648"/>
    </row>
    <row r="349" spans="1:10" x14ac:dyDescent="0.25">
      <c r="A349" s="388"/>
      <c r="F349" s="182"/>
      <c r="J349" s="648"/>
    </row>
    <row r="350" spans="1:10" x14ac:dyDescent="0.25">
      <c r="A350" s="388"/>
      <c r="F350" s="182"/>
      <c r="J350" s="648"/>
    </row>
    <row r="351" spans="1:10" x14ac:dyDescent="0.25">
      <c r="A351" s="388"/>
      <c r="F351" s="182"/>
      <c r="J351" s="648"/>
    </row>
    <row r="352" spans="1:10" x14ac:dyDescent="0.25">
      <c r="A352" s="388"/>
      <c r="F352" s="182"/>
      <c r="J352" s="648"/>
    </row>
    <row r="353" spans="1:10" x14ac:dyDescent="0.25">
      <c r="A353" s="388"/>
      <c r="F353" s="182"/>
      <c r="J353" s="648"/>
    </row>
    <row r="354" spans="1:10" x14ac:dyDescent="0.25">
      <c r="A354" s="388"/>
      <c r="F354" s="182"/>
      <c r="J354" s="648"/>
    </row>
    <row r="355" spans="1:10" x14ac:dyDescent="0.25">
      <c r="A355" s="388"/>
      <c r="F355" s="182"/>
      <c r="J355" s="648"/>
    </row>
    <row r="356" spans="1:10" x14ac:dyDescent="0.25">
      <c r="A356" s="388"/>
      <c r="F356" s="182"/>
      <c r="J356" s="648"/>
    </row>
    <row r="357" spans="1:10" x14ac:dyDescent="0.25">
      <c r="A357" s="388"/>
      <c r="F357" s="182"/>
      <c r="J357" s="648"/>
    </row>
    <row r="358" spans="1:10" x14ac:dyDescent="0.25">
      <c r="A358" s="388"/>
      <c r="F358" s="182"/>
      <c r="J358" s="648"/>
    </row>
    <row r="359" spans="1:10" x14ac:dyDescent="0.25">
      <c r="A359" s="388"/>
      <c r="F359" s="182"/>
      <c r="J359" s="648"/>
    </row>
    <row r="360" spans="1:10" x14ac:dyDescent="0.25">
      <c r="A360" s="388"/>
      <c r="F360" s="182"/>
      <c r="J360" s="648"/>
    </row>
    <row r="361" spans="1:10" x14ac:dyDescent="0.25">
      <c r="A361" s="388"/>
      <c r="F361" s="182"/>
      <c r="J361" s="648"/>
    </row>
    <row r="362" spans="1:10" x14ac:dyDescent="0.25">
      <c r="A362" s="388"/>
      <c r="F362" s="182"/>
      <c r="J362" s="648"/>
    </row>
    <row r="363" spans="1:10" x14ac:dyDescent="0.25">
      <c r="A363" s="388"/>
      <c r="F363" s="182"/>
      <c r="J363" s="648"/>
    </row>
    <row r="364" spans="1:10" x14ac:dyDescent="0.25">
      <c r="A364" s="388"/>
      <c r="F364" s="182"/>
      <c r="J364" s="648"/>
    </row>
    <row r="365" spans="1:10" x14ac:dyDescent="0.25">
      <c r="A365" s="388"/>
      <c r="F365" s="182"/>
      <c r="J365" s="648"/>
    </row>
    <row r="366" spans="1:10" x14ac:dyDescent="0.25">
      <c r="A366" s="388"/>
      <c r="F366" s="182"/>
      <c r="J366" s="648"/>
    </row>
    <row r="367" spans="1:10" x14ac:dyDescent="0.25">
      <c r="A367" s="388"/>
      <c r="F367" s="182"/>
      <c r="J367" s="648"/>
    </row>
    <row r="368" spans="1:10" x14ac:dyDescent="0.25">
      <c r="A368" s="388"/>
      <c r="F368" s="182"/>
      <c r="J368" s="648"/>
    </row>
    <row r="369" spans="1:10" x14ac:dyDescent="0.25">
      <c r="A369" s="388"/>
      <c r="F369" s="182"/>
      <c r="J369" s="648"/>
    </row>
    <row r="370" spans="1:10" x14ac:dyDescent="0.25">
      <c r="A370" s="388"/>
      <c r="F370" s="182"/>
      <c r="J370" s="648"/>
    </row>
    <row r="371" spans="1:10" x14ac:dyDescent="0.25">
      <c r="A371" s="388"/>
      <c r="F371" s="182"/>
      <c r="J371" s="648"/>
    </row>
    <row r="372" spans="1:10" x14ac:dyDescent="0.25">
      <c r="A372" s="388"/>
      <c r="F372" s="182"/>
      <c r="J372" s="648"/>
    </row>
    <row r="373" spans="1:10" x14ac:dyDescent="0.25">
      <c r="A373" s="388"/>
      <c r="F373" s="182"/>
      <c r="J373" s="648"/>
    </row>
    <row r="374" spans="1:10" x14ac:dyDescent="0.25">
      <c r="A374" s="388"/>
      <c r="F374" s="182"/>
      <c r="J374" s="648"/>
    </row>
    <row r="375" spans="1:10" x14ac:dyDescent="0.25">
      <c r="A375" s="388"/>
      <c r="F375" s="182"/>
      <c r="J375" s="648"/>
    </row>
    <row r="376" spans="1:10" x14ac:dyDescent="0.25">
      <c r="A376" s="388"/>
      <c r="F376" s="182"/>
      <c r="J376" s="648"/>
    </row>
    <row r="377" spans="1:10" x14ac:dyDescent="0.25">
      <c r="A377" s="388"/>
      <c r="F377" s="182"/>
      <c r="J377" s="648"/>
    </row>
    <row r="378" spans="1:10" x14ac:dyDescent="0.25">
      <c r="A378" s="388"/>
      <c r="F378" s="182"/>
      <c r="J378" s="648"/>
    </row>
    <row r="379" spans="1:10" x14ac:dyDescent="0.25">
      <c r="A379" s="388"/>
      <c r="F379" s="182"/>
      <c r="J379" s="648"/>
    </row>
    <row r="380" spans="1:10" x14ac:dyDescent="0.25">
      <c r="A380" s="388"/>
      <c r="F380" s="182"/>
      <c r="J380" s="648"/>
    </row>
    <row r="381" spans="1:10" x14ac:dyDescent="0.25">
      <c r="A381" s="388"/>
      <c r="F381" s="182"/>
      <c r="J381" s="648"/>
    </row>
    <row r="382" spans="1:10" x14ac:dyDescent="0.25">
      <c r="A382" s="388"/>
      <c r="F382" s="182"/>
      <c r="J382" s="648"/>
    </row>
    <row r="383" spans="1:10" x14ac:dyDescent="0.25">
      <c r="A383" s="388"/>
      <c r="F383" s="182"/>
      <c r="J383" s="648"/>
    </row>
    <row r="384" spans="1:10" x14ac:dyDescent="0.25">
      <c r="A384" s="388"/>
      <c r="F384" s="182"/>
      <c r="J384" s="648"/>
    </row>
    <row r="385" spans="1:10" x14ac:dyDescent="0.25">
      <c r="A385" s="388"/>
      <c r="F385" s="182"/>
      <c r="J385" s="648"/>
    </row>
    <row r="386" spans="1:10" x14ac:dyDescent="0.25">
      <c r="A386" s="388"/>
      <c r="F386" s="182"/>
      <c r="J386" s="648"/>
    </row>
    <row r="387" spans="1:10" x14ac:dyDescent="0.25">
      <c r="A387" s="388"/>
      <c r="F387" s="182"/>
      <c r="J387" s="648"/>
    </row>
    <row r="388" spans="1:10" x14ac:dyDescent="0.25">
      <c r="A388" s="388"/>
      <c r="F388" s="182"/>
      <c r="J388" s="648"/>
    </row>
    <row r="389" spans="1:10" x14ac:dyDescent="0.25">
      <c r="A389" s="388"/>
      <c r="F389" s="182"/>
      <c r="J389" s="648"/>
    </row>
    <row r="390" spans="1:10" x14ac:dyDescent="0.25">
      <c r="A390" s="388"/>
      <c r="F390" s="182"/>
      <c r="J390" s="648"/>
    </row>
    <row r="391" spans="1:10" x14ac:dyDescent="0.25">
      <c r="A391" s="388"/>
      <c r="F391" s="182"/>
      <c r="J391" s="648"/>
    </row>
    <row r="392" spans="1:10" x14ac:dyDescent="0.25">
      <c r="A392" s="388"/>
      <c r="F392" s="182"/>
      <c r="J392" s="648"/>
    </row>
    <row r="393" spans="1:10" x14ac:dyDescent="0.25">
      <c r="A393" s="388"/>
      <c r="F393" s="182"/>
      <c r="J393" s="648"/>
    </row>
    <row r="394" spans="1:10" x14ac:dyDescent="0.25">
      <c r="A394" s="388"/>
      <c r="F394" s="182"/>
      <c r="J394" s="648"/>
    </row>
    <row r="395" spans="1:10" x14ac:dyDescent="0.25">
      <c r="A395" s="388"/>
      <c r="F395" s="182"/>
      <c r="J395" s="648"/>
    </row>
    <row r="396" spans="1:10" x14ac:dyDescent="0.25">
      <c r="A396" s="388"/>
      <c r="F396" s="182"/>
      <c r="J396" s="648"/>
    </row>
    <row r="397" spans="1:10" x14ac:dyDescent="0.25">
      <c r="A397" s="388"/>
      <c r="F397" s="182"/>
      <c r="J397" s="648"/>
    </row>
    <row r="398" spans="1:10" x14ac:dyDescent="0.25">
      <c r="A398" s="388"/>
      <c r="F398" s="182"/>
      <c r="J398" s="648"/>
    </row>
    <row r="399" spans="1:10" x14ac:dyDescent="0.25">
      <c r="A399" s="388"/>
      <c r="F399" s="182"/>
      <c r="J399" s="648"/>
    </row>
    <row r="400" spans="1:10" x14ac:dyDescent="0.25">
      <c r="A400" s="388"/>
      <c r="F400" s="182"/>
      <c r="J400" s="648"/>
    </row>
    <row r="401" spans="1:10" x14ac:dyDescent="0.25">
      <c r="A401" s="388"/>
      <c r="F401" s="182"/>
      <c r="J401" s="648"/>
    </row>
    <row r="402" spans="1:10" x14ac:dyDescent="0.25">
      <c r="A402" s="388"/>
      <c r="F402" s="182"/>
      <c r="J402" s="648"/>
    </row>
    <row r="403" spans="1:10" x14ac:dyDescent="0.25">
      <c r="A403" s="388"/>
      <c r="F403" s="182"/>
      <c r="J403" s="648"/>
    </row>
    <row r="404" spans="1:10" x14ac:dyDescent="0.25">
      <c r="A404" s="388"/>
      <c r="F404" s="182"/>
      <c r="J404" s="648"/>
    </row>
    <row r="405" spans="1:10" x14ac:dyDescent="0.25">
      <c r="A405" s="388"/>
      <c r="F405" s="182"/>
      <c r="J405" s="648"/>
    </row>
    <row r="406" spans="1:10" x14ac:dyDescent="0.25">
      <c r="A406" s="388"/>
      <c r="F406" s="182"/>
      <c r="J406" s="648"/>
    </row>
    <row r="407" spans="1:10" x14ac:dyDescent="0.25">
      <c r="A407" s="388"/>
      <c r="F407" s="182"/>
      <c r="J407" s="648"/>
    </row>
    <row r="408" spans="1:10" x14ac:dyDescent="0.25">
      <c r="A408" s="388"/>
      <c r="F408" s="182"/>
      <c r="J408" s="648"/>
    </row>
    <row r="409" spans="1:10" x14ac:dyDescent="0.25">
      <c r="A409" s="388"/>
      <c r="F409" s="182"/>
      <c r="J409" s="648"/>
    </row>
    <row r="410" spans="1:10" x14ac:dyDescent="0.25">
      <c r="A410" s="388"/>
      <c r="F410" s="182"/>
      <c r="J410" s="648"/>
    </row>
    <row r="411" spans="1:10" x14ac:dyDescent="0.25">
      <c r="A411" s="388"/>
      <c r="F411" s="182"/>
      <c r="J411" s="648"/>
    </row>
    <row r="412" spans="1:10" x14ac:dyDescent="0.25">
      <c r="A412" s="388"/>
      <c r="F412" s="182"/>
      <c r="J412" s="648"/>
    </row>
    <row r="413" spans="1:10" x14ac:dyDescent="0.25">
      <c r="A413" s="388"/>
      <c r="F413" s="182"/>
      <c r="J413" s="648"/>
    </row>
    <row r="414" spans="1:10" x14ac:dyDescent="0.25">
      <c r="A414" s="388"/>
      <c r="F414" s="182"/>
      <c r="J414" s="648"/>
    </row>
    <row r="415" spans="1:10" x14ac:dyDescent="0.25">
      <c r="A415" s="388"/>
      <c r="F415" s="182"/>
      <c r="J415" s="648"/>
    </row>
    <row r="416" spans="1:10" x14ac:dyDescent="0.25">
      <c r="A416" s="388"/>
      <c r="F416" s="182"/>
      <c r="J416" s="648"/>
    </row>
    <row r="417" spans="1:10" x14ac:dyDescent="0.25">
      <c r="A417" s="388"/>
      <c r="F417" s="182"/>
      <c r="J417" s="648"/>
    </row>
    <row r="418" spans="1:10" x14ac:dyDescent="0.25">
      <c r="A418" s="388"/>
      <c r="F418" s="182"/>
      <c r="J418" s="648"/>
    </row>
    <row r="419" spans="1:10" x14ac:dyDescent="0.25">
      <c r="A419" s="388"/>
      <c r="F419" s="182"/>
      <c r="J419" s="648"/>
    </row>
    <row r="420" spans="1:10" x14ac:dyDescent="0.25">
      <c r="A420" s="388"/>
      <c r="F420" s="182"/>
      <c r="J420" s="648"/>
    </row>
    <row r="421" spans="1:10" x14ac:dyDescent="0.25">
      <c r="A421" s="388"/>
      <c r="F421" s="182"/>
      <c r="J421" s="648"/>
    </row>
    <row r="422" spans="1:10" x14ac:dyDescent="0.25">
      <c r="A422" s="388"/>
      <c r="F422" s="182"/>
      <c r="J422" s="648"/>
    </row>
    <row r="423" spans="1:10" x14ac:dyDescent="0.25">
      <c r="A423" s="388"/>
      <c r="F423" s="182"/>
      <c r="J423" s="648"/>
    </row>
    <row r="424" spans="1:10" x14ac:dyDescent="0.25">
      <c r="A424" s="388"/>
      <c r="F424" s="182"/>
      <c r="J424" s="648"/>
    </row>
    <row r="425" spans="1:10" x14ac:dyDescent="0.25">
      <c r="A425" s="388"/>
      <c r="F425" s="182"/>
      <c r="J425" s="648"/>
    </row>
    <row r="426" spans="1:10" x14ac:dyDescent="0.25">
      <c r="A426" s="388"/>
      <c r="F426" s="182"/>
      <c r="J426" s="648"/>
    </row>
    <row r="427" spans="1:10" x14ac:dyDescent="0.25">
      <c r="A427" s="388"/>
      <c r="F427" s="182"/>
      <c r="J427" s="648"/>
    </row>
    <row r="428" spans="1:10" x14ac:dyDescent="0.25">
      <c r="A428" s="388"/>
      <c r="F428" s="182"/>
      <c r="J428" s="648"/>
    </row>
    <row r="429" spans="1:10" x14ac:dyDescent="0.25">
      <c r="A429" s="388"/>
      <c r="F429" s="182"/>
      <c r="J429" s="648"/>
    </row>
    <row r="430" spans="1:10" x14ac:dyDescent="0.25">
      <c r="A430" s="388"/>
      <c r="F430" s="182"/>
      <c r="J430" s="648"/>
    </row>
    <row r="431" spans="1:10" x14ac:dyDescent="0.25">
      <c r="A431" s="388"/>
      <c r="F431" s="182"/>
      <c r="J431" s="648"/>
    </row>
    <row r="432" spans="1:10" x14ac:dyDescent="0.25">
      <c r="A432" s="388"/>
      <c r="F432" s="182"/>
      <c r="J432" s="648"/>
    </row>
    <row r="433" spans="1:10" x14ac:dyDescent="0.25">
      <c r="A433" s="388"/>
      <c r="F433" s="182"/>
      <c r="J433" s="648"/>
    </row>
    <row r="434" spans="1:10" x14ac:dyDescent="0.25">
      <c r="A434" s="388"/>
      <c r="F434" s="182"/>
      <c r="J434" s="648"/>
    </row>
    <row r="435" spans="1:10" x14ac:dyDescent="0.25">
      <c r="A435" s="388"/>
      <c r="F435" s="182"/>
      <c r="J435" s="648"/>
    </row>
    <row r="436" spans="1:10" x14ac:dyDescent="0.25">
      <c r="A436" s="388"/>
      <c r="F436" s="182"/>
      <c r="J436" s="648"/>
    </row>
    <row r="437" spans="1:10" x14ac:dyDescent="0.25">
      <c r="A437" s="388"/>
      <c r="F437" s="182"/>
      <c r="J437" s="648"/>
    </row>
    <row r="438" spans="1:10" x14ac:dyDescent="0.25">
      <c r="A438" s="388"/>
      <c r="F438" s="182"/>
      <c r="J438" s="648"/>
    </row>
    <row r="439" spans="1:10" x14ac:dyDescent="0.25">
      <c r="A439" s="388"/>
      <c r="F439" s="182"/>
      <c r="J439" s="648"/>
    </row>
    <row r="440" spans="1:10" x14ac:dyDescent="0.25">
      <c r="A440" s="388"/>
      <c r="F440" s="182"/>
      <c r="J440" s="648"/>
    </row>
    <row r="441" spans="1:10" x14ac:dyDescent="0.25">
      <c r="A441" s="388"/>
      <c r="F441" s="182"/>
      <c r="J441" s="648"/>
    </row>
    <row r="442" spans="1:10" x14ac:dyDescent="0.25">
      <c r="A442" s="388"/>
      <c r="F442" s="182"/>
      <c r="J442" s="648"/>
    </row>
    <row r="443" spans="1:10" x14ac:dyDescent="0.25">
      <c r="A443" s="388"/>
      <c r="F443" s="182"/>
      <c r="J443" s="648"/>
    </row>
    <row r="444" spans="1:10" x14ac:dyDescent="0.25">
      <c r="A444" s="388"/>
      <c r="F444" s="182"/>
      <c r="J444" s="648"/>
    </row>
    <row r="445" spans="1:10" x14ac:dyDescent="0.25">
      <c r="A445" s="388"/>
      <c r="F445" s="182"/>
      <c r="J445" s="648"/>
    </row>
    <row r="446" spans="1:10" x14ac:dyDescent="0.25">
      <c r="A446" s="388"/>
      <c r="F446" s="182"/>
      <c r="J446" s="648"/>
    </row>
    <row r="447" spans="1:10" x14ac:dyDescent="0.25">
      <c r="A447" s="388"/>
      <c r="F447" s="182"/>
      <c r="J447" s="648"/>
    </row>
    <row r="448" spans="1:10" x14ac:dyDescent="0.25">
      <c r="A448" s="388"/>
      <c r="F448" s="182"/>
      <c r="J448" s="648"/>
    </row>
    <row r="449" spans="1:10" x14ac:dyDescent="0.25">
      <c r="A449" s="388"/>
      <c r="F449" s="182"/>
      <c r="J449" s="648"/>
    </row>
    <row r="450" spans="1:10" x14ac:dyDescent="0.25">
      <c r="A450" s="388"/>
      <c r="F450" s="182"/>
      <c r="J450" s="648"/>
    </row>
    <row r="451" spans="1:10" x14ac:dyDescent="0.25">
      <c r="A451" s="388"/>
      <c r="F451" s="182"/>
      <c r="J451" s="648"/>
    </row>
    <row r="452" spans="1:10" x14ac:dyDescent="0.25">
      <c r="A452" s="388"/>
      <c r="F452" s="182"/>
      <c r="J452" s="648"/>
    </row>
    <row r="453" spans="1:10" x14ac:dyDescent="0.25">
      <c r="A453" s="388"/>
      <c r="F453" s="182"/>
      <c r="J453" s="648"/>
    </row>
  </sheetData>
  <mergeCells count="3">
    <mergeCell ref="A1:Q1"/>
    <mergeCell ref="A2:Q2"/>
    <mergeCell ref="E57:J57"/>
  </mergeCells>
  <conditionalFormatting sqref="L3:Q3">
    <cfRule type="cellIs" dxfId="41" priority="1" operator="equal">
      <formula>"sous surveillance"</formula>
    </cfRule>
  </conditionalFormatting>
  <dataValidations count="6">
    <dataValidation type="list" allowBlank="1" showInputMessage="1" sqref="O42">
      <formula1>INDIRECT(C42)</formula1>
    </dataValidation>
    <dataValidation type="list" allowBlank="1" showInputMessage="1" showErrorMessage="1" sqref="L31 L35 L33 L50:L53 L55 L37:L47 L26 L20:L21 L13 L7:L9">
      <formula1>"H2O mQ, DMSO, eq NaOH, EtOH, eq HCl,Citrate buffer, directly in ACSF"</formula1>
    </dataValidation>
    <dataValidation type="list" allowBlank="1" showInputMessage="1" showErrorMessage="1" sqref="L36 L27:L30 L32 L34 L10:L12">
      <formula1>"Medium NBA, H2O mQ, DMSO, eq NaOH, EtOH, eq HCl,Citrate buffer, directly in ACSF"</formula1>
    </dataValidation>
    <dataValidation type="list" allowBlank="1" showInputMessage="1" showErrorMessage="1" sqref="L14:L19 L23:L25">
      <formula1>"H2O mQ, DMSO, eq NaOH, EtOH, eq HCl,Citrate buffer, directly in ACSF, O2 sucrose"</formula1>
    </dataValidation>
    <dataValidation errorStyle="warning" allowBlank="1" showInputMessage="1" showErrorMessage="1" sqref="L3:P3"/>
    <dataValidation type="list" allowBlank="1" showInputMessage="1" showErrorMessage="1" sqref="L22">
      <formula1>"H2O mQ, DMSO, eq NaOH, EtOH, eq HCl,Citrate buffer, directly in ACSF,PBS sterile"</formula1>
    </dataValidation>
  </dataValidations>
  <pageMargins left="0.7" right="0.7" top="0.75" bottom="0.75" header="0.3" footer="0.3"/>
  <pageSetup paperSize="9" scale="2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  <pageSetUpPr fitToPage="1"/>
  </sheetPr>
  <dimension ref="A1:R452"/>
  <sheetViews>
    <sheetView zoomScale="70" zoomScaleNormal="70" workbookViewId="0">
      <pane ySplit="3" topLeftCell="A4" activePane="bottomLeft" state="frozen"/>
      <selection pane="bottomLeft" activeCell="G38" sqref="G38"/>
    </sheetView>
  </sheetViews>
  <sheetFormatPr baseColWidth="10" defaultColWidth="11.42578125" defaultRowHeight="15" x14ac:dyDescent="0.25"/>
  <cols>
    <col min="1" max="1" width="19" style="223" customWidth="1"/>
    <col min="2" max="2" width="30.85546875" style="388" customWidth="1"/>
    <col min="3" max="3" width="13.5703125" style="388" customWidth="1"/>
    <col min="4" max="4" width="21" style="388" customWidth="1"/>
    <col min="5" max="5" width="36" style="388" bestFit="1" customWidth="1"/>
    <col min="6" max="6" width="12.140625" style="224" bestFit="1" customWidth="1"/>
    <col min="7" max="7" width="11.85546875" style="388" customWidth="1"/>
    <col min="8" max="8" width="16.7109375" style="388" customWidth="1"/>
    <col min="9" max="9" width="20.85546875" style="388" customWidth="1"/>
    <col min="10" max="10" width="14.7109375" style="683" customWidth="1"/>
    <col min="11" max="11" width="10.5703125" style="683" customWidth="1"/>
    <col min="12" max="12" width="16.140625" style="388" customWidth="1"/>
    <col min="13" max="13" width="17.7109375" style="388" customWidth="1"/>
    <col min="14" max="14" width="17.7109375" style="533" customWidth="1"/>
    <col min="15" max="15" width="11.42578125" style="388"/>
    <col min="16" max="16" width="28.140625" style="388" customWidth="1"/>
    <col min="17" max="17" width="17.42578125" style="388" customWidth="1"/>
    <col min="18" max="16384" width="11.42578125" style="388"/>
  </cols>
  <sheetData>
    <row r="1" spans="1:17" ht="50.25" customHeight="1" x14ac:dyDescent="0.25">
      <c r="A1" s="772" t="s">
        <v>1340</v>
      </c>
      <c r="B1" s="772"/>
      <c r="C1" s="772"/>
      <c r="D1" s="773"/>
      <c r="E1" s="773"/>
      <c r="F1" s="773"/>
      <c r="G1" s="773"/>
      <c r="H1" s="773"/>
      <c r="I1" s="773"/>
      <c r="J1" s="773"/>
      <c r="K1" s="773"/>
      <c r="L1" s="773"/>
      <c r="M1" s="773"/>
      <c r="N1" s="773"/>
      <c r="O1" s="773"/>
      <c r="P1" s="773"/>
      <c r="Q1" s="773"/>
    </row>
    <row r="2" spans="1:17" ht="24" customHeight="1" x14ac:dyDescent="0.25">
      <c r="A2" s="774">
        <v>43313</v>
      </c>
      <c r="B2" s="775"/>
      <c r="C2" s="775"/>
      <c r="D2" s="776"/>
      <c r="E2" s="776"/>
      <c r="F2" s="776"/>
      <c r="G2" s="776"/>
      <c r="H2" s="776"/>
      <c r="I2" s="776"/>
      <c r="J2" s="776"/>
      <c r="K2" s="776"/>
      <c r="L2" s="776"/>
      <c r="M2" s="776"/>
      <c r="N2" s="776"/>
      <c r="O2" s="776"/>
      <c r="P2" s="776"/>
      <c r="Q2" s="776"/>
    </row>
    <row r="3" spans="1:17" ht="30" customHeight="1" x14ac:dyDescent="0.25">
      <c r="A3" s="209" t="s">
        <v>4</v>
      </c>
      <c r="B3" s="88" t="s">
        <v>10</v>
      </c>
      <c r="C3" s="210" t="s">
        <v>1232</v>
      </c>
      <c r="D3" s="196" t="s">
        <v>2791</v>
      </c>
      <c r="E3" s="538" t="s">
        <v>2792</v>
      </c>
      <c r="F3" s="539" t="s">
        <v>2793</v>
      </c>
      <c r="G3" s="447" t="s">
        <v>23</v>
      </c>
      <c r="H3" s="447" t="s">
        <v>2817</v>
      </c>
      <c r="I3" s="540" t="s">
        <v>2818</v>
      </c>
      <c r="J3" s="540" t="s">
        <v>2819</v>
      </c>
      <c r="K3" s="541" t="s">
        <v>1344</v>
      </c>
      <c r="L3" s="447" t="s">
        <v>37</v>
      </c>
      <c r="M3" s="447" t="s">
        <v>1237</v>
      </c>
      <c r="N3" s="447" t="s">
        <v>2794</v>
      </c>
      <c r="O3" s="447" t="s">
        <v>1239</v>
      </c>
      <c r="P3" s="447" t="s">
        <v>1240</v>
      </c>
      <c r="Q3" s="447" t="s">
        <v>1241</v>
      </c>
    </row>
    <row r="4" spans="1:17" ht="30" customHeight="1" x14ac:dyDescent="0.25">
      <c r="A4" s="701">
        <v>43312</v>
      </c>
      <c r="B4" s="702" t="s">
        <v>3350</v>
      </c>
      <c r="C4" s="703" t="s">
        <v>170</v>
      </c>
      <c r="D4" s="612" t="s">
        <v>701</v>
      </c>
      <c r="E4" s="612" t="s">
        <v>1582</v>
      </c>
      <c r="F4" s="653">
        <v>43312</v>
      </c>
      <c r="G4" s="615">
        <v>319.27999999999997</v>
      </c>
      <c r="H4" s="615">
        <v>1</v>
      </c>
      <c r="I4" s="616">
        <v>1</v>
      </c>
      <c r="J4" s="617">
        <f t="shared" ref="J4" si="0">(I4*K4/100)/(H4*G4)*1000</f>
        <v>3.1007266349285896</v>
      </c>
      <c r="K4" s="616">
        <v>99</v>
      </c>
      <c r="L4" s="619" t="s">
        <v>1724</v>
      </c>
      <c r="M4" s="619" t="s">
        <v>1463</v>
      </c>
      <c r="N4" s="620" t="s">
        <v>1493</v>
      </c>
      <c r="O4" s="619" t="s">
        <v>2648</v>
      </c>
      <c r="P4" s="704"/>
      <c r="Q4" s="705" t="s">
        <v>3450</v>
      </c>
    </row>
    <row r="5" spans="1:17" ht="30" customHeight="1" x14ac:dyDescent="0.25">
      <c r="A5" s="219">
        <v>43318</v>
      </c>
      <c r="B5" s="88" t="s">
        <v>3261</v>
      </c>
      <c r="C5" s="220" t="s">
        <v>40</v>
      </c>
      <c r="D5" s="535" t="s">
        <v>701</v>
      </c>
      <c r="E5" s="552" t="s">
        <v>2596</v>
      </c>
      <c r="F5" s="553">
        <v>43269</v>
      </c>
      <c r="G5" s="554">
        <v>386.88</v>
      </c>
      <c r="H5" s="554">
        <v>10</v>
      </c>
      <c r="I5" s="555">
        <v>2.92</v>
      </c>
      <c r="J5" s="674">
        <f t="shared" ref="J5:J68" si="1">(I5*K5/100)/(H5*G5)*1000</f>
        <v>0.75475599669148052</v>
      </c>
      <c r="K5" s="555">
        <v>100</v>
      </c>
      <c r="L5" s="556" t="s">
        <v>49</v>
      </c>
      <c r="M5" s="556" t="s">
        <v>1463</v>
      </c>
      <c r="N5" s="557" t="s">
        <v>2974</v>
      </c>
      <c r="O5" s="556" t="s">
        <v>2648</v>
      </c>
      <c r="P5" s="558"/>
      <c r="Q5" s="707" t="s">
        <v>3492</v>
      </c>
    </row>
    <row r="6" spans="1:17" ht="25.5" x14ac:dyDescent="0.25">
      <c r="A6" s="213">
        <v>43319</v>
      </c>
      <c r="B6" s="408" t="s">
        <v>3351</v>
      </c>
      <c r="C6" s="698" t="s">
        <v>170</v>
      </c>
      <c r="D6" s="633" t="s">
        <v>230</v>
      </c>
      <c r="E6" s="633" t="s">
        <v>3278</v>
      </c>
      <c r="F6" s="624">
        <v>43291</v>
      </c>
      <c r="G6" s="625">
        <v>430.59</v>
      </c>
      <c r="H6" s="625">
        <v>10</v>
      </c>
      <c r="I6" s="555">
        <v>2.02</v>
      </c>
      <c r="J6" s="674">
        <f t="shared" si="1"/>
        <v>0.46912376042174697</v>
      </c>
      <c r="K6" s="627">
        <v>100</v>
      </c>
      <c r="L6" s="628" t="s">
        <v>212</v>
      </c>
      <c r="M6" s="628" t="s">
        <v>2873</v>
      </c>
      <c r="N6" s="695" t="s">
        <v>3274</v>
      </c>
      <c r="O6" s="640" t="s">
        <v>2648</v>
      </c>
      <c r="P6" s="558"/>
      <c r="Q6" s="707" t="s">
        <v>3492</v>
      </c>
    </row>
    <row r="7" spans="1:17" ht="25.5" x14ac:dyDescent="0.25">
      <c r="A7" s="221">
        <v>43320</v>
      </c>
      <c r="B7" s="88" t="s">
        <v>2976</v>
      </c>
      <c r="C7" s="220" t="s">
        <v>40</v>
      </c>
      <c r="D7" s="536" t="s">
        <v>701</v>
      </c>
      <c r="E7" s="124" t="s">
        <v>2758</v>
      </c>
      <c r="F7" s="553">
        <v>43165</v>
      </c>
      <c r="G7" s="126">
        <v>528.59</v>
      </c>
      <c r="H7" s="554">
        <v>10</v>
      </c>
      <c r="I7" s="555">
        <v>3.08</v>
      </c>
      <c r="J7" s="674">
        <f t="shared" si="1"/>
        <v>0.58268223008380782</v>
      </c>
      <c r="K7" s="555">
        <v>100</v>
      </c>
      <c r="L7" s="556" t="s">
        <v>49</v>
      </c>
      <c r="M7" s="556" t="s">
        <v>1463</v>
      </c>
      <c r="N7" s="557" t="s">
        <v>3461</v>
      </c>
      <c r="O7" s="556" t="s">
        <v>2648</v>
      </c>
      <c r="P7" s="558"/>
      <c r="Q7" s="707" t="s">
        <v>3492</v>
      </c>
    </row>
    <row r="8" spans="1:17" ht="25.5" x14ac:dyDescent="0.25">
      <c r="A8" s="221">
        <v>43321</v>
      </c>
      <c r="B8" s="88" t="s">
        <v>3474</v>
      </c>
      <c r="C8" s="220" t="s">
        <v>170</v>
      </c>
      <c r="D8" s="536" t="s">
        <v>701</v>
      </c>
      <c r="E8" s="560" t="s">
        <v>3468</v>
      </c>
      <c r="F8" s="553">
        <v>43321</v>
      </c>
      <c r="G8" s="554">
        <v>449.4</v>
      </c>
      <c r="H8" s="554">
        <v>10</v>
      </c>
      <c r="I8" s="555">
        <v>9.91</v>
      </c>
      <c r="J8" s="674">
        <f t="shared" si="1"/>
        <v>2.2051624388072986</v>
      </c>
      <c r="K8" s="555">
        <v>100</v>
      </c>
      <c r="L8" s="556" t="s">
        <v>49</v>
      </c>
      <c r="M8" s="556" t="s">
        <v>3192</v>
      </c>
      <c r="N8" s="557" t="s">
        <v>3362</v>
      </c>
      <c r="O8" s="556" t="s">
        <v>2846</v>
      </c>
      <c r="P8" s="558"/>
      <c r="Q8" s="707" t="s">
        <v>3492</v>
      </c>
    </row>
    <row r="9" spans="1:17" ht="25.5" x14ac:dyDescent="0.25">
      <c r="A9" s="221">
        <v>43326</v>
      </c>
      <c r="B9" s="88" t="s">
        <v>3477</v>
      </c>
      <c r="C9" s="220" t="s">
        <v>40</v>
      </c>
      <c r="D9" s="535" t="s">
        <v>1041</v>
      </c>
      <c r="E9" s="559" t="s">
        <v>3400</v>
      </c>
      <c r="F9" s="553">
        <v>43326</v>
      </c>
      <c r="G9" s="561">
        <v>516.97400000000005</v>
      </c>
      <c r="H9" s="554">
        <v>40</v>
      </c>
      <c r="I9" s="555">
        <v>48.74</v>
      </c>
      <c r="J9" s="674">
        <f t="shared" si="1"/>
        <v>2.3569850708159401</v>
      </c>
      <c r="K9" s="555">
        <v>100</v>
      </c>
      <c r="L9" s="556" t="s">
        <v>49</v>
      </c>
      <c r="M9" s="556" t="s">
        <v>3192</v>
      </c>
      <c r="N9" s="562" t="s">
        <v>3290</v>
      </c>
      <c r="O9" s="556" t="s">
        <v>2648</v>
      </c>
      <c r="P9" s="558"/>
      <c r="Q9" s="707" t="s">
        <v>3492</v>
      </c>
    </row>
    <row r="10" spans="1:17" ht="25.5" x14ac:dyDescent="0.25">
      <c r="A10" s="221">
        <v>43326</v>
      </c>
      <c r="B10" s="88" t="s">
        <v>3478</v>
      </c>
      <c r="C10" s="220" t="s">
        <v>40</v>
      </c>
      <c r="D10" s="537" t="s">
        <v>1041</v>
      </c>
      <c r="E10" s="560" t="s">
        <v>3402</v>
      </c>
      <c r="F10" s="553">
        <v>43326</v>
      </c>
      <c r="G10" s="554">
        <v>298.30900000000003</v>
      </c>
      <c r="H10" s="554">
        <v>40</v>
      </c>
      <c r="I10" s="555">
        <v>30.32</v>
      </c>
      <c r="J10" s="674">
        <f t="shared" si="1"/>
        <v>2.5409893767871572</v>
      </c>
      <c r="K10" s="555">
        <v>100</v>
      </c>
      <c r="L10" s="556" t="s">
        <v>49</v>
      </c>
      <c r="M10" s="556" t="s">
        <v>3192</v>
      </c>
      <c r="N10" s="557" t="s">
        <v>3290</v>
      </c>
      <c r="O10" s="556" t="s">
        <v>2648</v>
      </c>
      <c r="P10" s="558"/>
      <c r="Q10" s="707" t="s">
        <v>3492</v>
      </c>
    </row>
    <row r="11" spans="1:17" ht="25.5" x14ac:dyDescent="0.25">
      <c r="A11" s="221">
        <v>43326</v>
      </c>
      <c r="B11" s="88" t="s">
        <v>3479</v>
      </c>
      <c r="C11" s="220" t="s">
        <v>170</v>
      </c>
      <c r="D11" s="535" t="s">
        <v>701</v>
      </c>
      <c r="E11" s="559" t="s">
        <v>3462</v>
      </c>
      <c r="F11" s="563">
        <v>43326</v>
      </c>
      <c r="G11" s="554">
        <v>168.36</v>
      </c>
      <c r="H11" s="561">
        <v>145</v>
      </c>
      <c r="I11" s="561">
        <v>2440</v>
      </c>
      <c r="J11" s="674">
        <f t="shared" si="1"/>
        <v>99.850074962518747</v>
      </c>
      <c r="K11" s="564">
        <v>99.9</v>
      </c>
      <c r="L11" s="556" t="s">
        <v>49</v>
      </c>
      <c r="M11" s="554" t="s">
        <v>1430</v>
      </c>
      <c r="N11" s="565" t="s">
        <v>3436</v>
      </c>
      <c r="O11" s="566" t="s">
        <v>2648</v>
      </c>
      <c r="P11" s="797" t="s">
        <v>3482</v>
      </c>
      <c r="Q11" s="707" t="s">
        <v>3498</v>
      </c>
    </row>
    <row r="12" spans="1:17" ht="25.5" x14ac:dyDescent="0.25">
      <c r="A12" s="221">
        <v>43326</v>
      </c>
      <c r="B12" s="88" t="s">
        <v>3341</v>
      </c>
      <c r="C12" s="220" t="s">
        <v>170</v>
      </c>
      <c r="D12" s="536" t="s">
        <v>701</v>
      </c>
      <c r="E12" s="560" t="s">
        <v>3480</v>
      </c>
      <c r="F12" s="265">
        <v>43286</v>
      </c>
      <c r="G12" s="126">
        <v>380.35</v>
      </c>
      <c r="H12" s="554">
        <v>1.1000000000000001</v>
      </c>
      <c r="I12" s="555">
        <v>43.27</v>
      </c>
      <c r="J12" s="674">
        <f t="shared" si="1"/>
        <v>100.31884508287821</v>
      </c>
      <c r="K12" s="555">
        <v>97</v>
      </c>
      <c r="L12" s="556" t="s">
        <v>49</v>
      </c>
      <c r="M12" s="554" t="s">
        <v>1430</v>
      </c>
      <c r="N12" s="565" t="s">
        <v>3436</v>
      </c>
      <c r="O12" s="566" t="s">
        <v>2648</v>
      </c>
      <c r="P12" s="798"/>
      <c r="Q12" s="707" t="s">
        <v>3498</v>
      </c>
    </row>
    <row r="13" spans="1:17" ht="25.5" x14ac:dyDescent="0.25">
      <c r="A13" s="221">
        <v>43326</v>
      </c>
      <c r="B13" s="88" t="s">
        <v>3330</v>
      </c>
      <c r="C13" s="220" t="s">
        <v>170</v>
      </c>
      <c r="D13" s="535" t="s">
        <v>701</v>
      </c>
      <c r="E13" s="559" t="s">
        <v>3481</v>
      </c>
      <c r="F13" s="264">
        <v>41928</v>
      </c>
      <c r="G13" s="443">
        <v>238.3</v>
      </c>
      <c r="H13" s="554">
        <v>10</v>
      </c>
      <c r="I13" s="555">
        <v>239.32</v>
      </c>
      <c r="J13" s="674">
        <f t="shared" si="1"/>
        <v>99.925891733109538</v>
      </c>
      <c r="K13" s="555">
        <v>99.5</v>
      </c>
      <c r="L13" s="556" t="s">
        <v>49</v>
      </c>
      <c r="M13" s="554" t="s">
        <v>1430</v>
      </c>
      <c r="N13" s="565" t="s">
        <v>3436</v>
      </c>
      <c r="O13" s="566" t="s">
        <v>2648</v>
      </c>
      <c r="P13" s="798"/>
      <c r="Q13" s="707" t="s">
        <v>3498</v>
      </c>
    </row>
    <row r="14" spans="1:17" ht="27.75" customHeight="1" x14ac:dyDescent="0.25">
      <c r="A14" s="221">
        <v>43326</v>
      </c>
      <c r="B14" s="88" t="s">
        <v>2949</v>
      </c>
      <c r="C14" s="220" t="s">
        <v>170</v>
      </c>
      <c r="D14" s="536" t="s">
        <v>701</v>
      </c>
      <c r="E14" s="124" t="s">
        <v>1777</v>
      </c>
      <c r="F14" s="260">
        <v>43039</v>
      </c>
      <c r="G14" s="126">
        <v>298.85000000000002</v>
      </c>
      <c r="H14" s="554">
        <v>0.02</v>
      </c>
      <c r="I14" s="555">
        <v>0.59</v>
      </c>
      <c r="J14" s="674">
        <f t="shared" si="1"/>
        <v>98.711728291785164</v>
      </c>
      <c r="K14" s="555">
        <v>100</v>
      </c>
      <c r="L14" s="556" t="s">
        <v>49</v>
      </c>
      <c r="M14" s="554" t="s">
        <v>1430</v>
      </c>
      <c r="N14" s="565" t="s">
        <v>3436</v>
      </c>
      <c r="O14" s="566" t="s">
        <v>2648</v>
      </c>
      <c r="P14" s="798"/>
      <c r="Q14" s="707" t="s">
        <v>3498</v>
      </c>
    </row>
    <row r="15" spans="1:17" ht="25.5" x14ac:dyDescent="0.25">
      <c r="A15" s="221">
        <v>43326</v>
      </c>
      <c r="B15" s="88" t="s">
        <v>3493</v>
      </c>
      <c r="C15" s="220" t="s">
        <v>170</v>
      </c>
      <c r="D15" s="536" t="s">
        <v>701</v>
      </c>
      <c r="E15" s="124" t="s">
        <v>2987</v>
      </c>
      <c r="F15" s="553">
        <v>43326</v>
      </c>
      <c r="G15" s="126">
        <v>523.17999999999995</v>
      </c>
      <c r="H15" s="554">
        <v>0.1</v>
      </c>
      <c r="I15" s="555">
        <v>5.48</v>
      </c>
      <c r="J15" s="674">
        <f t="shared" si="1"/>
        <v>99.506861883099518</v>
      </c>
      <c r="K15" s="555">
        <v>95</v>
      </c>
      <c r="L15" s="556" t="s">
        <v>49</v>
      </c>
      <c r="M15" s="554" t="s">
        <v>1430</v>
      </c>
      <c r="N15" s="565" t="s">
        <v>3436</v>
      </c>
      <c r="O15" s="566" t="s">
        <v>2648</v>
      </c>
      <c r="P15" s="799"/>
      <c r="Q15" s="707" t="s">
        <v>3498</v>
      </c>
    </row>
    <row r="16" spans="1:17" ht="25.5" x14ac:dyDescent="0.25">
      <c r="A16" s="221">
        <v>43326</v>
      </c>
      <c r="B16" s="88" t="s">
        <v>3351</v>
      </c>
      <c r="C16" s="220" t="s">
        <v>170</v>
      </c>
      <c r="D16" s="536" t="s">
        <v>230</v>
      </c>
      <c r="E16" s="633" t="s">
        <v>3278</v>
      </c>
      <c r="F16" s="624">
        <v>43291</v>
      </c>
      <c r="G16" s="625">
        <v>430.59</v>
      </c>
      <c r="H16" s="625">
        <v>10</v>
      </c>
      <c r="I16" s="555">
        <v>2.08</v>
      </c>
      <c r="J16" s="674">
        <f t="shared" ref="J16" si="2">(I16*K16/100)/(H16*G16)*1000</f>
        <v>0.483058129543185</v>
      </c>
      <c r="K16" s="627">
        <v>100</v>
      </c>
      <c r="L16" s="628" t="s">
        <v>212</v>
      </c>
      <c r="M16" s="554" t="s">
        <v>1430</v>
      </c>
      <c r="N16" s="695" t="s">
        <v>3274</v>
      </c>
      <c r="O16" s="640" t="s">
        <v>2648</v>
      </c>
      <c r="P16" s="558"/>
      <c r="Q16" s="707" t="s">
        <v>3492</v>
      </c>
    </row>
    <row r="17" spans="1:18" ht="25.5" x14ac:dyDescent="0.25">
      <c r="A17" s="221">
        <v>43328</v>
      </c>
      <c r="B17" s="88" t="s">
        <v>3483</v>
      </c>
      <c r="C17" s="220" t="s">
        <v>170</v>
      </c>
      <c r="D17" s="536" t="s">
        <v>230</v>
      </c>
      <c r="E17" s="560" t="s">
        <v>3484</v>
      </c>
      <c r="F17" s="553">
        <v>43328</v>
      </c>
      <c r="G17" s="554">
        <v>444.57</v>
      </c>
      <c r="H17" s="554">
        <v>10</v>
      </c>
      <c r="I17" s="555">
        <v>1.65</v>
      </c>
      <c r="J17" s="674">
        <f t="shared" si="1"/>
        <v>0.37114515149470279</v>
      </c>
      <c r="K17" s="555">
        <v>100</v>
      </c>
      <c r="L17" s="556" t="s">
        <v>212</v>
      </c>
      <c r="M17" s="556" t="s">
        <v>1464</v>
      </c>
      <c r="N17" s="557" t="s">
        <v>3274</v>
      </c>
      <c r="O17" s="556" t="s">
        <v>2648</v>
      </c>
      <c r="P17" s="558"/>
      <c r="Q17" s="707" t="s">
        <v>3492</v>
      </c>
    </row>
    <row r="18" spans="1:18" ht="25.5" x14ac:dyDescent="0.25">
      <c r="A18" s="221">
        <v>43332</v>
      </c>
      <c r="B18" s="88" t="s">
        <v>3488</v>
      </c>
      <c r="C18" s="220" t="s">
        <v>170</v>
      </c>
      <c r="D18" s="536" t="s">
        <v>701</v>
      </c>
      <c r="E18" s="559" t="s">
        <v>3455</v>
      </c>
      <c r="F18" s="553">
        <v>43332</v>
      </c>
      <c r="G18" s="554">
        <v>303.29000000000002</v>
      </c>
      <c r="H18" s="554">
        <v>1</v>
      </c>
      <c r="I18" s="555">
        <v>1.32</v>
      </c>
      <c r="J18" s="674">
        <f t="shared" si="1"/>
        <v>4.352270104520426</v>
      </c>
      <c r="K18" s="555">
        <v>100</v>
      </c>
      <c r="L18" s="556" t="s">
        <v>212</v>
      </c>
      <c r="M18" s="556" t="s">
        <v>1464</v>
      </c>
      <c r="N18" s="562" t="s">
        <v>3436</v>
      </c>
      <c r="O18" s="556" t="s">
        <v>2648</v>
      </c>
      <c r="P18" s="558"/>
      <c r="Q18" s="707" t="s">
        <v>3492</v>
      </c>
    </row>
    <row r="19" spans="1:18" ht="25.5" x14ac:dyDescent="0.25">
      <c r="A19" s="221">
        <v>43332</v>
      </c>
      <c r="B19" s="88" t="s">
        <v>3489</v>
      </c>
      <c r="C19" s="220" t="s">
        <v>170</v>
      </c>
      <c r="D19" s="536" t="s">
        <v>701</v>
      </c>
      <c r="E19" s="560" t="s">
        <v>1588</v>
      </c>
      <c r="F19" s="553">
        <v>43332</v>
      </c>
      <c r="G19" s="554">
        <v>284.74</v>
      </c>
      <c r="H19" s="554">
        <v>1</v>
      </c>
      <c r="I19" s="555">
        <v>2.1</v>
      </c>
      <c r="J19" s="674">
        <f t="shared" si="1"/>
        <v>7.3751492589730985</v>
      </c>
      <c r="K19" s="555">
        <v>100</v>
      </c>
      <c r="L19" s="556" t="s">
        <v>49</v>
      </c>
      <c r="M19" s="556" t="s">
        <v>1464</v>
      </c>
      <c r="N19" s="557" t="s">
        <v>3436</v>
      </c>
      <c r="O19" s="556" t="s">
        <v>2648</v>
      </c>
      <c r="P19" s="558"/>
      <c r="Q19" s="707" t="s">
        <v>3492</v>
      </c>
    </row>
    <row r="20" spans="1:18" ht="25.5" x14ac:dyDescent="0.25">
      <c r="A20" s="221">
        <v>43332</v>
      </c>
      <c r="B20" s="88" t="s">
        <v>3477</v>
      </c>
      <c r="C20" s="220" t="s">
        <v>40</v>
      </c>
      <c r="D20" s="536" t="s">
        <v>701</v>
      </c>
      <c r="E20" s="560" t="s">
        <v>3400</v>
      </c>
      <c r="F20" s="553">
        <v>43326</v>
      </c>
      <c r="G20" s="554">
        <v>516.97400000000005</v>
      </c>
      <c r="H20" s="554">
        <v>40</v>
      </c>
      <c r="I20" s="555">
        <v>17.5</v>
      </c>
      <c r="J20" s="674">
        <f t="shared" si="1"/>
        <v>0.84627079891832069</v>
      </c>
      <c r="K20" s="555">
        <v>100</v>
      </c>
      <c r="L20" s="556" t="s">
        <v>49</v>
      </c>
      <c r="M20" s="556" t="s">
        <v>3192</v>
      </c>
      <c r="N20" s="557" t="s">
        <v>3290</v>
      </c>
      <c r="O20" s="556" t="s">
        <v>2648</v>
      </c>
      <c r="P20" s="558"/>
      <c r="Q20" s="707" t="s">
        <v>3492</v>
      </c>
    </row>
    <row r="21" spans="1:18" ht="25.5" x14ac:dyDescent="0.25">
      <c r="A21" s="221">
        <v>43333</v>
      </c>
      <c r="B21" s="88" t="s">
        <v>2678</v>
      </c>
      <c r="C21" s="220" t="s">
        <v>170</v>
      </c>
      <c r="D21" s="535" t="s">
        <v>701</v>
      </c>
      <c r="E21" s="559" t="s">
        <v>2558</v>
      </c>
      <c r="F21" s="553">
        <v>43070</v>
      </c>
      <c r="G21" s="126">
        <v>89.09</v>
      </c>
      <c r="H21" s="554" t="s">
        <v>3490</v>
      </c>
      <c r="I21" s="555">
        <v>1412.83</v>
      </c>
      <c r="J21" s="674" t="e">
        <f t="shared" si="1"/>
        <v>#VALUE!</v>
      </c>
      <c r="K21" s="555">
        <v>100</v>
      </c>
      <c r="L21" s="556" t="s">
        <v>49</v>
      </c>
      <c r="M21" s="556" t="s">
        <v>2042</v>
      </c>
      <c r="N21" s="557" t="s">
        <v>3362</v>
      </c>
      <c r="O21" s="556" t="s">
        <v>2648</v>
      </c>
      <c r="P21" s="558"/>
      <c r="Q21" s="707" t="s">
        <v>3492</v>
      </c>
    </row>
    <row r="22" spans="1:18" ht="25.5" x14ac:dyDescent="0.25">
      <c r="A22" s="221">
        <v>43335</v>
      </c>
      <c r="B22" s="88" t="s">
        <v>3478</v>
      </c>
      <c r="C22" s="220" t="s">
        <v>40</v>
      </c>
      <c r="D22" s="536" t="s">
        <v>1041</v>
      </c>
      <c r="E22" s="560" t="s">
        <v>3402</v>
      </c>
      <c r="F22" s="553">
        <v>43326</v>
      </c>
      <c r="G22" s="554">
        <v>298.30900000000003</v>
      </c>
      <c r="H22" s="554">
        <v>10</v>
      </c>
      <c r="I22" s="555">
        <v>19.23</v>
      </c>
      <c r="J22" s="674">
        <f t="shared" si="1"/>
        <v>6.4463358463874707</v>
      </c>
      <c r="K22" s="555">
        <v>100</v>
      </c>
      <c r="L22" s="556" t="s">
        <v>49</v>
      </c>
      <c r="M22" s="556" t="s">
        <v>3494</v>
      </c>
      <c r="N22" s="557" t="s">
        <v>3290</v>
      </c>
      <c r="O22" s="556" t="s">
        <v>2648</v>
      </c>
      <c r="P22" s="558"/>
      <c r="Q22" s="707" t="s">
        <v>3498</v>
      </c>
    </row>
    <row r="23" spans="1:18" ht="25.5" x14ac:dyDescent="0.25">
      <c r="A23" s="221">
        <v>43335</v>
      </c>
      <c r="B23" s="88" t="s">
        <v>3267</v>
      </c>
      <c r="C23" s="220" t="s">
        <v>170</v>
      </c>
      <c r="D23" s="536" t="s">
        <v>701</v>
      </c>
      <c r="E23" s="560" t="s">
        <v>1541</v>
      </c>
      <c r="F23" s="553">
        <v>43272</v>
      </c>
      <c r="G23" s="554">
        <v>276.12</v>
      </c>
      <c r="H23" s="554">
        <v>20</v>
      </c>
      <c r="I23" s="555">
        <v>30.06</v>
      </c>
      <c r="J23" s="674">
        <f t="shared" si="1"/>
        <v>5.4432855280312902</v>
      </c>
      <c r="K23" s="555">
        <v>100</v>
      </c>
      <c r="L23" s="556" t="s">
        <v>49</v>
      </c>
      <c r="M23" s="556" t="s">
        <v>3494</v>
      </c>
      <c r="N23" s="557" t="s">
        <v>3082</v>
      </c>
      <c r="O23" s="556" t="s">
        <v>3293</v>
      </c>
      <c r="P23" s="558"/>
      <c r="Q23" s="707" t="s">
        <v>3498</v>
      </c>
    </row>
    <row r="24" spans="1:18" ht="46.5" x14ac:dyDescent="0.25">
      <c r="A24" s="221">
        <v>43335</v>
      </c>
      <c r="B24" s="88" t="s">
        <v>3495</v>
      </c>
      <c r="C24" s="220" t="s">
        <v>744</v>
      </c>
      <c r="D24" s="536" t="s">
        <v>701</v>
      </c>
      <c r="E24" s="560" t="s">
        <v>779</v>
      </c>
      <c r="F24" s="553">
        <v>43335</v>
      </c>
      <c r="G24" s="554">
        <v>197.13</v>
      </c>
      <c r="H24" s="554">
        <v>20</v>
      </c>
      <c r="I24" s="555">
        <v>5.27</v>
      </c>
      <c r="J24" s="674">
        <f t="shared" si="1"/>
        <v>1.3273246081266168</v>
      </c>
      <c r="K24" s="555">
        <v>99.3</v>
      </c>
      <c r="L24" s="556" t="s">
        <v>49</v>
      </c>
      <c r="M24" s="556" t="s">
        <v>3494</v>
      </c>
      <c r="N24" s="557" t="s">
        <v>3082</v>
      </c>
      <c r="O24" s="556" t="s">
        <v>3293</v>
      </c>
      <c r="P24" s="558"/>
      <c r="Q24" s="707" t="s">
        <v>3498</v>
      </c>
    </row>
    <row r="25" spans="1:18" ht="46.5" x14ac:dyDescent="0.25">
      <c r="A25" s="221">
        <v>43335</v>
      </c>
      <c r="B25" s="88" t="s">
        <v>3496</v>
      </c>
      <c r="C25" s="220" t="s">
        <v>744</v>
      </c>
      <c r="D25" s="536" t="s">
        <v>701</v>
      </c>
      <c r="E25" s="560" t="s">
        <v>779</v>
      </c>
      <c r="F25" s="553">
        <v>43335</v>
      </c>
      <c r="G25" s="554">
        <v>197.13</v>
      </c>
      <c r="H25" s="554">
        <v>20</v>
      </c>
      <c r="I25" s="555">
        <v>10</v>
      </c>
      <c r="J25" s="674">
        <f t="shared" si="1"/>
        <v>2.5186425201643585</v>
      </c>
      <c r="K25" s="555">
        <v>99.3</v>
      </c>
      <c r="L25" s="556" t="s">
        <v>49</v>
      </c>
      <c r="M25" s="556" t="s">
        <v>3494</v>
      </c>
      <c r="N25" s="557" t="s">
        <v>3082</v>
      </c>
      <c r="O25" s="556" t="s">
        <v>3293</v>
      </c>
      <c r="P25" s="558"/>
      <c r="Q25" s="707" t="s">
        <v>3498</v>
      </c>
    </row>
    <row r="26" spans="1:18" ht="24.75" customHeight="1" x14ac:dyDescent="0.25">
      <c r="A26" s="221">
        <v>43339</v>
      </c>
      <c r="B26" s="88" t="s">
        <v>2809</v>
      </c>
      <c r="C26" s="220" t="s">
        <v>40</v>
      </c>
      <c r="D26" s="536" t="s">
        <v>701</v>
      </c>
      <c r="E26" s="560" t="s">
        <v>1476</v>
      </c>
      <c r="F26" s="553">
        <v>43125</v>
      </c>
      <c r="G26" s="554">
        <v>305.42</v>
      </c>
      <c r="H26" s="554">
        <v>3</v>
      </c>
      <c r="I26" s="555">
        <v>3.01</v>
      </c>
      <c r="J26" s="674">
        <f t="shared" si="1"/>
        <v>3.2325322506712069</v>
      </c>
      <c r="K26" s="555">
        <v>98.4</v>
      </c>
      <c r="L26" s="556" t="s">
        <v>212</v>
      </c>
      <c r="M26" s="556" t="s">
        <v>1430</v>
      </c>
      <c r="N26" s="557" t="s">
        <v>2703</v>
      </c>
      <c r="O26" s="556" t="s">
        <v>2475</v>
      </c>
      <c r="P26" s="558"/>
      <c r="Q26" s="707" t="s">
        <v>3575</v>
      </c>
      <c r="R26" s="222"/>
    </row>
    <row r="27" spans="1:18" ht="25.5" x14ac:dyDescent="0.25">
      <c r="A27" s="221">
        <v>43341</v>
      </c>
      <c r="B27" s="88" t="s">
        <v>3499</v>
      </c>
      <c r="C27" s="220" t="s">
        <v>170</v>
      </c>
      <c r="D27" s="536" t="s">
        <v>701</v>
      </c>
      <c r="E27" s="560" t="s">
        <v>860</v>
      </c>
      <c r="F27" s="553">
        <v>43341</v>
      </c>
      <c r="G27" s="554">
        <v>336.28</v>
      </c>
      <c r="H27" s="554">
        <v>20</v>
      </c>
      <c r="I27" s="555">
        <v>46.91</v>
      </c>
      <c r="J27" s="674">
        <f t="shared" si="1"/>
        <v>6.905093969311288</v>
      </c>
      <c r="K27" s="555">
        <v>99</v>
      </c>
      <c r="L27" s="556" t="s">
        <v>212</v>
      </c>
      <c r="M27" s="556" t="s">
        <v>3192</v>
      </c>
      <c r="N27" s="557"/>
      <c r="O27" s="556" t="s">
        <v>2846</v>
      </c>
      <c r="P27" s="558"/>
      <c r="Q27" s="707" t="s">
        <v>3575</v>
      </c>
    </row>
    <row r="28" spans="1:18" ht="25.5" x14ac:dyDescent="0.25">
      <c r="A28" s="221">
        <v>43341</v>
      </c>
      <c r="B28" s="88" t="s">
        <v>3500</v>
      </c>
      <c r="C28" s="220" t="s">
        <v>170</v>
      </c>
      <c r="D28" s="536" t="s">
        <v>416</v>
      </c>
      <c r="E28" s="124" t="s">
        <v>3433</v>
      </c>
      <c r="F28" s="553">
        <v>43341</v>
      </c>
      <c r="G28" s="126">
        <v>469.7</v>
      </c>
      <c r="H28" s="554">
        <v>10</v>
      </c>
      <c r="I28" s="555">
        <v>10.92</v>
      </c>
      <c r="J28" s="674">
        <f t="shared" si="1"/>
        <v>2.324888226527571</v>
      </c>
      <c r="K28" s="555">
        <v>100</v>
      </c>
      <c r="L28" s="556" t="s">
        <v>212</v>
      </c>
      <c r="M28" s="556" t="s">
        <v>2121</v>
      </c>
      <c r="N28" s="557" t="s">
        <v>3436</v>
      </c>
      <c r="O28" s="556" t="s">
        <v>2846</v>
      </c>
      <c r="P28" s="558"/>
      <c r="Q28" s="707" t="s">
        <v>3575</v>
      </c>
    </row>
    <row r="29" spans="1:18" ht="25.5" x14ac:dyDescent="0.25">
      <c r="A29" s="221">
        <v>43341</v>
      </c>
      <c r="B29" s="88" t="s">
        <v>3501</v>
      </c>
      <c r="C29" s="220" t="s">
        <v>170</v>
      </c>
      <c r="D29" s="536" t="s">
        <v>701</v>
      </c>
      <c r="E29" s="560" t="s">
        <v>254</v>
      </c>
      <c r="F29" s="553">
        <v>42971</v>
      </c>
      <c r="G29" s="554">
        <v>602.58000000000004</v>
      </c>
      <c r="H29" s="554">
        <v>50</v>
      </c>
      <c r="I29" s="555">
        <v>159.03</v>
      </c>
      <c r="J29" s="674">
        <f t="shared" si="1"/>
        <v>5.2255202628696589</v>
      </c>
      <c r="K29" s="555">
        <v>99</v>
      </c>
      <c r="L29" s="556" t="s">
        <v>212</v>
      </c>
      <c r="M29" s="556" t="s">
        <v>3192</v>
      </c>
      <c r="N29" s="557" t="s">
        <v>1034</v>
      </c>
      <c r="O29" s="556" t="s">
        <v>2648</v>
      </c>
      <c r="P29" s="558"/>
      <c r="Q29" s="707" t="s">
        <v>3575</v>
      </c>
    </row>
    <row r="30" spans="1:18" ht="25.5" x14ac:dyDescent="0.25">
      <c r="A30" s="221">
        <v>43341</v>
      </c>
      <c r="B30" s="88" t="s">
        <v>3346</v>
      </c>
      <c r="C30" s="220" t="s">
        <v>170</v>
      </c>
      <c r="D30" s="536" t="s">
        <v>701</v>
      </c>
      <c r="E30" s="560" t="s">
        <v>3502</v>
      </c>
      <c r="F30" s="553">
        <v>43289</v>
      </c>
      <c r="G30" s="126">
        <v>189.17</v>
      </c>
      <c r="H30" s="554">
        <v>2</v>
      </c>
      <c r="I30" s="555">
        <v>772.8</v>
      </c>
      <c r="J30" s="674">
        <f t="shared" si="1"/>
        <v>2042.6071787281282</v>
      </c>
      <c r="K30" s="555">
        <v>100</v>
      </c>
      <c r="L30" s="556" t="s">
        <v>1434</v>
      </c>
      <c r="M30" s="556" t="s">
        <v>2042</v>
      </c>
      <c r="N30" s="557" t="s">
        <v>3503</v>
      </c>
      <c r="O30" s="556" t="s">
        <v>2648</v>
      </c>
      <c r="P30" s="558"/>
      <c r="Q30" s="707" t="s">
        <v>3575</v>
      </c>
    </row>
    <row r="31" spans="1:18" ht="25.5" x14ac:dyDescent="0.25">
      <c r="A31" s="221">
        <v>43342</v>
      </c>
      <c r="B31" s="88" t="s">
        <v>3350</v>
      </c>
      <c r="C31" s="220" t="s">
        <v>170</v>
      </c>
      <c r="D31" s="536" t="s">
        <v>701</v>
      </c>
      <c r="E31" s="560" t="s">
        <v>1582</v>
      </c>
      <c r="F31" s="553">
        <v>43342</v>
      </c>
      <c r="G31" s="126">
        <v>319.27999999999997</v>
      </c>
      <c r="H31" s="554">
        <v>1</v>
      </c>
      <c r="I31" s="555">
        <v>1</v>
      </c>
      <c r="J31" s="674">
        <f t="shared" ref="J31:J32" si="3">(I31*K31/100)/(H31*G31)*1000</f>
        <v>3.1007266349285896</v>
      </c>
      <c r="K31" s="555">
        <v>99</v>
      </c>
      <c r="L31" s="556" t="s">
        <v>1724</v>
      </c>
      <c r="M31" s="556" t="s">
        <v>2042</v>
      </c>
      <c r="N31" s="557" t="s">
        <v>1034</v>
      </c>
      <c r="O31" s="556" t="s">
        <v>2648</v>
      </c>
      <c r="P31" s="558"/>
      <c r="Q31" s="707" t="s">
        <v>3575</v>
      </c>
    </row>
    <row r="32" spans="1:18" ht="25.5" x14ac:dyDescent="0.25">
      <c r="A32" s="221">
        <v>43341</v>
      </c>
      <c r="B32" s="88" t="s">
        <v>3346</v>
      </c>
      <c r="C32" s="220" t="s">
        <v>170</v>
      </c>
      <c r="D32" s="536" t="s">
        <v>701</v>
      </c>
      <c r="E32" s="560" t="s">
        <v>3502</v>
      </c>
      <c r="F32" s="553">
        <v>43289</v>
      </c>
      <c r="G32" s="126">
        <v>189.17</v>
      </c>
      <c r="H32" s="554">
        <v>2</v>
      </c>
      <c r="I32" s="555">
        <v>771.8</v>
      </c>
      <c r="J32" s="674">
        <f t="shared" si="3"/>
        <v>2039.9640534968548</v>
      </c>
      <c r="K32" s="555">
        <v>100</v>
      </c>
      <c r="L32" s="556" t="s">
        <v>1434</v>
      </c>
      <c r="M32" s="556" t="s">
        <v>2042</v>
      </c>
      <c r="N32" s="557" t="s">
        <v>3503</v>
      </c>
      <c r="O32" s="556" t="s">
        <v>2648</v>
      </c>
      <c r="P32" s="558"/>
      <c r="Q32" s="707" t="s">
        <v>3575</v>
      </c>
    </row>
    <row r="33" spans="1:17" ht="25.5" x14ac:dyDescent="0.25">
      <c r="A33" s="221">
        <v>43343</v>
      </c>
      <c r="B33" s="88" t="s">
        <v>3504</v>
      </c>
      <c r="C33" s="220" t="s">
        <v>170</v>
      </c>
      <c r="D33" s="535" t="s">
        <v>701</v>
      </c>
      <c r="E33" s="552" t="s">
        <v>3505</v>
      </c>
      <c r="F33" s="553">
        <v>43010</v>
      </c>
      <c r="G33" s="126">
        <v>370.87</v>
      </c>
      <c r="H33" s="554">
        <v>10</v>
      </c>
      <c r="I33" s="555">
        <v>18.850000000000001</v>
      </c>
      <c r="J33" s="674">
        <f t="shared" si="1"/>
        <v>5.0318170787607519</v>
      </c>
      <c r="K33" s="555">
        <v>99</v>
      </c>
      <c r="L33" s="556" t="s">
        <v>49</v>
      </c>
      <c r="M33" s="556" t="s">
        <v>2042</v>
      </c>
      <c r="N33" s="557" t="s">
        <v>3503</v>
      </c>
      <c r="O33" s="556" t="s">
        <v>2648</v>
      </c>
      <c r="P33" s="558"/>
      <c r="Q33" s="707" t="s">
        <v>3575</v>
      </c>
    </row>
    <row r="34" spans="1:17" ht="25.5" x14ac:dyDescent="0.25">
      <c r="A34" s="221">
        <v>43343</v>
      </c>
      <c r="B34" s="88" t="s">
        <v>3032</v>
      </c>
      <c r="C34" s="220" t="s">
        <v>40</v>
      </c>
      <c r="D34" s="535" t="s">
        <v>701</v>
      </c>
      <c r="E34" s="552" t="s">
        <v>689</v>
      </c>
      <c r="F34" s="553">
        <v>43075</v>
      </c>
      <c r="G34" s="554">
        <v>182.7</v>
      </c>
      <c r="H34" s="554">
        <v>1</v>
      </c>
      <c r="I34" s="555">
        <v>0.8</v>
      </c>
      <c r="J34" s="674">
        <f t="shared" si="1"/>
        <v>4.334975369458129</v>
      </c>
      <c r="K34" s="555">
        <v>99</v>
      </c>
      <c r="L34" s="556" t="s">
        <v>49</v>
      </c>
      <c r="M34" s="556" t="s">
        <v>1429</v>
      </c>
      <c r="N34" s="557" t="s">
        <v>3131</v>
      </c>
      <c r="O34" s="556" t="s">
        <v>2648</v>
      </c>
      <c r="P34" s="558"/>
      <c r="Q34" s="707" t="s">
        <v>3575</v>
      </c>
    </row>
    <row r="35" spans="1:17" ht="46.5" x14ac:dyDescent="0.25">
      <c r="A35" s="221">
        <v>43341</v>
      </c>
      <c r="B35" s="88" t="s">
        <v>3574</v>
      </c>
      <c r="C35" s="220" t="s">
        <v>744</v>
      </c>
      <c r="D35" s="536" t="s">
        <v>701</v>
      </c>
      <c r="E35" s="560" t="s">
        <v>3566</v>
      </c>
      <c r="F35" s="553">
        <v>43249</v>
      </c>
      <c r="G35" s="554" t="s">
        <v>61</v>
      </c>
      <c r="H35" s="554" t="s">
        <v>61</v>
      </c>
      <c r="I35" s="555" t="s">
        <v>61</v>
      </c>
      <c r="J35" s="674" t="e">
        <f t="shared" si="1"/>
        <v>#VALUE!</v>
      </c>
      <c r="K35" s="555" t="s">
        <v>61</v>
      </c>
      <c r="L35" s="556"/>
      <c r="M35" s="556" t="s">
        <v>3192</v>
      </c>
      <c r="N35" s="557" t="s">
        <v>1034</v>
      </c>
      <c r="O35" s="556" t="s">
        <v>2846</v>
      </c>
      <c r="P35" s="558"/>
      <c r="Q35" s="707" t="s">
        <v>3575</v>
      </c>
    </row>
    <row r="36" spans="1:17" ht="46.5" x14ac:dyDescent="0.25">
      <c r="A36" s="221">
        <v>43341</v>
      </c>
      <c r="B36" s="88" t="s">
        <v>3565</v>
      </c>
      <c r="C36" s="220" t="s">
        <v>744</v>
      </c>
      <c r="D36" s="535" t="s">
        <v>701</v>
      </c>
      <c r="E36" s="560" t="s">
        <v>3566</v>
      </c>
      <c r="F36" s="553">
        <v>43341</v>
      </c>
      <c r="G36" s="554" t="s">
        <v>61</v>
      </c>
      <c r="H36" s="554" t="s">
        <v>61</v>
      </c>
      <c r="I36" s="555" t="s">
        <v>61</v>
      </c>
      <c r="J36" s="674" t="e">
        <f t="shared" si="1"/>
        <v>#VALUE!</v>
      </c>
      <c r="K36" s="555" t="s">
        <v>61</v>
      </c>
      <c r="L36" s="556"/>
      <c r="M36" s="556" t="s">
        <v>3192</v>
      </c>
      <c r="N36" s="557" t="s">
        <v>1034</v>
      </c>
      <c r="O36" s="556" t="s">
        <v>2648</v>
      </c>
      <c r="P36" s="558"/>
      <c r="Q36" s="707" t="s">
        <v>3575</v>
      </c>
    </row>
    <row r="37" spans="1:17" ht="23.25" x14ac:dyDescent="0.25">
      <c r="A37" s="221"/>
      <c r="B37" s="88"/>
      <c r="C37" s="220"/>
      <c r="D37" s="536"/>
      <c r="E37" s="560"/>
      <c r="F37" s="553"/>
      <c r="G37" s="554"/>
      <c r="H37" s="554"/>
      <c r="I37" s="555"/>
      <c r="J37" s="674" t="e">
        <f t="shared" si="1"/>
        <v>#DIV/0!</v>
      </c>
      <c r="K37" s="555"/>
      <c r="L37" s="556"/>
      <c r="M37" s="556"/>
      <c r="N37" s="557"/>
      <c r="O37" s="556"/>
      <c r="P37" s="558"/>
      <c r="Q37" s="556"/>
    </row>
    <row r="38" spans="1:17" ht="23.25" x14ac:dyDescent="0.25">
      <c r="A38" s="221"/>
      <c r="B38" s="88"/>
      <c r="C38" s="220"/>
      <c r="D38" s="536"/>
      <c r="E38" s="560"/>
      <c r="F38" s="553"/>
      <c r="G38" s="554"/>
      <c r="H38" s="554"/>
      <c r="I38" s="555"/>
      <c r="J38" s="674" t="e">
        <f t="shared" si="1"/>
        <v>#DIV/0!</v>
      </c>
      <c r="K38" s="555"/>
      <c r="L38" s="556"/>
      <c r="M38" s="556"/>
      <c r="N38" s="557"/>
      <c r="O38" s="556"/>
      <c r="P38" s="558"/>
      <c r="Q38" s="556"/>
    </row>
    <row r="39" spans="1:17" ht="23.25" x14ac:dyDescent="0.25">
      <c r="A39" s="221"/>
      <c r="B39" s="88"/>
      <c r="C39" s="220"/>
      <c r="D39" s="536"/>
      <c r="E39" s="560"/>
      <c r="F39" s="553"/>
      <c r="G39" s="554"/>
      <c r="H39" s="554"/>
      <c r="I39" s="555"/>
      <c r="J39" s="674" t="e">
        <f t="shared" si="1"/>
        <v>#DIV/0!</v>
      </c>
      <c r="K39" s="555"/>
      <c r="L39" s="556"/>
      <c r="M39" s="556"/>
      <c r="N39" s="557"/>
      <c r="O39" s="556"/>
      <c r="P39" s="558"/>
      <c r="Q39" s="556"/>
    </row>
    <row r="40" spans="1:17" ht="23.25" x14ac:dyDescent="0.25">
      <c r="A40" s="221"/>
      <c r="B40" s="88"/>
      <c r="C40" s="220"/>
      <c r="D40" s="536"/>
      <c r="E40" s="560"/>
      <c r="F40" s="553"/>
      <c r="G40" s="554"/>
      <c r="H40" s="554"/>
      <c r="I40" s="555"/>
      <c r="J40" s="674" t="e">
        <f t="shared" si="1"/>
        <v>#DIV/0!</v>
      </c>
      <c r="K40" s="555"/>
      <c r="L40" s="556"/>
      <c r="M40" s="556"/>
      <c r="N40" s="557"/>
      <c r="O40" s="556"/>
      <c r="P40" s="558"/>
      <c r="Q40" s="556"/>
    </row>
    <row r="41" spans="1:17" ht="23.25" x14ac:dyDescent="0.25">
      <c r="A41" s="221"/>
      <c r="B41" s="88"/>
      <c r="C41" s="220"/>
      <c r="D41" s="536"/>
      <c r="E41" s="560"/>
      <c r="F41" s="553"/>
      <c r="G41" s="554"/>
      <c r="H41" s="554"/>
      <c r="I41" s="555"/>
      <c r="J41" s="674" t="e">
        <f t="shared" si="1"/>
        <v>#DIV/0!</v>
      </c>
      <c r="K41" s="555"/>
      <c r="L41" s="556"/>
      <c r="M41" s="556"/>
      <c r="N41" s="557"/>
      <c r="O41" s="556"/>
      <c r="P41" s="558"/>
      <c r="Q41" s="556"/>
    </row>
    <row r="42" spans="1:17" ht="23.25" x14ac:dyDescent="0.25">
      <c r="A42" s="221"/>
      <c r="B42" s="88"/>
      <c r="C42" s="220"/>
      <c r="D42" s="536"/>
      <c r="E42" s="560"/>
      <c r="F42" s="553"/>
      <c r="G42" s="554"/>
      <c r="H42" s="554"/>
      <c r="I42" s="555"/>
      <c r="J42" s="674" t="e">
        <f t="shared" si="1"/>
        <v>#DIV/0!</v>
      </c>
      <c r="K42" s="555"/>
      <c r="L42" s="556"/>
      <c r="M42" s="556"/>
      <c r="N42" s="557"/>
      <c r="O42" s="556"/>
      <c r="P42" s="558"/>
      <c r="Q42" s="556"/>
    </row>
    <row r="43" spans="1:17" ht="23.25" x14ac:dyDescent="0.25">
      <c r="A43" s="221"/>
      <c r="B43" s="88"/>
      <c r="C43" s="220"/>
      <c r="D43" s="536"/>
      <c r="E43" s="560"/>
      <c r="F43" s="553"/>
      <c r="G43" s="554"/>
      <c r="H43" s="554"/>
      <c r="I43" s="555"/>
      <c r="J43" s="674" t="e">
        <f t="shared" si="1"/>
        <v>#DIV/0!</v>
      </c>
      <c r="K43" s="555"/>
      <c r="L43" s="556"/>
      <c r="M43" s="556"/>
      <c r="N43" s="557"/>
      <c r="O43" s="556"/>
      <c r="P43" s="558"/>
      <c r="Q43" s="556"/>
    </row>
    <row r="44" spans="1:17" ht="23.25" x14ac:dyDescent="0.25">
      <c r="A44" s="221"/>
      <c r="B44" s="88"/>
      <c r="C44" s="220"/>
      <c r="D44" s="536"/>
      <c r="E44" s="560"/>
      <c r="F44" s="553"/>
      <c r="G44" s="554"/>
      <c r="H44" s="554"/>
      <c r="I44" s="555"/>
      <c r="J44" s="674" t="e">
        <f t="shared" si="1"/>
        <v>#DIV/0!</v>
      </c>
      <c r="K44" s="555"/>
      <c r="L44" s="556"/>
      <c r="M44" s="556"/>
      <c r="N44" s="557"/>
      <c r="O44" s="556"/>
      <c r="P44" s="558"/>
      <c r="Q44" s="556"/>
    </row>
    <row r="45" spans="1:17" ht="23.25" x14ac:dyDescent="0.25">
      <c r="A45" s="221"/>
      <c r="B45" s="88"/>
      <c r="C45" s="220"/>
      <c r="D45" s="536"/>
      <c r="E45" s="560"/>
      <c r="F45" s="553"/>
      <c r="G45" s="554"/>
      <c r="H45" s="554"/>
      <c r="I45" s="555"/>
      <c r="J45" s="674" t="e">
        <f t="shared" si="1"/>
        <v>#DIV/0!</v>
      </c>
      <c r="K45" s="555"/>
      <c r="L45" s="556"/>
      <c r="M45" s="556"/>
      <c r="N45" s="557"/>
      <c r="O45" s="556"/>
      <c r="P45" s="558"/>
      <c r="Q45" s="556"/>
    </row>
    <row r="46" spans="1:17" x14ac:dyDescent="0.25">
      <c r="E46" s="567"/>
      <c r="F46" s="568"/>
      <c r="G46" s="567"/>
      <c r="H46" s="567"/>
      <c r="I46" s="567"/>
      <c r="J46" s="674" t="e">
        <f t="shared" si="1"/>
        <v>#DIV/0!</v>
      </c>
      <c r="K46" s="564"/>
      <c r="L46" s="567"/>
      <c r="M46" s="567"/>
      <c r="N46" s="569"/>
      <c r="O46" s="567"/>
      <c r="P46" s="567"/>
      <c r="Q46" s="567"/>
    </row>
    <row r="47" spans="1:17" x14ac:dyDescent="0.25">
      <c r="E47" s="567"/>
      <c r="F47" s="568"/>
      <c r="G47" s="567"/>
      <c r="H47" s="567"/>
      <c r="I47" s="567"/>
      <c r="J47" s="674" t="e">
        <f t="shared" si="1"/>
        <v>#DIV/0!</v>
      </c>
      <c r="K47" s="564"/>
      <c r="L47" s="567"/>
      <c r="M47" s="567"/>
      <c r="N47" s="569"/>
      <c r="O47" s="567"/>
      <c r="P47" s="567"/>
      <c r="Q47" s="567"/>
    </row>
    <row r="48" spans="1:17" x14ac:dyDescent="0.25">
      <c r="E48" s="567"/>
      <c r="F48" s="568"/>
      <c r="G48" s="567"/>
      <c r="H48" s="567"/>
      <c r="I48" s="567"/>
      <c r="J48" s="674" t="e">
        <f t="shared" si="1"/>
        <v>#DIV/0!</v>
      </c>
      <c r="K48" s="564"/>
      <c r="L48" s="567"/>
      <c r="M48" s="567"/>
      <c r="N48" s="569"/>
      <c r="O48" s="567"/>
      <c r="P48" s="567"/>
      <c r="Q48" s="567"/>
    </row>
    <row r="49" spans="5:17" s="388" customFormat="1" x14ac:dyDescent="0.25">
      <c r="E49" s="567"/>
      <c r="F49" s="570"/>
      <c r="G49" s="567"/>
      <c r="H49" s="567"/>
      <c r="I49" s="567"/>
      <c r="J49" s="674" t="e">
        <f t="shared" si="1"/>
        <v>#DIV/0!</v>
      </c>
      <c r="K49" s="564"/>
      <c r="L49" s="567"/>
      <c r="M49" s="567"/>
      <c r="N49" s="569"/>
      <c r="O49" s="567"/>
      <c r="P49" s="567"/>
      <c r="Q49" s="567"/>
    </row>
    <row r="50" spans="5:17" s="388" customFormat="1" x14ac:dyDescent="0.25">
      <c r="E50" s="567"/>
      <c r="F50" s="570"/>
      <c r="G50" s="567"/>
      <c r="H50" s="567"/>
      <c r="I50" s="567"/>
      <c r="J50" s="674" t="e">
        <f t="shared" si="1"/>
        <v>#DIV/0!</v>
      </c>
      <c r="K50" s="564"/>
      <c r="L50" s="567"/>
      <c r="M50" s="567"/>
      <c r="N50" s="569"/>
      <c r="O50" s="567"/>
      <c r="P50" s="567"/>
      <c r="Q50" s="567"/>
    </row>
    <row r="51" spans="5:17" s="388" customFormat="1" x14ac:dyDescent="0.25">
      <c r="E51" s="567"/>
      <c r="F51" s="570"/>
      <c r="G51" s="567"/>
      <c r="H51" s="567"/>
      <c r="I51" s="567"/>
      <c r="J51" s="674" t="e">
        <f t="shared" si="1"/>
        <v>#DIV/0!</v>
      </c>
      <c r="K51" s="564"/>
      <c r="L51" s="567"/>
      <c r="M51" s="567"/>
      <c r="N51" s="569"/>
      <c r="O51" s="567"/>
      <c r="P51" s="567"/>
      <c r="Q51" s="567"/>
    </row>
    <row r="52" spans="5:17" s="388" customFormat="1" x14ac:dyDescent="0.25">
      <c r="E52" s="567"/>
      <c r="F52" s="570"/>
      <c r="G52" s="567"/>
      <c r="H52" s="567"/>
      <c r="I52" s="567"/>
      <c r="J52" s="674" t="e">
        <f t="shared" si="1"/>
        <v>#DIV/0!</v>
      </c>
      <c r="K52" s="564"/>
      <c r="L52" s="567"/>
      <c r="M52" s="567"/>
      <c r="N52" s="569"/>
      <c r="O52" s="567"/>
      <c r="P52" s="567"/>
      <c r="Q52" s="567"/>
    </row>
    <row r="53" spans="5:17" s="388" customFormat="1" x14ac:dyDescent="0.25">
      <c r="E53" s="567"/>
      <c r="F53" s="570"/>
      <c r="G53" s="567"/>
      <c r="H53" s="567"/>
      <c r="I53" s="567"/>
      <c r="J53" s="674" t="e">
        <f t="shared" si="1"/>
        <v>#DIV/0!</v>
      </c>
      <c r="K53" s="564"/>
      <c r="L53" s="567"/>
      <c r="M53" s="567"/>
      <c r="N53" s="569"/>
      <c r="O53" s="567"/>
      <c r="P53" s="567"/>
      <c r="Q53" s="567"/>
    </row>
    <row r="54" spans="5:17" s="388" customFormat="1" x14ac:dyDescent="0.25">
      <c r="E54" s="567"/>
      <c r="F54" s="570"/>
      <c r="G54" s="567"/>
      <c r="H54" s="567"/>
      <c r="I54" s="567"/>
      <c r="J54" s="674" t="e">
        <f t="shared" si="1"/>
        <v>#DIV/0!</v>
      </c>
      <c r="K54" s="564"/>
      <c r="L54" s="567"/>
      <c r="M54" s="567"/>
      <c r="N54" s="569"/>
      <c r="O54" s="567"/>
      <c r="P54" s="567"/>
      <c r="Q54" s="567"/>
    </row>
    <row r="55" spans="5:17" s="388" customFormat="1" x14ac:dyDescent="0.25">
      <c r="E55" s="567"/>
      <c r="F55" s="570"/>
      <c r="G55" s="567"/>
      <c r="H55" s="567"/>
      <c r="I55" s="567"/>
      <c r="J55" s="674" t="e">
        <f t="shared" si="1"/>
        <v>#DIV/0!</v>
      </c>
      <c r="K55" s="564"/>
      <c r="L55" s="567"/>
      <c r="M55" s="567"/>
      <c r="N55" s="569"/>
      <c r="O55" s="567"/>
      <c r="P55" s="567"/>
      <c r="Q55" s="567"/>
    </row>
    <row r="56" spans="5:17" s="388" customFormat="1" x14ac:dyDescent="0.25">
      <c r="E56" s="567"/>
      <c r="F56" s="570"/>
      <c r="G56" s="567"/>
      <c r="H56" s="567"/>
      <c r="I56" s="567"/>
      <c r="J56" s="674" t="e">
        <f t="shared" si="1"/>
        <v>#DIV/0!</v>
      </c>
      <c r="K56" s="564"/>
      <c r="L56" s="567"/>
      <c r="M56" s="567"/>
      <c r="N56" s="569"/>
      <c r="O56" s="567"/>
      <c r="P56" s="567"/>
      <c r="Q56" s="567"/>
    </row>
    <row r="57" spans="5:17" s="388" customFormat="1" x14ac:dyDescent="0.25">
      <c r="E57" s="567"/>
      <c r="F57" s="570"/>
      <c r="G57" s="567"/>
      <c r="H57" s="567"/>
      <c r="I57" s="567"/>
      <c r="J57" s="674" t="e">
        <f t="shared" si="1"/>
        <v>#DIV/0!</v>
      </c>
      <c r="K57" s="564"/>
      <c r="L57" s="567"/>
      <c r="M57" s="567"/>
      <c r="N57" s="569"/>
      <c r="O57" s="567"/>
      <c r="P57" s="567"/>
      <c r="Q57" s="567"/>
    </row>
    <row r="58" spans="5:17" s="388" customFormat="1" x14ac:dyDescent="0.25">
      <c r="E58" s="567"/>
      <c r="F58" s="570"/>
      <c r="G58" s="567"/>
      <c r="H58" s="567"/>
      <c r="I58" s="567"/>
      <c r="J58" s="674" t="e">
        <f t="shared" si="1"/>
        <v>#DIV/0!</v>
      </c>
      <c r="K58" s="564"/>
      <c r="L58" s="567"/>
      <c r="M58" s="567"/>
      <c r="N58" s="569"/>
      <c r="O58" s="567"/>
      <c r="P58" s="567"/>
      <c r="Q58" s="567"/>
    </row>
    <row r="59" spans="5:17" s="388" customFormat="1" x14ac:dyDescent="0.25">
      <c r="E59" s="567"/>
      <c r="F59" s="570"/>
      <c r="G59" s="567"/>
      <c r="H59" s="567"/>
      <c r="I59" s="567"/>
      <c r="J59" s="674" t="e">
        <f t="shared" si="1"/>
        <v>#DIV/0!</v>
      </c>
      <c r="K59" s="564"/>
      <c r="L59" s="567"/>
      <c r="M59" s="567"/>
      <c r="N59" s="569"/>
      <c r="O59" s="567"/>
      <c r="P59" s="567"/>
      <c r="Q59" s="567"/>
    </row>
    <row r="60" spans="5:17" s="388" customFormat="1" x14ac:dyDescent="0.25">
      <c r="E60" s="567"/>
      <c r="F60" s="570"/>
      <c r="G60" s="567"/>
      <c r="H60" s="567"/>
      <c r="I60" s="567"/>
      <c r="J60" s="674" t="e">
        <f t="shared" si="1"/>
        <v>#DIV/0!</v>
      </c>
      <c r="K60" s="564"/>
      <c r="L60" s="567"/>
      <c r="M60" s="567"/>
      <c r="N60" s="569"/>
      <c r="O60" s="567"/>
      <c r="P60" s="567"/>
      <c r="Q60" s="567"/>
    </row>
    <row r="61" spans="5:17" s="388" customFormat="1" x14ac:dyDescent="0.25">
      <c r="E61" s="567"/>
      <c r="F61" s="570"/>
      <c r="G61" s="567"/>
      <c r="H61" s="567"/>
      <c r="I61" s="567"/>
      <c r="J61" s="674" t="e">
        <f t="shared" si="1"/>
        <v>#DIV/0!</v>
      </c>
      <c r="K61" s="564"/>
      <c r="L61" s="567"/>
      <c r="M61" s="567"/>
      <c r="N61" s="569"/>
      <c r="O61" s="567"/>
      <c r="P61" s="567"/>
      <c r="Q61" s="567"/>
    </row>
    <row r="62" spans="5:17" s="388" customFormat="1" x14ac:dyDescent="0.25">
      <c r="E62" s="567"/>
      <c r="F62" s="570"/>
      <c r="G62" s="567"/>
      <c r="H62" s="567"/>
      <c r="I62" s="567"/>
      <c r="J62" s="674" t="e">
        <f t="shared" si="1"/>
        <v>#DIV/0!</v>
      </c>
      <c r="K62" s="564"/>
      <c r="L62" s="567"/>
      <c r="M62" s="567"/>
      <c r="N62" s="569"/>
      <c r="O62" s="567"/>
      <c r="P62" s="567"/>
      <c r="Q62" s="567"/>
    </row>
    <row r="63" spans="5:17" s="388" customFormat="1" x14ac:dyDescent="0.25">
      <c r="E63" s="567"/>
      <c r="F63" s="570"/>
      <c r="G63" s="567"/>
      <c r="H63" s="567"/>
      <c r="I63" s="567"/>
      <c r="J63" s="674" t="e">
        <f t="shared" si="1"/>
        <v>#DIV/0!</v>
      </c>
      <c r="K63" s="564"/>
      <c r="L63" s="567"/>
      <c r="M63" s="567"/>
      <c r="N63" s="569"/>
      <c r="O63" s="567"/>
      <c r="P63" s="567"/>
      <c r="Q63" s="567"/>
    </row>
    <row r="64" spans="5:17" s="388" customFormat="1" x14ac:dyDescent="0.25">
      <c r="E64" s="567"/>
      <c r="F64" s="570"/>
      <c r="G64" s="567"/>
      <c r="H64" s="567"/>
      <c r="I64" s="567"/>
      <c r="J64" s="674" t="e">
        <f t="shared" si="1"/>
        <v>#DIV/0!</v>
      </c>
      <c r="K64" s="564"/>
      <c r="L64" s="567"/>
      <c r="M64" s="567"/>
      <c r="N64" s="569"/>
      <c r="O64" s="567"/>
      <c r="P64" s="567"/>
      <c r="Q64" s="567"/>
    </row>
    <row r="65" spans="5:17" s="388" customFormat="1" x14ac:dyDescent="0.25">
      <c r="E65" s="567"/>
      <c r="F65" s="570"/>
      <c r="G65" s="567"/>
      <c r="H65" s="567"/>
      <c r="I65" s="567"/>
      <c r="J65" s="674" t="e">
        <f t="shared" si="1"/>
        <v>#DIV/0!</v>
      </c>
      <c r="K65" s="564"/>
      <c r="L65" s="567"/>
      <c r="M65" s="567"/>
      <c r="N65" s="569"/>
      <c r="O65" s="567"/>
      <c r="P65" s="567"/>
      <c r="Q65" s="567"/>
    </row>
    <row r="66" spans="5:17" s="388" customFormat="1" x14ac:dyDescent="0.25">
      <c r="E66" s="567"/>
      <c r="F66" s="570"/>
      <c r="G66" s="567"/>
      <c r="H66" s="567"/>
      <c r="I66" s="567"/>
      <c r="J66" s="674" t="e">
        <f t="shared" si="1"/>
        <v>#DIV/0!</v>
      </c>
      <c r="K66" s="564"/>
      <c r="L66" s="567"/>
      <c r="M66" s="567"/>
      <c r="N66" s="569"/>
      <c r="O66" s="567"/>
      <c r="P66" s="567"/>
      <c r="Q66" s="567"/>
    </row>
    <row r="67" spans="5:17" s="388" customFormat="1" x14ac:dyDescent="0.25">
      <c r="E67" s="567"/>
      <c r="F67" s="570"/>
      <c r="G67" s="567"/>
      <c r="H67" s="567"/>
      <c r="I67" s="567"/>
      <c r="J67" s="674" t="e">
        <f t="shared" si="1"/>
        <v>#DIV/0!</v>
      </c>
      <c r="K67" s="564"/>
      <c r="L67" s="567"/>
      <c r="M67" s="567"/>
      <c r="N67" s="569"/>
      <c r="O67" s="567"/>
      <c r="P67" s="567"/>
      <c r="Q67" s="567"/>
    </row>
    <row r="68" spans="5:17" s="388" customFormat="1" x14ac:dyDescent="0.25">
      <c r="E68" s="567"/>
      <c r="F68" s="570"/>
      <c r="G68" s="567"/>
      <c r="H68" s="567"/>
      <c r="I68" s="567"/>
      <c r="J68" s="674" t="e">
        <f t="shared" si="1"/>
        <v>#DIV/0!</v>
      </c>
      <c r="K68" s="564"/>
      <c r="L68" s="567"/>
      <c r="M68" s="567"/>
      <c r="N68" s="569"/>
      <c r="O68" s="567"/>
      <c r="P68" s="567"/>
      <c r="Q68" s="567"/>
    </row>
    <row r="69" spans="5:17" s="388" customFormat="1" x14ac:dyDescent="0.25">
      <c r="E69" s="567"/>
      <c r="F69" s="570"/>
      <c r="G69" s="567"/>
      <c r="H69" s="567"/>
      <c r="I69" s="567"/>
      <c r="J69" s="674" t="e">
        <f t="shared" ref="J69:J132" si="4">(I69*K69/100)/(H69*G69)*1000</f>
        <v>#DIV/0!</v>
      </c>
      <c r="K69" s="564"/>
      <c r="L69" s="567"/>
      <c r="M69" s="567"/>
      <c r="N69" s="569"/>
      <c r="O69" s="567"/>
      <c r="P69" s="567"/>
      <c r="Q69" s="567"/>
    </row>
    <row r="70" spans="5:17" s="388" customFormat="1" x14ac:dyDescent="0.25">
      <c r="E70" s="567"/>
      <c r="F70" s="570"/>
      <c r="G70" s="567"/>
      <c r="H70" s="567"/>
      <c r="I70" s="567"/>
      <c r="J70" s="674" t="e">
        <f t="shared" si="4"/>
        <v>#DIV/0!</v>
      </c>
      <c r="K70" s="564"/>
      <c r="L70" s="567"/>
      <c r="M70" s="567"/>
      <c r="N70" s="569"/>
      <c r="O70" s="567"/>
      <c r="P70" s="567"/>
      <c r="Q70" s="567"/>
    </row>
    <row r="71" spans="5:17" s="388" customFormat="1" x14ac:dyDescent="0.25">
      <c r="E71" s="567"/>
      <c r="F71" s="570"/>
      <c r="G71" s="567"/>
      <c r="H71" s="567"/>
      <c r="I71" s="567"/>
      <c r="J71" s="674" t="e">
        <f t="shared" si="4"/>
        <v>#DIV/0!</v>
      </c>
      <c r="K71" s="564"/>
      <c r="L71" s="567"/>
      <c r="M71" s="567"/>
      <c r="N71" s="569"/>
      <c r="O71" s="567"/>
      <c r="P71" s="567"/>
      <c r="Q71" s="567"/>
    </row>
    <row r="72" spans="5:17" s="388" customFormat="1" x14ac:dyDescent="0.25">
      <c r="E72" s="567"/>
      <c r="F72" s="570"/>
      <c r="G72" s="567"/>
      <c r="H72" s="567"/>
      <c r="I72" s="567"/>
      <c r="J72" s="674" t="e">
        <f t="shared" si="4"/>
        <v>#DIV/0!</v>
      </c>
      <c r="K72" s="564"/>
      <c r="L72" s="567"/>
      <c r="M72" s="567"/>
      <c r="N72" s="569"/>
      <c r="O72" s="567"/>
      <c r="P72" s="567"/>
      <c r="Q72" s="567"/>
    </row>
    <row r="73" spans="5:17" s="388" customFormat="1" x14ac:dyDescent="0.25">
      <c r="E73" s="567"/>
      <c r="F73" s="570"/>
      <c r="G73" s="567"/>
      <c r="H73" s="567"/>
      <c r="I73" s="567"/>
      <c r="J73" s="674" t="e">
        <f t="shared" si="4"/>
        <v>#DIV/0!</v>
      </c>
      <c r="K73" s="564"/>
      <c r="L73" s="567"/>
      <c r="M73" s="567"/>
      <c r="N73" s="569"/>
      <c r="O73" s="567"/>
      <c r="P73" s="567"/>
      <c r="Q73" s="567"/>
    </row>
    <row r="74" spans="5:17" s="388" customFormat="1" x14ac:dyDescent="0.25">
      <c r="E74" s="567"/>
      <c r="F74" s="570"/>
      <c r="G74" s="567"/>
      <c r="H74" s="567"/>
      <c r="I74" s="567"/>
      <c r="J74" s="674" t="e">
        <f t="shared" si="4"/>
        <v>#DIV/0!</v>
      </c>
      <c r="K74" s="564"/>
      <c r="L74" s="567"/>
      <c r="M74" s="567"/>
      <c r="N74" s="569"/>
      <c r="O74" s="567"/>
      <c r="P74" s="567"/>
      <c r="Q74" s="567"/>
    </row>
    <row r="75" spans="5:17" s="388" customFormat="1" x14ac:dyDescent="0.25">
      <c r="E75" s="567"/>
      <c r="F75" s="570"/>
      <c r="G75" s="567"/>
      <c r="H75" s="567"/>
      <c r="I75" s="567"/>
      <c r="J75" s="674" t="e">
        <f t="shared" si="4"/>
        <v>#DIV/0!</v>
      </c>
      <c r="K75" s="564"/>
      <c r="L75" s="567"/>
      <c r="M75" s="567"/>
      <c r="N75" s="569"/>
      <c r="O75" s="567"/>
      <c r="P75" s="567"/>
      <c r="Q75" s="567"/>
    </row>
    <row r="76" spans="5:17" s="388" customFormat="1" x14ac:dyDescent="0.25">
      <c r="E76" s="567"/>
      <c r="F76" s="570"/>
      <c r="G76" s="567"/>
      <c r="H76" s="567"/>
      <c r="I76" s="567"/>
      <c r="J76" s="674" t="e">
        <f t="shared" si="4"/>
        <v>#DIV/0!</v>
      </c>
      <c r="K76" s="564"/>
      <c r="L76" s="567"/>
      <c r="M76" s="567"/>
      <c r="N76" s="569"/>
      <c r="O76" s="567"/>
      <c r="P76" s="567"/>
      <c r="Q76" s="567"/>
    </row>
    <row r="77" spans="5:17" s="388" customFormat="1" x14ac:dyDescent="0.25">
      <c r="E77" s="567"/>
      <c r="F77" s="570"/>
      <c r="G77" s="567"/>
      <c r="H77" s="567"/>
      <c r="I77" s="567"/>
      <c r="J77" s="674" t="e">
        <f t="shared" si="4"/>
        <v>#DIV/0!</v>
      </c>
      <c r="K77" s="564"/>
      <c r="L77" s="567"/>
      <c r="M77" s="567"/>
      <c r="N77" s="569"/>
      <c r="O77" s="567"/>
      <c r="P77" s="567"/>
      <c r="Q77" s="567"/>
    </row>
    <row r="78" spans="5:17" s="388" customFormat="1" x14ac:dyDescent="0.25">
      <c r="E78" s="567"/>
      <c r="F78" s="570"/>
      <c r="G78" s="567"/>
      <c r="H78" s="567"/>
      <c r="I78" s="567"/>
      <c r="J78" s="674" t="e">
        <f t="shared" si="4"/>
        <v>#DIV/0!</v>
      </c>
      <c r="K78" s="564"/>
      <c r="L78" s="567"/>
      <c r="M78" s="567"/>
      <c r="N78" s="569"/>
      <c r="O78" s="567"/>
      <c r="P78" s="567"/>
      <c r="Q78" s="567"/>
    </row>
    <row r="79" spans="5:17" s="388" customFormat="1" x14ac:dyDescent="0.25">
      <c r="E79" s="567"/>
      <c r="F79" s="570"/>
      <c r="G79" s="567"/>
      <c r="H79" s="567"/>
      <c r="I79" s="567"/>
      <c r="J79" s="674" t="e">
        <f t="shared" si="4"/>
        <v>#DIV/0!</v>
      </c>
      <c r="K79" s="564"/>
      <c r="L79" s="567"/>
      <c r="M79" s="567"/>
      <c r="N79" s="569"/>
      <c r="O79" s="567"/>
      <c r="P79" s="567"/>
      <c r="Q79" s="567"/>
    </row>
    <row r="80" spans="5:17" s="388" customFormat="1" x14ac:dyDescent="0.25">
      <c r="E80" s="567"/>
      <c r="F80" s="570"/>
      <c r="G80" s="567"/>
      <c r="H80" s="567"/>
      <c r="I80" s="567"/>
      <c r="J80" s="674" t="e">
        <f t="shared" si="4"/>
        <v>#DIV/0!</v>
      </c>
      <c r="K80" s="564"/>
      <c r="L80" s="567"/>
      <c r="M80" s="567"/>
      <c r="N80" s="569"/>
      <c r="O80" s="567"/>
      <c r="P80" s="567"/>
      <c r="Q80" s="567"/>
    </row>
    <row r="81" spans="5:17" s="388" customFormat="1" x14ac:dyDescent="0.25">
      <c r="E81" s="567"/>
      <c r="F81" s="570"/>
      <c r="G81" s="567"/>
      <c r="H81" s="567"/>
      <c r="I81" s="567"/>
      <c r="J81" s="674" t="e">
        <f t="shared" si="4"/>
        <v>#DIV/0!</v>
      </c>
      <c r="K81" s="564"/>
      <c r="L81" s="567"/>
      <c r="M81" s="567"/>
      <c r="N81" s="569"/>
      <c r="O81" s="567"/>
      <c r="P81" s="567"/>
      <c r="Q81" s="567"/>
    </row>
    <row r="82" spans="5:17" s="388" customFormat="1" x14ac:dyDescent="0.25">
      <c r="E82" s="567"/>
      <c r="F82" s="570"/>
      <c r="G82" s="567"/>
      <c r="H82" s="567"/>
      <c r="I82" s="567"/>
      <c r="J82" s="674" t="e">
        <f t="shared" si="4"/>
        <v>#DIV/0!</v>
      </c>
      <c r="K82" s="564"/>
      <c r="L82" s="567"/>
      <c r="M82" s="567"/>
      <c r="N82" s="569"/>
      <c r="O82" s="567"/>
      <c r="P82" s="567"/>
      <c r="Q82" s="567"/>
    </row>
    <row r="83" spans="5:17" s="388" customFormat="1" x14ac:dyDescent="0.25">
      <c r="E83" s="567"/>
      <c r="F83" s="570"/>
      <c r="G83" s="567"/>
      <c r="H83" s="567"/>
      <c r="I83" s="567"/>
      <c r="J83" s="674" t="e">
        <f t="shared" si="4"/>
        <v>#DIV/0!</v>
      </c>
      <c r="K83" s="564"/>
      <c r="L83" s="567"/>
      <c r="M83" s="567"/>
      <c r="N83" s="569"/>
      <c r="O83" s="567"/>
      <c r="P83" s="567"/>
      <c r="Q83" s="567"/>
    </row>
    <row r="84" spans="5:17" s="388" customFormat="1" x14ac:dyDescent="0.25">
      <c r="E84" s="567"/>
      <c r="F84" s="570"/>
      <c r="G84" s="567"/>
      <c r="H84" s="567"/>
      <c r="I84" s="567"/>
      <c r="J84" s="674" t="e">
        <f t="shared" si="4"/>
        <v>#DIV/0!</v>
      </c>
      <c r="K84" s="564"/>
      <c r="L84" s="567"/>
      <c r="M84" s="567"/>
      <c r="N84" s="569"/>
      <c r="O84" s="567"/>
      <c r="P84" s="567"/>
      <c r="Q84" s="567"/>
    </row>
    <row r="85" spans="5:17" s="388" customFormat="1" x14ac:dyDescent="0.25">
      <c r="E85" s="567"/>
      <c r="F85" s="570"/>
      <c r="G85" s="567"/>
      <c r="H85" s="567"/>
      <c r="I85" s="567"/>
      <c r="J85" s="674" t="e">
        <f t="shared" si="4"/>
        <v>#DIV/0!</v>
      </c>
      <c r="K85" s="564"/>
      <c r="L85" s="567"/>
      <c r="M85" s="567"/>
      <c r="N85" s="569"/>
      <c r="O85" s="567"/>
      <c r="P85" s="567"/>
      <c r="Q85" s="567"/>
    </row>
    <row r="86" spans="5:17" s="388" customFormat="1" x14ac:dyDescent="0.25">
      <c r="E86" s="567"/>
      <c r="F86" s="570"/>
      <c r="G86" s="567"/>
      <c r="H86" s="567"/>
      <c r="I86" s="567"/>
      <c r="J86" s="674" t="e">
        <f t="shared" si="4"/>
        <v>#DIV/0!</v>
      </c>
      <c r="K86" s="564"/>
      <c r="L86" s="567"/>
      <c r="M86" s="567"/>
      <c r="N86" s="569"/>
      <c r="O86" s="567"/>
      <c r="P86" s="567"/>
      <c r="Q86" s="567"/>
    </row>
    <row r="87" spans="5:17" s="388" customFormat="1" x14ac:dyDescent="0.25">
      <c r="E87" s="567"/>
      <c r="F87" s="570"/>
      <c r="G87" s="567"/>
      <c r="H87" s="567"/>
      <c r="I87" s="567"/>
      <c r="J87" s="674" t="e">
        <f t="shared" si="4"/>
        <v>#DIV/0!</v>
      </c>
      <c r="K87" s="564"/>
      <c r="L87" s="567"/>
      <c r="M87" s="567"/>
      <c r="N87" s="569"/>
      <c r="O87" s="567"/>
      <c r="P87" s="567"/>
      <c r="Q87" s="567"/>
    </row>
    <row r="88" spans="5:17" s="388" customFormat="1" x14ac:dyDescent="0.25">
      <c r="E88" s="567"/>
      <c r="F88" s="570"/>
      <c r="G88" s="567"/>
      <c r="H88" s="567"/>
      <c r="I88" s="567"/>
      <c r="J88" s="674" t="e">
        <f t="shared" si="4"/>
        <v>#DIV/0!</v>
      </c>
      <c r="K88" s="564"/>
      <c r="L88" s="567"/>
      <c r="M88" s="567"/>
      <c r="N88" s="569"/>
      <c r="O88" s="567"/>
      <c r="P88" s="567"/>
      <c r="Q88" s="567"/>
    </row>
    <row r="89" spans="5:17" s="388" customFormat="1" x14ac:dyDescent="0.25">
      <c r="E89" s="567"/>
      <c r="F89" s="570"/>
      <c r="G89" s="567"/>
      <c r="H89" s="567"/>
      <c r="I89" s="567"/>
      <c r="J89" s="674" t="e">
        <f t="shared" si="4"/>
        <v>#DIV/0!</v>
      </c>
      <c r="K89" s="564"/>
      <c r="L89" s="567"/>
      <c r="M89" s="567"/>
      <c r="N89" s="569"/>
      <c r="O89" s="567"/>
      <c r="P89" s="567"/>
      <c r="Q89" s="567"/>
    </row>
    <row r="90" spans="5:17" s="388" customFormat="1" x14ac:dyDescent="0.25">
      <c r="E90" s="567"/>
      <c r="F90" s="570"/>
      <c r="G90" s="567"/>
      <c r="H90" s="567"/>
      <c r="I90" s="567"/>
      <c r="J90" s="674" t="e">
        <f t="shared" si="4"/>
        <v>#DIV/0!</v>
      </c>
      <c r="K90" s="564"/>
      <c r="L90" s="567"/>
      <c r="M90" s="567"/>
      <c r="N90" s="569"/>
      <c r="O90" s="567"/>
      <c r="P90" s="567"/>
      <c r="Q90" s="567"/>
    </row>
    <row r="91" spans="5:17" s="388" customFormat="1" x14ac:dyDescent="0.25">
      <c r="E91" s="567"/>
      <c r="F91" s="570"/>
      <c r="G91" s="567"/>
      <c r="H91" s="567"/>
      <c r="I91" s="567"/>
      <c r="J91" s="674" t="e">
        <f t="shared" si="4"/>
        <v>#DIV/0!</v>
      </c>
      <c r="K91" s="564"/>
      <c r="L91" s="567"/>
      <c r="M91" s="567"/>
      <c r="N91" s="569"/>
      <c r="O91" s="567"/>
      <c r="P91" s="567"/>
      <c r="Q91" s="567"/>
    </row>
    <row r="92" spans="5:17" s="388" customFormat="1" x14ac:dyDescent="0.25">
      <c r="E92" s="567"/>
      <c r="F92" s="570"/>
      <c r="G92" s="567"/>
      <c r="H92" s="567"/>
      <c r="I92" s="567"/>
      <c r="J92" s="674" t="e">
        <f t="shared" si="4"/>
        <v>#DIV/0!</v>
      </c>
      <c r="K92" s="564"/>
      <c r="L92" s="567"/>
      <c r="M92" s="567"/>
      <c r="N92" s="569"/>
      <c r="O92" s="567"/>
      <c r="P92" s="567"/>
      <c r="Q92" s="567"/>
    </row>
    <row r="93" spans="5:17" s="388" customFormat="1" x14ac:dyDescent="0.25">
      <c r="E93" s="567"/>
      <c r="F93" s="570"/>
      <c r="G93" s="567"/>
      <c r="H93" s="567"/>
      <c r="I93" s="567"/>
      <c r="J93" s="674" t="e">
        <f t="shared" si="4"/>
        <v>#DIV/0!</v>
      </c>
      <c r="K93" s="564"/>
      <c r="L93" s="567"/>
      <c r="M93" s="567"/>
      <c r="N93" s="569"/>
      <c r="O93" s="567"/>
      <c r="P93" s="567"/>
      <c r="Q93" s="567"/>
    </row>
    <row r="94" spans="5:17" s="388" customFormat="1" x14ac:dyDescent="0.25">
      <c r="E94" s="567"/>
      <c r="F94" s="570"/>
      <c r="G94" s="567"/>
      <c r="H94" s="567"/>
      <c r="I94" s="567"/>
      <c r="J94" s="674" t="e">
        <f t="shared" si="4"/>
        <v>#DIV/0!</v>
      </c>
      <c r="K94" s="564"/>
      <c r="L94" s="567"/>
      <c r="M94" s="567"/>
      <c r="N94" s="569"/>
      <c r="O94" s="567"/>
      <c r="P94" s="567"/>
      <c r="Q94" s="567"/>
    </row>
    <row r="95" spans="5:17" s="388" customFormat="1" x14ac:dyDescent="0.25">
      <c r="E95" s="567"/>
      <c r="F95" s="570"/>
      <c r="G95" s="567"/>
      <c r="H95" s="567"/>
      <c r="I95" s="567"/>
      <c r="J95" s="674" t="e">
        <f t="shared" si="4"/>
        <v>#DIV/0!</v>
      </c>
      <c r="K95" s="564"/>
      <c r="L95" s="567"/>
      <c r="M95" s="567"/>
      <c r="N95" s="569"/>
      <c r="O95" s="567"/>
      <c r="P95" s="567"/>
      <c r="Q95" s="567"/>
    </row>
    <row r="96" spans="5:17" s="388" customFormat="1" x14ac:dyDescent="0.25">
      <c r="E96" s="567"/>
      <c r="F96" s="570"/>
      <c r="G96" s="567"/>
      <c r="H96" s="567"/>
      <c r="I96" s="567"/>
      <c r="J96" s="674" t="e">
        <f t="shared" si="4"/>
        <v>#DIV/0!</v>
      </c>
      <c r="K96" s="564"/>
      <c r="L96" s="567"/>
      <c r="M96" s="567"/>
      <c r="N96" s="569"/>
      <c r="O96" s="567"/>
      <c r="P96" s="567"/>
      <c r="Q96" s="567"/>
    </row>
    <row r="97" spans="5:17" s="388" customFormat="1" x14ac:dyDescent="0.25">
      <c r="E97" s="567"/>
      <c r="F97" s="570"/>
      <c r="G97" s="567"/>
      <c r="H97" s="567"/>
      <c r="I97" s="567"/>
      <c r="J97" s="674" t="e">
        <f t="shared" si="4"/>
        <v>#DIV/0!</v>
      </c>
      <c r="K97" s="564"/>
      <c r="L97" s="567"/>
      <c r="M97" s="567"/>
      <c r="N97" s="569"/>
      <c r="O97" s="567"/>
      <c r="P97" s="567"/>
      <c r="Q97" s="567"/>
    </row>
    <row r="98" spans="5:17" s="388" customFormat="1" x14ac:dyDescent="0.25">
      <c r="E98" s="567"/>
      <c r="F98" s="570"/>
      <c r="G98" s="567"/>
      <c r="H98" s="567"/>
      <c r="I98" s="567"/>
      <c r="J98" s="674" t="e">
        <f t="shared" si="4"/>
        <v>#DIV/0!</v>
      </c>
      <c r="K98" s="564"/>
      <c r="L98" s="567"/>
      <c r="M98" s="567"/>
      <c r="N98" s="569"/>
      <c r="O98" s="567"/>
      <c r="P98" s="567"/>
      <c r="Q98" s="567"/>
    </row>
    <row r="99" spans="5:17" s="388" customFormat="1" x14ac:dyDescent="0.25">
      <c r="E99" s="567"/>
      <c r="F99" s="570"/>
      <c r="G99" s="567"/>
      <c r="H99" s="567"/>
      <c r="I99" s="567"/>
      <c r="J99" s="674" t="e">
        <f t="shared" si="4"/>
        <v>#DIV/0!</v>
      </c>
      <c r="K99" s="564"/>
      <c r="L99" s="567"/>
      <c r="M99" s="567"/>
      <c r="N99" s="569"/>
      <c r="O99" s="567"/>
      <c r="P99" s="567"/>
      <c r="Q99" s="567"/>
    </row>
    <row r="100" spans="5:17" s="388" customFormat="1" x14ac:dyDescent="0.25">
      <c r="E100" s="567"/>
      <c r="F100" s="570"/>
      <c r="G100" s="567"/>
      <c r="H100" s="567"/>
      <c r="I100" s="567"/>
      <c r="J100" s="674" t="e">
        <f t="shared" si="4"/>
        <v>#DIV/0!</v>
      </c>
      <c r="K100" s="564"/>
      <c r="L100" s="567"/>
      <c r="M100" s="567"/>
      <c r="N100" s="569"/>
      <c r="O100" s="567"/>
      <c r="P100" s="567"/>
      <c r="Q100" s="567"/>
    </row>
    <row r="101" spans="5:17" s="388" customFormat="1" x14ac:dyDescent="0.25">
      <c r="E101" s="567"/>
      <c r="F101" s="570"/>
      <c r="G101" s="567"/>
      <c r="H101" s="567"/>
      <c r="I101" s="567"/>
      <c r="J101" s="674" t="e">
        <f t="shared" si="4"/>
        <v>#DIV/0!</v>
      </c>
      <c r="K101" s="564"/>
      <c r="L101" s="567"/>
      <c r="M101" s="567"/>
      <c r="N101" s="569"/>
      <c r="O101" s="567"/>
      <c r="P101" s="567"/>
      <c r="Q101" s="567"/>
    </row>
    <row r="102" spans="5:17" s="388" customFormat="1" x14ac:dyDescent="0.25">
      <c r="E102" s="567"/>
      <c r="F102" s="570"/>
      <c r="G102" s="567"/>
      <c r="H102" s="567"/>
      <c r="I102" s="567"/>
      <c r="J102" s="674" t="e">
        <f t="shared" si="4"/>
        <v>#DIV/0!</v>
      </c>
      <c r="K102" s="564"/>
      <c r="L102" s="567"/>
      <c r="M102" s="567"/>
      <c r="N102" s="569"/>
      <c r="O102" s="567"/>
      <c r="P102" s="567"/>
      <c r="Q102" s="567"/>
    </row>
    <row r="103" spans="5:17" s="388" customFormat="1" x14ac:dyDescent="0.25">
      <c r="E103" s="567"/>
      <c r="F103" s="570"/>
      <c r="G103" s="567"/>
      <c r="H103" s="567"/>
      <c r="I103" s="567"/>
      <c r="J103" s="674" t="e">
        <f t="shared" si="4"/>
        <v>#DIV/0!</v>
      </c>
      <c r="K103" s="564"/>
      <c r="L103" s="567"/>
      <c r="M103" s="567"/>
      <c r="N103" s="569"/>
      <c r="O103" s="567"/>
      <c r="P103" s="567"/>
      <c r="Q103" s="567"/>
    </row>
    <row r="104" spans="5:17" s="388" customFormat="1" x14ac:dyDescent="0.25">
      <c r="E104" s="567"/>
      <c r="F104" s="570"/>
      <c r="G104" s="567"/>
      <c r="H104" s="567"/>
      <c r="I104" s="567"/>
      <c r="J104" s="674" t="e">
        <f t="shared" si="4"/>
        <v>#DIV/0!</v>
      </c>
      <c r="K104" s="564"/>
      <c r="L104" s="567"/>
      <c r="M104" s="567"/>
      <c r="N104" s="569"/>
      <c r="O104" s="567"/>
      <c r="P104" s="567"/>
      <c r="Q104" s="567"/>
    </row>
    <row r="105" spans="5:17" s="388" customFormat="1" x14ac:dyDescent="0.25">
      <c r="E105" s="567"/>
      <c r="F105" s="570"/>
      <c r="G105" s="567"/>
      <c r="H105" s="567"/>
      <c r="I105" s="567"/>
      <c r="J105" s="674" t="e">
        <f t="shared" si="4"/>
        <v>#DIV/0!</v>
      </c>
      <c r="K105" s="564"/>
      <c r="L105" s="567"/>
      <c r="M105" s="567"/>
      <c r="N105" s="569"/>
      <c r="O105" s="567"/>
      <c r="P105" s="567"/>
      <c r="Q105" s="567"/>
    </row>
    <row r="106" spans="5:17" s="388" customFormat="1" x14ac:dyDescent="0.25">
      <c r="E106" s="567"/>
      <c r="F106" s="570"/>
      <c r="G106" s="567"/>
      <c r="H106" s="567"/>
      <c r="I106" s="567"/>
      <c r="J106" s="674" t="e">
        <f t="shared" si="4"/>
        <v>#DIV/0!</v>
      </c>
      <c r="K106" s="564"/>
      <c r="L106" s="567"/>
      <c r="M106" s="567"/>
      <c r="N106" s="569"/>
      <c r="O106" s="567"/>
      <c r="P106" s="567"/>
      <c r="Q106" s="567"/>
    </row>
    <row r="107" spans="5:17" s="388" customFormat="1" x14ac:dyDescent="0.25">
      <c r="E107" s="567"/>
      <c r="F107" s="570"/>
      <c r="G107" s="567"/>
      <c r="H107" s="567"/>
      <c r="I107" s="567"/>
      <c r="J107" s="674" t="e">
        <f t="shared" si="4"/>
        <v>#DIV/0!</v>
      </c>
      <c r="K107" s="564"/>
      <c r="L107" s="567"/>
      <c r="M107" s="567"/>
      <c r="N107" s="569"/>
      <c r="O107" s="567"/>
      <c r="P107" s="567"/>
      <c r="Q107" s="567"/>
    </row>
    <row r="108" spans="5:17" s="388" customFormat="1" x14ac:dyDescent="0.25">
      <c r="E108" s="567"/>
      <c r="F108" s="570"/>
      <c r="G108" s="567"/>
      <c r="H108" s="567"/>
      <c r="I108" s="567"/>
      <c r="J108" s="674" t="e">
        <f t="shared" si="4"/>
        <v>#DIV/0!</v>
      </c>
      <c r="K108" s="564"/>
      <c r="L108" s="567"/>
      <c r="M108" s="567"/>
      <c r="N108" s="569"/>
      <c r="O108" s="567"/>
      <c r="P108" s="567"/>
      <c r="Q108" s="567"/>
    </row>
    <row r="109" spans="5:17" s="388" customFormat="1" x14ac:dyDescent="0.25">
      <c r="E109" s="567"/>
      <c r="F109" s="570"/>
      <c r="G109" s="567"/>
      <c r="H109" s="567"/>
      <c r="I109" s="567"/>
      <c r="J109" s="674" t="e">
        <f t="shared" si="4"/>
        <v>#DIV/0!</v>
      </c>
      <c r="K109" s="564"/>
      <c r="L109" s="567"/>
      <c r="M109" s="567"/>
      <c r="N109" s="569"/>
      <c r="O109" s="567"/>
      <c r="P109" s="567"/>
      <c r="Q109" s="567"/>
    </row>
    <row r="110" spans="5:17" s="388" customFormat="1" x14ac:dyDescent="0.25">
      <c r="E110" s="567"/>
      <c r="F110" s="570"/>
      <c r="G110" s="567"/>
      <c r="H110" s="567"/>
      <c r="I110" s="567"/>
      <c r="J110" s="674" t="e">
        <f t="shared" si="4"/>
        <v>#DIV/0!</v>
      </c>
      <c r="K110" s="564"/>
      <c r="L110" s="567"/>
      <c r="M110" s="567"/>
      <c r="N110" s="569"/>
      <c r="O110" s="567"/>
      <c r="P110" s="567"/>
      <c r="Q110" s="567"/>
    </row>
    <row r="111" spans="5:17" s="388" customFormat="1" x14ac:dyDescent="0.25">
      <c r="E111" s="567"/>
      <c r="F111" s="570"/>
      <c r="G111" s="567"/>
      <c r="H111" s="567"/>
      <c r="I111" s="567"/>
      <c r="J111" s="674" t="e">
        <f t="shared" si="4"/>
        <v>#DIV/0!</v>
      </c>
      <c r="K111" s="564"/>
      <c r="L111" s="567"/>
      <c r="M111" s="567"/>
      <c r="N111" s="569"/>
      <c r="O111" s="567"/>
      <c r="P111" s="567"/>
      <c r="Q111" s="567"/>
    </row>
    <row r="112" spans="5:17" s="388" customFormat="1" x14ac:dyDescent="0.25">
      <c r="E112" s="567"/>
      <c r="F112" s="570"/>
      <c r="G112" s="567"/>
      <c r="H112" s="567"/>
      <c r="I112" s="567"/>
      <c r="J112" s="674" t="e">
        <f t="shared" si="4"/>
        <v>#DIV/0!</v>
      </c>
      <c r="K112" s="564"/>
      <c r="L112" s="567"/>
      <c r="M112" s="567"/>
      <c r="N112" s="569"/>
      <c r="O112" s="567"/>
      <c r="P112" s="567"/>
      <c r="Q112" s="567"/>
    </row>
    <row r="113" spans="5:17" s="388" customFormat="1" x14ac:dyDescent="0.25">
      <c r="E113" s="567"/>
      <c r="F113" s="570"/>
      <c r="G113" s="567"/>
      <c r="H113" s="567"/>
      <c r="I113" s="567"/>
      <c r="J113" s="674" t="e">
        <f t="shared" si="4"/>
        <v>#DIV/0!</v>
      </c>
      <c r="K113" s="564"/>
      <c r="L113" s="567"/>
      <c r="M113" s="567"/>
      <c r="N113" s="569"/>
      <c r="O113" s="567"/>
      <c r="P113" s="567"/>
      <c r="Q113" s="567"/>
    </row>
    <row r="114" spans="5:17" s="388" customFormat="1" x14ac:dyDescent="0.25">
      <c r="E114" s="567"/>
      <c r="F114" s="570"/>
      <c r="G114" s="567"/>
      <c r="H114" s="567"/>
      <c r="I114" s="567"/>
      <c r="J114" s="674" t="e">
        <f t="shared" si="4"/>
        <v>#DIV/0!</v>
      </c>
      <c r="K114" s="564"/>
      <c r="L114" s="567"/>
      <c r="M114" s="567"/>
      <c r="N114" s="569"/>
      <c r="O114" s="567"/>
      <c r="P114" s="567"/>
      <c r="Q114" s="567"/>
    </row>
    <row r="115" spans="5:17" s="388" customFormat="1" x14ac:dyDescent="0.25">
      <c r="E115" s="567"/>
      <c r="F115" s="570"/>
      <c r="G115" s="567"/>
      <c r="H115" s="567"/>
      <c r="I115" s="567"/>
      <c r="J115" s="674" t="e">
        <f t="shared" si="4"/>
        <v>#DIV/0!</v>
      </c>
      <c r="K115" s="564"/>
      <c r="L115" s="567"/>
      <c r="M115" s="567"/>
      <c r="N115" s="569"/>
      <c r="O115" s="567"/>
      <c r="P115" s="567"/>
      <c r="Q115" s="567"/>
    </row>
    <row r="116" spans="5:17" s="388" customFormat="1" x14ac:dyDescent="0.25">
      <c r="E116" s="567"/>
      <c r="F116" s="570"/>
      <c r="G116" s="567"/>
      <c r="H116" s="567"/>
      <c r="I116" s="567"/>
      <c r="J116" s="674" t="e">
        <f t="shared" si="4"/>
        <v>#DIV/0!</v>
      </c>
      <c r="K116" s="564"/>
      <c r="L116" s="567"/>
      <c r="M116" s="567"/>
      <c r="N116" s="569"/>
      <c r="O116" s="567"/>
      <c r="P116" s="567"/>
      <c r="Q116" s="567"/>
    </row>
    <row r="117" spans="5:17" s="388" customFormat="1" x14ac:dyDescent="0.25">
      <c r="E117" s="567"/>
      <c r="F117" s="570"/>
      <c r="G117" s="567"/>
      <c r="H117" s="567"/>
      <c r="I117" s="567"/>
      <c r="J117" s="674" t="e">
        <f t="shared" si="4"/>
        <v>#DIV/0!</v>
      </c>
      <c r="K117" s="564"/>
      <c r="L117" s="567"/>
      <c r="M117" s="567"/>
      <c r="N117" s="569"/>
      <c r="O117" s="567"/>
      <c r="P117" s="567"/>
      <c r="Q117" s="567"/>
    </row>
    <row r="118" spans="5:17" s="388" customFormat="1" x14ac:dyDescent="0.25">
      <c r="E118" s="567"/>
      <c r="F118" s="570"/>
      <c r="G118" s="567"/>
      <c r="H118" s="567"/>
      <c r="I118" s="567"/>
      <c r="J118" s="674" t="e">
        <f t="shared" si="4"/>
        <v>#DIV/0!</v>
      </c>
      <c r="K118" s="564"/>
      <c r="L118" s="567"/>
      <c r="M118" s="567"/>
      <c r="N118" s="569"/>
      <c r="O118" s="567"/>
      <c r="P118" s="567"/>
      <c r="Q118" s="567"/>
    </row>
    <row r="119" spans="5:17" s="388" customFormat="1" x14ac:dyDescent="0.25">
      <c r="E119" s="567"/>
      <c r="F119" s="570"/>
      <c r="G119" s="567"/>
      <c r="H119" s="567"/>
      <c r="I119" s="567"/>
      <c r="J119" s="674" t="e">
        <f t="shared" si="4"/>
        <v>#DIV/0!</v>
      </c>
      <c r="K119" s="564"/>
      <c r="L119" s="567"/>
      <c r="M119" s="567"/>
      <c r="N119" s="569"/>
      <c r="O119" s="567"/>
      <c r="P119" s="567"/>
      <c r="Q119" s="567"/>
    </row>
    <row r="120" spans="5:17" s="388" customFormat="1" x14ac:dyDescent="0.25">
      <c r="E120" s="567"/>
      <c r="F120" s="570"/>
      <c r="G120" s="567"/>
      <c r="H120" s="567"/>
      <c r="I120" s="567"/>
      <c r="J120" s="674" t="e">
        <f t="shared" si="4"/>
        <v>#DIV/0!</v>
      </c>
      <c r="K120" s="564"/>
      <c r="L120" s="567"/>
      <c r="M120" s="567"/>
      <c r="N120" s="569"/>
      <c r="O120" s="567"/>
      <c r="P120" s="567"/>
      <c r="Q120" s="567"/>
    </row>
    <row r="121" spans="5:17" s="388" customFormat="1" x14ac:dyDescent="0.25">
      <c r="E121" s="567"/>
      <c r="F121" s="570"/>
      <c r="G121" s="567"/>
      <c r="H121" s="567"/>
      <c r="I121" s="567"/>
      <c r="J121" s="674" t="e">
        <f t="shared" si="4"/>
        <v>#DIV/0!</v>
      </c>
      <c r="K121" s="564"/>
      <c r="L121" s="567"/>
      <c r="M121" s="567"/>
      <c r="N121" s="569"/>
      <c r="O121" s="567"/>
      <c r="P121" s="567"/>
      <c r="Q121" s="567"/>
    </row>
    <row r="122" spans="5:17" s="388" customFormat="1" x14ac:dyDescent="0.25">
      <c r="E122" s="567"/>
      <c r="F122" s="570"/>
      <c r="G122" s="567"/>
      <c r="H122" s="567"/>
      <c r="I122" s="567"/>
      <c r="J122" s="674" t="e">
        <f t="shared" si="4"/>
        <v>#DIV/0!</v>
      </c>
      <c r="K122" s="564"/>
      <c r="L122" s="567"/>
      <c r="M122" s="567"/>
      <c r="N122" s="569"/>
      <c r="O122" s="567"/>
      <c r="P122" s="567"/>
      <c r="Q122" s="567"/>
    </row>
    <row r="123" spans="5:17" s="388" customFormat="1" x14ac:dyDescent="0.25">
      <c r="E123" s="567"/>
      <c r="F123" s="570"/>
      <c r="G123" s="567"/>
      <c r="H123" s="567"/>
      <c r="I123" s="567"/>
      <c r="J123" s="674" t="e">
        <f t="shared" si="4"/>
        <v>#DIV/0!</v>
      </c>
      <c r="K123" s="564"/>
      <c r="L123" s="567"/>
      <c r="M123" s="567"/>
      <c r="N123" s="569"/>
      <c r="O123" s="567"/>
      <c r="P123" s="567"/>
      <c r="Q123" s="567"/>
    </row>
    <row r="124" spans="5:17" s="388" customFormat="1" x14ac:dyDescent="0.25">
      <c r="E124" s="567"/>
      <c r="F124" s="570"/>
      <c r="G124" s="567"/>
      <c r="H124" s="567"/>
      <c r="I124" s="567"/>
      <c r="J124" s="674" t="e">
        <f t="shared" si="4"/>
        <v>#DIV/0!</v>
      </c>
      <c r="K124" s="564"/>
      <c r="L124" s="567"/>
      <c r="M124" s="567"/>
      <c r="N124" s="569"/>
      <c r="O124" s="567"/>
      <c r="P124" s="567"/>
      <c r="Q124" s="567"/>
    </row>
    <row r="125" spans="5:17" s="388" customFormat="1" x14ac:dyDescent="0.25">
      <c r="E125" s="567"/>
      <c r="F125" s="570"/>
      <c r="G125" s="567"/>
      <c r="H125" s="567"/>
      <c r="I125" s="567"/>
      <c r="J125" s="674" t="e">
        <f t="shared" si="4"/>
        <v>#DIV/0!</v>
      </c>
      <c r="K125" s="564"/>
      <c r="L125" s="567"/>
      <c r="M125" s="567"/>
      <c r="N125" s="569"/>
      <c r="O125" s="567"/>
      <c r="P125" s="567"/>
      <c r="Q125" s="567"/>
    </row>
    <row r="126" spans="5:17" s="388" customFormat="1" x14ac:dyDescent="0.25">
      <c r="E126" s="567"/>
      <c r="F126" s="570"/>
      <c r="G126" s="567"/>
      <c r="H126" s="567"/>
      <c r="I126" s="567"/>
      <c r="J126" s="674" t="e">
        <f t="shared" si="4"/>
        <v>#DIV/0!</v>
      </c>
      <c r="K126" s="564"/>
      <c r="L126" s="567"/>
      <c r="M126" s="567"/>
      <c r="N126" s="569"/>
      <c r="O126" s="567"/>
      <c r="P126" s="567"/>
      <c r="Q126" s="567"/>
    </row>
    <row r="127" spans="5:17" s="388" customFormat="1" x14ac:dyDescent="0.25">
      <c r="E127" s="567"/>
      <c r="F127" s="570"/>
      <c r="G127" s="567"/>
      <c r="H127" s="567"/>
      <c r="I127" s="567"/>
      <c r="J127" s="674" t="e">
        <f t="shared" si="4"/>
        <v>#DIV/0!</v>
      </c>
      <c r="K127" s="564"/>
      <c r="L127" s="567"/>
      <c r="M127" s="567"/>
      <c r="N127" s="569"/>
      <c r="O127" s="567"/>
      <c r="P127" s="567"/>
      <c r="Q127" s="567"/>
    </row>
    <row r="128" spans="5:17" s="388" customFormat="1" x14ac:dyDescent="0.25">
      <c r="E128" s="567"/>
      <c r="F128" s="570"/>
      <c r="G128" s="567"/>
      <c r="H128" s="567"/>
      <c r="I128" s="567"/>
      <c r="J128" s="674" t="e">
        <f t="shared" si="4"/>
        <v>#DIV/0!</v>
      </c>
      <c r="K128" s="564"/>
      <c r="L128" s="567"/>
      <c r="M128" s="567"/>
      <c r="N128" s="569"/>
      <c r="O128" s="567"/>
      <c r="P128" s="567"/>
      <c r="Q128" s="567"/>
    </row>
    <row r="129" spans="5:17" s="388" customFormat="1" x14ac:dyDescent="0.25">
      <c r="E129" s="567"/>
      <c r="F129" s="570"/>
      <c r="G129" s="567"/>
      <c r="H129" s="567"/>
      <c r="I129" s="567"/>
      <c r="J129" s="674" t="e">
        <f t="shared" si="4"/>
        <v>#DIV/0!</v>
      </c>
      <c r="K129" s="564"/>
      <c r="L129" s="567"/>
      <c r="M129" s="567"/>
      <c r="N129" s="569"/>
      <c r="O129" s="567"/>
      <c r="P129" s="567"/>
      <c r="Q129" s="567"/>
    </row>
    <row r="130" spans="5:17" s="388" customFormat="1" x14ac:dyDescent="0.25">
      <c r="E130" s="567"/>
      <c r="F130" s="570"/>
      <c r="G130" s="567"/>
      <c r="H130" s="567"/>
      <c r="I130" s="567"/>
      <c r="J130" s="674" t="e">
        <f t="shared" si="4"/>
        <v>#DIV/0!</v>
      </c>
      <c r="K130" s="564"/>
      <c r="L130" s="567"/>
      <c r="M130" s="567"/>
      <c r="N130" s="569"/>
      <c r="O130" s="567"/>
      <c r="P130" s="567"/>
      <c r="Q130" s="567"/>
    </row>
    <row r="131" spans="5:17" s="388" customFormat="1" x14ac:dyDescent="0.25">
      <c r="E131" s="567"/>
      <c r="F131" s="570"/>
      <c r="G131" s="567"/>
      <c r="H131" s="567"/>
      <c r="I131" s="567"/>
      <c r="J131" s="674" t="e">
        <f t="shared" si="4"/>
        <v>#DIV/0!</v>
      </c>
      <c r="K131" s="564"/>
      <c r="L131" s="567"/>
      <c r="M131" s="567"/>
      <c r="N131" s="569"/>
      <c r="O131" s="567"/>
      <c r="P131" s="567"/>
      <c r="Q131" s="567"/>
    </row>
    <row r="132" spans="5:17" s="388" customFormat="1" x14ac:dyDescent="0.25">
      <c r="E132" s="567"/>
      <c r="F132" s="570"/>
      <c r="G132" s="567"/>
      <c r="H132" s="567"/>
      <c r="I132" s="567"/>
      <c r="J132" s="674" t="e">
        <f t="shared" si="4"/>
        <v>#DIV/0!</v>
      </c>
      <c r="K132" s="564"/>
      <c r="L132" s="567"/>
      <c r="M132" s="567"/>
      <c r="N132" s="569"/>
      <c r="O132" s="567"/>
      <c r="P132" s="567"/>
      <c r="Q132" s="567"/>
    </row>
    <row r="133" spans="5:17" s="388" customFormat="1" x14ac:dyDescent="0.25">
      <c r="E133" s="567"/>
      <c r="F133" s="570"/>
      <c r="G133" s="567"/>
      <c r="H133" s="567"/>
      <c r="I133" s="567"/>
      <c r="J133" s="674" t="e">
        <f t="shared" ref="J133:J196" si="5">(I133*K133/100)/(H133*G133)*1000</f>
        <v>#DIV/0!</v>
      </c>
      <c r="K133" s="564"/>
      <c r="L133" s="567"/>
      <c r="M133" s="567"/>
      <c r="N133" s="569"/>
      <c r="O133" s="567"/>
      <c r="P133" s="567"/>
      <c r="Q133" s="567"/>
    </row>
    <row r="134" spans="5:17" s="388" customFormat="1" x14ac:dyDescent="0.25">
      <c r="E134" s="567"/>
      <c r="F134" s="570"/>
      <c r="G134" s="567"/>
      <c r="H134" s="567"/>
      <c r="I134" s="567"/>
      <c r="J134" s="674" t="e">
        <f t="shared" si="5"/>
        <v>#DIV/0!</v>
      </c>
      <c r="K134" s="564"/>
      <c r="L134" s="567"/>
      <c r="M134" s="567"/>
      <c r="N134" s="569"/>
      <c r="O134" s="567"/>
      <c r="P134" s="567"/>
      <c r="Q134" s="567"/>
    </row>
    <row r="135" spans="5:17" s="388" customFormat="1" x14ac:dyDescent="0.25">
      <c r="E135" s="567"/>
      <c r="F135" s="570"/>
      <c r="G135" s="567"/>
      <c r="H135" s="567"/>
      <c r="I135" s="567"/>
      <c r="J135" s="674" t="e">
        <f t="shared" si="5"/>
        <v>#DIV/0!</v>
      </c>
      <c r="K135" s="564"/>
      <c r="L135" s="567"/>
      <c r="M135" s="567"/>
      <c r="N135" s="569"/>
      <c r="O135" s="567"/>
      <c r="P135" s="567"/>
      <c r="Q135" s="567"/>
    </row>
    <row r="136" spans="5:17" s="388" customFormat="1" x14ac:dyDescent="0.25">
      <c r="E136" s="567"/>
      <c r="F136" s="570"/>
      <c r="G136" s="567"/>
      <c r="H136" s="567"/>
      <c r="I136" s="567"/>
      <c r="J136" s="674" t="e">
        <f t="shared" si="5"/>
        <v>#DIV/0!</v>
      </c>
      <c r="K136" s="564"/>
      <c r="L136" s="567"/>
      <c r="M136" s="567"/>
      <c r="N136" s="569"/>
      <c r="O136" s="567"/>
      <c r="P136" s="567"/>
      <c r="Q136" s="567"/>
    </row>
    <row r="137" spans="5:17" s="388" customFormat="1" x14ac:dyDescent="0.25">
      <c r="E137" s="567"/>
      <c r="F137" s="570"/>
      <c r="G137" s="567"/>
      <c r="H137" s="567"/>
      <c r="I137" s="567"/>
      <c r="J137" s="674" t="e">
        <f t="shared" si="5"/>
        <v>#DIV/0!</v>
      </c>
      <c r="K137" s="564"/>
      <c r="L137" s="567"/>
      <c r="M137" s="567"/>
      <c r="N137" s="569"/>
      <c r="O137" s="567"/>
      <c r="P137" s="567"/>
      <c r="Q137" s="567"/>
    </row>
    <row r="138" spans="5:17" s="388" customFormat="1" x14ac:dyDescent="0.25">
      <c r="E138" s="567"/>
      <c r="F138" s="570"/>
      <c r="G138" s="567"/>
      <c r="H138" s="567"/>
      <c r="I138" s="567"/>
      <c r="J138" s="674" t="e">
        <f t="shared" si="5"/>
        <v>#DIV/0!</v>
      </c>
      <c r="K138" s="564"/>
      <c r="L138" s="567"/>
      <c r="M138" s="567"/>
      <c r="N138" s="569"/>
      <c r="O138" s="567"/>
      <c r="P138" s="567"/>
      <c r="Q138" s="567"/>
    </row>
    <row r="139" spans="5:17" s="388" customFormat="1" x14ac:dyDescent="0.25">
      <c r="E139" s="567"/>
      <c r="F139" s="570"/>
      <c r="G139" s="567"/>
      <c r="H139" s="567"/>
      <c r="I139" s="567"/>
      <c r="J139" s="674" t="e">
        <f t="shared" si="5"/>
        <v>#DIV/0!</v>
      </c>
      <c r="K139" s="564"/>
      <c r="L139" s="567"/>
      <c r="M139" s="567"/>
      <c r="N139" s="569"/>
      <c r="O139" s="567"/>
      <c r="P139" s="567"/>
      <c r="Q139" s="567"/>
    </row>
    <row r="140" spans="5:17" s="388" customFormat="1" x14ac:dyDescent="0.25">
      <c r="E140" s="567"/>
      <c r="F140" s="570"/>
      <c r="G140" s="567"/>
      <c r="H140" s="567"/>
      <c r="I140" s="567"/>
      <c r="J140" s="674" t="e">
        <f t="shared" si="5"/>
        <v>#DIV/0!</v>
      </c>
      <c r="K140" s="564"/>
      <c r="L140" s="567"/>
      <c r="M140" s="567"/>
      <c r="N140" s="569"/>
      <c r="O140" s="567"/>
      <c r="P140" s="567"/>
      <c r="Q140" s="567"/>
    </row>
    <row r="141" spans="5:17" s="388" customFormat="1" x14ac:dyDescent="0.25">
      <c r="E141" s="567"/>
      <c r="F141" s="570"/>
      <c r="G141" s="567"/>
      <c r="H141" s="567"/>
      <c r="I141" s="567"/>
      <c r="J141" s="674" t="e">
        <f t="shared" si="5"/>
        <v>#DIV/0!</v>
      </c>
      <c r="K141" s="564"/>
      <c r="L141" s="567"/>
      <c r="M141" s="567"/>
      <c r="N141" s="569"/>
      <c r="O141" s="567"/>
      <c r="P141" s="567"/>
      <c r="Q141" s="567"/>
    </row>
    <row r="142" spans="5:17" s="388" customFormat="1" x14ac:dyDescent="0.25">
      <c r="E142" s="567"/>
      <c r="F142" s="570"/>
      <c r="G142" s="567"/>
      <c r="H142" s="567"/>
      <c r="I142" s="567"/>
      <c r="J142" s="674" t="e">
        <f t="shared" si="5"/>
        <v>#DIV/0!</v>
      </c>
      <c r="K142" s="564"/>
      <c r="L142" s="567"/>
      <c r="M142" s="567"/>
      <c r="N142" s="569"/>
      <c r="O142" s="567"/>
      <c r="P142" s="567"/>
      <c r="Q142" s="567"/>
    </row>
    <row r="143" spans="5:17" s="388" customFormat="1" x14ac:dyDescent="0.25">
      <c r="E143" s="567"/>
      <c r="F143" s="570"/>
      <c r="G143" s="567"/>
      <c r="H143" s="567"/>
      <c r="I143" s="567"/>
      <c r="J143" s="674" t="e">
        <f t="shared" si="5"/>
        <v>#DIV/0!</v>
      </c>
      <c r="K143" s="564"/>
      <c r="L143" s="567"/>
      <c r="M143" s="567"/>
      <c r="N143" s="569"/>
      <c r="O143" s="567"/>
      <c r="P143" s="567"/>
      <c r="Q143" s="567"/>
    </row>
    <row r="144" spans="5:17" s="388" customFormat="1" x14ac:dyDescent="0.25">
      <c r="E144" s="567"/>
      <c r="F144" s="570"/>
      <c r="G144" s="567"/>
      <c r="H144" s="567"/>
      <c r="I144" s="567"/>
      <c r="J144" s="674" t="e">
        <f t="shared" si="5"/>
        <v>#DIV/0!</v>
      </c>
      <c r="K144" s="564"/>
      <c r="L144" s="567"/>
      <c r="M144" s="567"/>
      <c r="N144" s="569"/>
      <c r="O144" s="567"/>
      <c r="P144" s="567"/>
      <c r="Q144" s="567"/>
    </row>
    <row r="145" spans="5:17" s="388" customFormat="1" x14ac:dyDescent="0.25">
      <c r="E145" s="567"/>
      <c r="F145" s="570"/>
      <c r="G145" s="567"/>
      <c r="H145" s="567"/>
      <c r="I145" s="567"/>
      <c r="J145" s="674" t="e">
        <f t="shared" si="5"/>
        <v>#DIV/0!</v>
      </c>
      <c r="K145" s="564"/>
      <c r="L145" s="567"/>
      <c r="M145" s="567"/>
      <c r="N145" s="569"/>
      <c r="O145" s="567"/>
      <c r="P145" s="567"/>
      <c r="Q145" s="567"/>
    </row>
    <row r="146" spans="5:17" s="388" customFormat="1" x14ac:dyDescent="0.25">
      <c r="E146" s="567"/>
      <c r="F146" s="570"/>
      <c r="G146" s="567"/>
      <c r="H146" s="567"/>
      <c r="I146" s="567"/>
      <c r="J146" s="674" t="e">
        <f t="shared" si="5"/>
        <v>#DIV/0!</v>
      </c>
      <c r="K146" s="564"/>
      <c r="L146" s="567"/>
      <c r="M146" s="567"/>
      <c r="N146" s="569"/>
      <c r="O146" s="567"/>
      <c r="P146" s="567"/>
      <c r="Q146" s="567"/>
    </row>
    <row r="147" spans="5:17" s="388" customFormat="1" x14ac:dyDescent="0.25">
      <c r="E147" s="567"/>
      <c r="F147" s="570"/>
      <c r="G147" s="567"/>
      <c r="H147" s="567"/>
      <c r="I147" s="567"/>
      <c r="J147" s="674" t="e">
        <f t="shared" si="5"/>
        <v>#DIV/0!</v>
      </c>
      <c r="K147" s="564"/>
      <c r="L147" s="567"/>
      <c r="M147" s="567"/>
      <c r="N147" s="569"/>
      <c r="O147" s="567"/>
      <c r="P147" s="567"/>
      <c r="Q147" s="567"/>
    </row>
    <row r="148" spans="5:17" s="388" customFormat="1" x14ac:dyDescent="0.25">
      <c r="E148" s="567"/>
      <c r="F148" s="570"/>
      <c r="G148" s="567"/>
      <c r="H148" s="567"/>
      <c r="I148" s="567"/>
      <c r="J148" s="674" t="e">
        <f t="shared" si="5"/>
        <v>#DIV/0!</v>
      </c>
      <c r="K148" s="564"/>
      <c r="L148" s="567"/>
      <c r="M148" s="567"/>
      <c r="N148" s="569"/>
      <c r="O148" s="567"/>
      <c r="P148" s="567"/>
      <c r="Q148" s="567"/>
    </row>
    <row r="149" spans="5:17" s="388" customFormat="1" x14ac:dyDescent="0.25">
      <c r="E149" s="567"/>
      <c r="F149" s="570"/>
      <c r="G149" s="567"/>
      <c r="H149" s="567"/>
      <c r="I149" s="567"/>
      <c r="J149" s="674" t="e">
        <f t="shared" si="5"/>
        <v>#DIV/0!</v>
      </c>
      <c r="K149" s="564"/>
      <c r="L149" s="567"/>
      <c r="M149" s="567"/>
      <c r="N149" s="569"/>
      <c r="O149" s="567"/>
      <c r="P149" s="567"/>
      <c r="Q149" s="567"/>
    </row>
    <row r="150" spans="5:17" s="388" customFormat="1" x14ac:dyDescent="0.25">
      <c r="E150" s="567"/>
      <c r="F150" s="570"/>
      <c r="G150" s="567"/>
      <c r="H150" s="567"/>
      <c r="I150" s="567"/>
      <c r="J150" s="674" t="e">
        <f t="shared" si="5"/>
        <v>#DIV/0!</v>
      </c>
      <c r="K150" s="564"/>
      <c r="L150" s="567"/>
      <c r="M150" s="567"/>
      <c r="N150" s="569"/>
      <c r="O150" s="567"/>
      <c r="P150" s="567"/>
      <c r="Q150" s="567"/>
    </row>
    <row r="151" spans="5:17" s="388" customFormat="1" x14ac:dyDescent="0.25">
      <c r="E151" s="567"/>
      <c r="F151" s="570"/>
      <c r="G151" s="567"/>
      <c r="H151" s="567"/>
      <c r="I151" s="567"/>
      <c r="J151" s="674" t="e">
        <f t="shared" si="5"/>
        <v>#DIV/0!</v>
      </c>
      <c r="K151" s="564"/>
      <c r="L151" s="567"/>
      <c r="M151" s="567"/>
      <c r="N151" s="569"/>
      <c r="O151" s="567"/>
      <c r="P151" s="567"/>
      <c r="Q151" s="567"/>
    </row>
    <row r="152" spans="5:17" s="388" customFormat="1" x14ac:dyDescent="0.25">
      <c r="E152" s="567"/>
      <c r="F152" s="570"/>
      <c r="G152" s="567"/>
      <c r="H152" s="567"/>
      <c r="I152" s="567"/>
      <c r="J152" s="674" t="e">
        <f t="shared" si="5"/>
        <v>#DIV/0!</v>
      </c>
      <c r="K152" s="564"/>
      <c r="L152" s="567"/>
      <c r="M152" s="567"/>
      <c r="N152" s="569"/>
      <c r="O152" s="567"/>
      <c r="P152" s="567"/>
      <c r="Q152" s="567"/>
    </row>
    <row r="153" spans="5:17" s="388" customFormat="1" x14ac:dyDescent="0.25">
      <c r="E153" s="567"/>
      <c r="F153" s="570"/>
      <c r="G153" s="567"/>
      <c r="H153" s="567"/>
      <c r="I153" s="567"/>
      <c r="J153" s="674" t="e">
        <f t="shared" si="5"/>
        <v>#DIV/0!</v>
      </c>
      <c r="K153" s="564"/>
      <c r="L153" s="567"/>
      <c r="M153" s="567"/>
      <c r="N153" s="569"/>
      <c r="O153" s="567"/>
      <c r="P153" s="567"/>
      <c r="Q153" s="567"/>
    </row>
    <row r="154" spans="5:17" s="388" customFormat="1" x14ac:dyDescent="0.25">
      <c r="E154" s="567"/>
      <c r="F154" s="570"/>
      <c r="G154" s="567"/>
      <c r="H154" s="567"/>
      <c r="I154" s="567"/>
      <c r="J154" s="674" t="e">
        <f t="shared" si="5"/>
        <v>#DIV/0!</v>
      </c>
      <c r="K154" s="564"/>
      <c r="L154" s="567"/>
      <c r="M154" s="567"/>
      <c r="N154" s="569"/>
      <c r="O154" s="567"/>
      <c r="P154" s="567"/>
      <c r="Q154" s="567"/>
    </row>
    <row r="155" spans="5:17" s="388" customFormat="1" x14ac:dyDescent="0.25">
      <c r="E155" s="567"/>
      <c r="F155" s="570"/>
      <c r="G155" s="567"/>
      <c r="H155" s="567"/>
      <c r="I155" s="567"/>
      <c r="J155" s="674" t="e">
        <f t="shared" si="5"/>
        <v>#DIV/0!</v>
      </c>
      <c r="K155" s="564"/>
      <c r="L155" s="567"/>
      <c r="M155" s="567"/>
      <c r="N155" s="569"/>
      <c r="O155" s="567"/>
      <c r="P155" s="567"/>
      <c r="Q155" s="567"/>
    </row>
    <row r="156" spans="5:17" s="388" customFormat="1" x14ac:dyDescent="0.25">
      <c r="E156" s="567"/>
      <c r="F156" s="570"/>
      <c r="G156" s="567"/>
      <c r="H156" s="567"/>
      <c r="I156" s="567"/>
      <c r="J156" s="674" t="e">
        <f t="shared" si="5"/>
        <v>#DIV/0!</v>
      </c>
      <c r="K156" s="564"/>
      <c r="L156" s="567"/>
      <c r="M156" s="567"/>
      <c r="N156" s="569"/>
      <c r="O156" s="567"/>
      <c r="P156" s="567"/>
      <c r="Q156" s="567"/>
    </row>
    <row r="157" spans="5:17" s="388" customFormat="1" x14ac:dyDescent="0.25">
      <c r="E157" s="567"/>
      <c r="F157" s="570"/>
      <c r="G157" s="567"/>
      <c r="H157" s="567"/>
      <c r="I157" s="567"/>
      <c r="J157" s="674" t="e">
        <f t="shared" si="5"/>
        <v>#DIV/0!</v>
      </c>
      <c r="K157" s="564"/>
      <c r="L157" s="567"/>
      <c r="M157" s="567"/>
      <c r="N157" s="569"/>
      <c r="O157" s="567"/>
      <c r="P157" s="567"/>
      <c r="Q157" s="567"/>
    </row>
    <row r="158" spans="5:17" s="388" customFormat="1" x14ac:dyDescent="0.25">
      <c r="E158" s="567"/>
      <c r="F158" s="570"/>
      <c r="G158" s="567"/>
      <c r="H158" s="567"/>
      <c r="I158" s="567"/>
      <c r="J158" s="674" t="e">
        <f t="shared" si="5"/>
        <v>#DIV/0!</v>
      </c>
      <c r="K158" s="564"/>
      <c r="L158" s="567"/>
      <c r="M158" s="567"/>
      <c r="N158" s="569"/>
      <c r="O158" s="567"/>
      <c r="P158" s="567"/>
      <c r="Q158" s="567"/>
    </row>
    <row r="159" spans="5:17" s="388" customFormat="1" x14ac:dyDescent="0.25">
      <c r="E159" s="567"/>
      <c r="F159" s="570"/>
      <c r="G159" s="567"/>
      <c r="H159" s="567"/>
      <c r="I159" s="567"/>
      <c r="J159" s="674" t="e">
        <f t="shared" si="5"/>
        <v>#DIV/0!</v>
      </c>
      <c r="K159" s="564"/>
      <c r="L159" s="567"/>
      <c r="M159" s="567"/>
      <c r="N159" s="569"/>
      <c r="O159" s="567"/>
      <c r="P159" s="567"/>
      <c r="Q159" s="567"/>
    </row>
    <row r="160" spans="5:17" s="388" customFormat="1" x14ac:dyDescent="0.25">
      <c r="E160" s="567"/>
      <c r="F160" s="570"/>
      <c r="G160" s="567"/>
      <c r="H160" s="567"/>
      <c r="I160" s="567"/>
      <c r="J160" s="674" t="e">
        <f t="shared" si="5"/>
        <v>#DIV/0!</v>
      </c>
      <c r="K160" s="564"/>
      <c r="L160" s="567"/>
      <c r="M160" s="567"/>
      <c r="N160" s="569"/>
      <c r="O160" s="567"/>
      <c r="P160" s="567"/>
      <c r="Q160" s="567"/>
    </row>
    <row r="161" spans="5:17" s="388" customFormat="1" x14ac:dyDescent="0.25">
      <c r="E161" s="567"/>
      <c r="F161" s="570"/>
      <c r="G161" s="567"/>
      <c r="H161" s="567"/>
      <c r="I161" s="567"/>
      <c r="J161" s="674" t="e">
        <f t="shared" si="5"/>
        <v>#DIV/0!</v>
      </c>
      <c r="K161" s="564"/>
      <c r="L161" s="567"/>
      <c r="M161" s="567"/>
      <c r="N161" s="569"/>
      <c r="O161" s="567"/>
      <c r="P161" s="567"/>
      <c r="Q161" s="567"/>
    </row>
    <row r="162" spans="5:17" s="388" customFormat="1" x14ac:dyDescent="0.25">
      <c r="E162" s="567"/>
      <c r="F162" s="570"/>
      <c r="G162" s="567"/>
      <c r="H162" s="567"/>
      <c r="I162" s="567"/>
      <c r="J162" s="674" t="e">
        <f t="shared" si="5"/>
        <v>#DIV/0!</v>
      </c>
      <c r="K162" s="564"/>
      <c r="L162" s="567"/>
      <c r="M162" s="567"/>
      <c r="N162" s="569"/>
      <c r="O162" s="567"/>
      <c r="P162" s="567"/>
      <c r="Q162" s="567"/>
    </row>
    <row r="163" spans="5:17" s="388" customFormat="1" x14ac:dyDescent="0.25">
      <c r="E163" s="567"/>
      <c r="F163" s="570"/>
      <c r="G163" s="567"/>
      <c r="H163" s="567"/>
      <c r="I163" s="567"/>
      <c r="J163" s="674" t="e">
        <f t="shared" si="5"/>
        <v>#DIV/0!</v>
      </c>
      <c r="K163" s="564"/>
      <c r="L163" s="567"/>
      <c r="M163" s="567"/>
      <c r="N163" s="569"/>
      <c r="O163" s="567"/>
      <c r="P163" s="567"/>
      <c r="Q163" s="567"/>
    </row>
    <row r="164" spans="5:17" s="388" customFormat="1" x14ac:dyDescent="0.25">
      <c r="E164" s="567"/>
      <c r="F164" s="570"/>
      <c r="G164" s="567"/>
      <c r="H164" s="567"/>
      <c r="I164" s="567"/>
      <c r="J164" s="674" t="e">
        <f t="shared" si="5"/>
        <v>#DIV/0!</v>
      </c>
      <c r="K164" s="564"/>
      <c r="L164" s="567"/>
      <c r="M164" s="567"/>
      <c r="N164" s="569"/>
      <c r="O164" s="567"/>
      <c r="P164" s="567"/>
      <c r="Q164" s="567"/>
    </row>
    <row r="165" spans="5:17" s="388" customFormat="1" x14ac:dyDescent="0.25">
      <c r="E165" s="567"/>
      <c r="F165" s="570"/>
      <c r="G165" s="567"/>
      <c r="H165" s="567"/>
      <c r="I165" s="567"/>
      <c r="J165" s="674" t="e">
        <f t="shared" si="5"/>
        <v>#DIV/0!</v>
      </c>
      <c r="K165" s="564"/>
      <c r="L165" s="567"/>
      <c r="M165" s="567"/>
      <c r="N165" s="569"/>
      <c r="O165" s="567"/>
      <c r="P165" s="567"/>
      <c r="Q165" s="567"/>
    </row>
    <row r="166" spans="5:17" s="388" customFormat="1" x14ac:dyDescent="0.25">
      <c r="E166" s="567"/>
      <c r="F166" s="570"/>
      <c r="G166" s="567"/>
      <c r="H166" s="567"/>
      <c r="I166" s="567"/>
      <c r="J166" s="674" t="e">
        <f t="shared" si="5"/>
        <v>#DIV/0!</v>
      </c>
      <c r="K166" s="564"/>
      <c r="L166" s="567"/>
      <c r="M166" s="567"/>
      <c r="N166" s="569"/>
      <c r="O166" s="567"/>
      <c r="P166" s="567"/>
      <c r="Q166" s="567"/>
    </row>
    <row r="167" spans="5:17" s="388" customFormat="1" x14ac:dyDescent="0.25">
      <c r="E167" s="567"/>
      <c r="F167" s="570"/>
      <c r="G167" s="567"/>
      <c r="H167" s="567"/>
      <c r="I167" s="567"/>
      <c r="J167" s="674" t="e">
        <f t="shared" si="5"/>
        <v>#DIV/0!</v>
      </c>
      <c r="K167" s="564"/>
      <c r="L167" s="567"/>
      <c r="M167" s="567"/>
      <c r="N167" s="569"/>
      <c r="O167" s="567"/>
      <c r="P167" s="567"/>
      <c r="Q167" s="567"/>
    </row>
    <row r="168" spans="5:17" s="388" customFormat="1" x14ac:dyDescent="0.25">
      <c r="E168" s="567"/>
      <c r="F168" s="570"/>
      <c r="G168" s="567"/>
      <c r="H168" s="567"/>
      <c r="I168" s="567"/>
      <c r="J168" s="674" t="e">
        <f t="shared" si="5"/>
        <v>#DIV/0!</v>
      </c>
      <c r="K168" s="564"/>
      <c r="L168" s="567"/>
      <c r="M168" s="567"/>
      <c r="N168" s="569"/>
      <c r="O168" s="567"/>
      <c r="P168" s="567"/>
      <c r="Q168" s="567"/>
    </row>
    <row r="169" spans="5:17" s="388" customFormat="1" x14ac:dyDescent="0.25">
      <c r="E169" s="567"/>
      <c r="F169" s="570"/>
      <c r="G169" s="567"/>
      <c r="H169" s="567"/>
      <c r="I169" s="567"/>
      <c r="J169" s="674" t="e">
        <f t="shared" si="5"/>
        <v>#DIV/0!</v>
      </c>
      <c r="K169" s="564"/>
      <c r="L169" s="567"/>
      <c r="M169" s="567"/>
      <c r="N169" s="569"/>
      <c r="O169" s="567"/>
      <c r="P169" s="567"/>
      <c r="Q169" s="567"/>
    </row>
    <row r="170" spans="5:17" s="388" customFormat="1" x14ac:dyDescent="0.25">
      <c r="E170" s="567"/>
      <c r="F170" s="570"/>
      <c r="G170" s="567"/>
      <c r="H170" s="567"/>
      <c r="I170" s="567"/>
      <c r="J170" s="674" t="e">
        <f t="shared" si="5"/>
        <v>#DIV/0!</v>
      </c>
      <c r="K170" s="564"/>
      <c r="L170" s="567"/>
      <c r="M170" s="567"/>
      <c r="N170" s="569"/>
      <c r="O170" s="567"/>
      <c r="P170" s="567"/>
      <c r="Q170" s="567"/>
    </row>
    <row r="171" spans="5:17" s="388" customFormat="1" x14ac:dyDescent="0.25">
      <c r="E171" s="567"/>
      <c r="F171" s="570"/>
      <c r="G171" s="567"/>
      <c r="H171" s="567"/>
      <c r="I171" s="567"/>
      <c r="J171" s="674" t="e">
        <f t="shared" si="5"/>
        <v>#DIV/0!</v>
      </c>
      <c r="K171" s="564"/>
      <c r="L171" s="567"/>
      <c r="M171" s="567"/>
      <c r="N171" s="569"/>
      <c r="O171" s="567"/>
      <c r="P171" s="567"/>
      <c r="Q171" s="567"/>
    </row>
    <row r="172" spans="5:17" s="388" customFormat="1" x14ac:dyDescent="0.25">
      <c r="E172" s="567"/>
      <c r="F172" s="570"/>
      <c r="G172" s="567"/>
      <c r="H172" s="567"/>
      <c r="I172" s="567"/>
      <c r="J172" s="674" t="e">
        <f t="shared" si="5"/>
        <v>#DIV/0!</v>
      </c>
      <c r="K172" s="564"/>
      <c r="L172" s="567"/>
      <c r="M172" s="567"/>
      <c r="N172" s="569"/>
      <c r="O172" s="567"/>
      <c r="P172" s="567"/>
      <c r="Q172" s="567"/>
    </row>
    <row r="173" spans="5:17" s="388" customFormat="1" x14ac:dyDescent="0.25">
      <c r="E173" s="567"/>
      <c r="F173" s="570"/>
      <c r="G173" s="567"/>
      <c r="H173" s="567"/>
      <c r="I173" s="567"/>
      <c r="J173" s="674" t="e">
        <f t="shared" si="5"/>
        <v>#DIV/0!</v>
      </c>
      <c r="K173" s="564"/>
      <c r="L173" s="567"/>
      <c r="M173" s="567"/>
      <c r="N173" s="569"/>
      <c r="O173" s="567"/>
      <c r="P173" s="567"/>
      <c r="Q173" s="567"/>
    </row>
    <row r="174" spans="5:17" s="388" customFormat="1" x14ac:dyDescent="0.25">
      <c r="E174" s="567"/>
      <c r="F174" s="570"/>
      <c r="G174" s="567"/>
      <c r="H174" s="567"/>
      <c r="I174" s="567"/>
      <c r="J174" s="674" t="e">
        <f t="shared" si="5"/>
        <v>#DIV/0!</v>
      </c>
      <c r="K174" s="564"/>
      <c r="L174" s="567"/>
      <c r="M174" s="567"/>
      <c r="N174" s="569"/>
      <c r="O174" s="567"/>
      <c r="P174" s="567"/>
      <c r="Q174" s="567"/>
    </row>
    <row r="175" spans="5:17" s="388" customFormat="1" x14ac:dyDescent="0.25">
      <c r="E175" s="567"/>
      <c r="F175" s="570"/>
      <c r="G175" s="567"/>
      <c r="H175" s="567"/>
      <c r="I175" s="567"/>
      <c r="J175" s="674" t="e">
        <f t="shared" si="5"/>
        <v>#DIV/0!</v>
      </c>
      <c r="K175" s="564"/>
      <c r="L175" s="567"/>
      <c r="M175" s="567"/>
      <c r="N175" s="569"/>
      <c r="O175" s="567"/>
      <c r="P175" s="567"/>
      <c r="Q175" s="567"/>
    </row>
    <row r="176" spans="5:17" s="388" customFormat="1" x14ac:dyDescent="0.25">
      <c r="E176" s="567"/>
      <c r="F176" s="570"/>
      <c r="G176" s="567"/>
      <c r="H176" s="567"/>
      <c r="I176" s="567"/>
      <c r="J176" s="674" t="e">
        <f t="shared" si="5"/>
        <v>#DIV/0!</v>
      </c>
      <c r="K176" s="564"/>
      <c r="L176" s="567"/>
      <c r="M176" s="567"/>
      <c r="N176" s="569"/>
      <c r="O176" s="567"/>
      <c r="P176" s="567"/>
      <c r="Q176" s="567"/>
    </row>
    <row r="177" spans="5:17" s="388" customFormat="1" x14ac:dyDescent="0.25">
      <c r="E177" s="567"/>
      <c r="F177" s="570"/>
      <c r="G177" s="567"/>
      <c r="H177" s="567"/>
      <c r="I177" s="567"/>
      <c r="J177" s="674" t="e">
        <f t="shared" si="5"/>
        <v>#DIV/0!</v>
      </c>
      <c r="K177" s="564"/>
      <c r="L177" s="567"/>
      <c r="M177" s="567"/>
      <c r="N177" s="569"/>
      <c r="O177" s="567"/>
      <c r="P177" s="567"/>
      <c r="Q177" s="567"/>
    </row>
    <row r="178" spans="5:17" s="388" customFormat="1" x14ac:dyDescent="0.25">
      <c r="E178" s="567"/>
      <c r="F178" s="570"/>
      <c r="G178" s="567"/>
      <c r="H178" s="567"/>
      <c r="I178" s="567"/>
      <c r="J178" s="674" t="e">
        <f t="shared" si="5"/>
        <v>#DIV/0!</v>
      </c>
      <c r="K178" s="564"/>
      <c r="L178" s="567"/>
      <c r="M178" s="567"/>
      <c r="N178" s="569"/>
      <c r="O178" s="567"/>
      <c r="P178" s="567"/>
      <c r="Q178" s="567"/>
    </row>
    <row r="179" spans="5:17" s="388" customFormat="1" x14ac:dyDescent="0.25">
      <c r="E179" s="567"/>
      <c r="F179" s="570"/>
      <c r="G179" s="567"/>
      <c r="H179" s="567"/>
      <c r="I179" s="567"/>
      <c r="J179" s="674" t="e">
        <f t="shared" si="5"/>
        <v>#DIV/0!</v>
      </c>
      <c r="K179" s="564"/>
      <c r="L179" s="567"/>
      <c r="M179" s="567"/>
      <c r="N179" s="569"/>
      <c r="O179" s="567"/>
      <c r="P179" s="567"/>
      <c r="Q179" s="567"/>
    </row>
    <row r="180" spans="5:17" s="388" customFormat="1" x14ac:dyDescent="0.25">
      <c r="E180" s="567"/>
      <c r="F180" s="570"/>
      <c r="G180" s="567"/>
      <c r="H180" s="567"/>
      <c r="I180" s="567"/>
      <c r="J180" s="674" t="e">
        <f t="shared" si="5"/>
        <v>#DIV/0!</v>
      </c>
      <c r="K180" s="564"/>
      <c r="L180" s="567"/>
      <c r="M180" s="567"/>
      <c r="N180" s="569"/>
      <c r="O180" s="567"/>
      <c r="P180" s="567"/>
      <c r="Q180" s="567"/>
    </row>
    <row r="181" spans="5:17" s="388" customFormat="1" x14ac:dyDescent="0.25">
      <c r="E181" s="567"/>
      <c r="F181" s="570"/>
      <c r="G181" s="567"/>
      <c r="H181" s="567"/>
      <c r="I181" s="567"/>
      <c r="J181" s="674" t="e">
        <f t="shared" si="5"/>
        <v>#DIV/0!</v>
      </c>
      <c r="K181" s="564"/>
      <c r="L181" s="567"/>
      <c r="M181" s="567"/>
      <c r="N181" s="569"/>
      <c r="O181" s="567"/>
      <c r="P181" s="567"/>
      <c r="Q181" s="567"/>
    </row>
    <row r="182" spans="5:17" s="388" customFormat="1" x14ac:dyDescent="0.25">
      <c r="E182" s="567"/>
      <c r="F182" s="570"/>
      <c r="G182" s="567"/>
      <c r="H182" s="567"/>
      <c r="I182" s="567"/>
      <c r="J182" s="674" t="e">
        <f t="shared" si="5"/>
        <v>#DIV/0!</v>
      </c>
      <c r="K182" s="564"/>
      <c r="L182" s="567"/>
      <c r="M182" s="567"/>
      <c r="N182" s="569"/>
      <c r="O182" s="567"/>
      <c r="P182" s="567"/>
      <c r="Q182" s="567"/>
    </row>
    <row r="183" spans="5:17" s="388" customFormat="1" x14ac:dyDescent="0.25">
      <c r="E183" s="567"/>
      <c r="F183" s="570"/>
      <c r="G183" s="567"/>
      <c r="H183" s="567"/>
      <c r="I183" s="567"/>
      <c r="J183" s="674" t="e">
        <f t="shared" si="5"/>
        <v>#DIV/0!</v>
      </c>
      <c r="K183" s="564"/>
      <c r="L183" s="567"/>
      <c r="M183" s="567"/>
      <c r="N183" s="569"/>
      <c r="O183" s="567"/>
      <c r="P183" s="567"/>
      <c r="Q183" s="567"/>
    </row>
    <row r="184" spans="5:17" s="388" customFormat="1" x14ac:dyDescent="0.25">
      <c r="E184" s="567"/>
      <c r="F184" s="570"/>
      <c r="G184" s="567"/>
      <c r="H184" s="567"/>
      <c r="I184" s="567"/>
      <c r="J184" s="674" t="e">
        <f t="shared" si="5"/>
        <v>#DIV/0!</v>
      </c>
      <c r="K184" s="564"/>
      <c r="L184" s="567"/>
      <c r="M184" s="567"/>
      <c r="N184" s="569"/>
      <c r="O184" s="567"/>
      <c r="P184" s="567"/>
      <c r="Q184" s="567"/>
    </row>
    <row r="185" spans="5:17" s="388" customFormat="1" x14ac:dyDescent="0.25">
      <c r="E185" s="567"/>
      <c r="F185" s="570"/>
      <c r="G185" s="567"/>
      <c r="H185" s="567"/>
      <c r="I185" s="567"/>
      <c r="J185" s="674" t="e">
        <f t="shared" si="5"/>
        <v>#DIV/0!</v>
      </c>
      <c r="K185" s="564"/>
      <c r="L185" s="567"/>
      <c r="M185" s="567"/>
      <c r="N185" s="569"/>
      <c r="O185" s="567"/>
      <c r="P185" s="567"/>
      <c r="Q185" s="567"/>
    </row>
    <row r="186" spans="5:17" s="388" customFormat="1" x14ac:dyDescent="0.25">
      <c r="E186" s="567"/>
      <c r="F186" s="570"/>
      <c r="G186" s="567"/>
      <c r="H186" s="567"/>
      <c r="I186" s="567"/>
      <c r="J186" s="674" t="e">
        <f t="shared" si="5"/>
        <v>#DIV/0!</v>
      </c>
      <c r="K186" s="564"/>
      <c r="L186" s="567"/>
      <c r="M186" s="567"/>
      <c r="N186" s="569"/>
      <c r="O186" s="567"/>
      <c r="P186" s="567"/>
      <c r="Q186" s="567"/>
    </row>
    <row r="187" spans="5:17" s="388" customFormat="1" x14ac:dyDescent="0.25">
      <c r="E187" s="567"/>
      <c r="F187" s="570"/>
      <c r="G187" s="567"/>
      <c r="H187" s="567"/>
      <c r="I187" s="567"/>
      <c r="J187" s="674" t="e">
        <f t="shared" si="5"/>
        <v>#DIV/0!</v>
      </c>
      <c r="K187" s="564"/>
      <c r="L187" s="567"/>
      <c r="M187" s="567"/>
      <c r="N187" s="569"/>
      <c r="O187" s="567"/>
      <c r="P187" s="567"/>
      <c r="Q187" s="567"/>
    </row>
    <row r="188" spans="5:17" s="388" customFormat="1" x14ac:dyDescent="0.25">
      <c r="E188" s="567"/>
      <c r="F188" s="570"/>
      <c r="G188" s="567"/>
      <c r="H188" s="567"/>
      <c r="I188" s="567"/>
      <c r="J188" s="674" t="e">
        <f t="shared" si="5"/>
        <v>#DIV/0!</v>
      </c>
      <c r="K188" s="564"/>
      <c r="L188" s="567"/>
      <c r="M188" s="567"/>
      <c r="N188" s="569"/>
      <c r="O188" s="567"/>
      <c r="P188" s="567"/>
      <c r="Q188" s="567"/>
    </row>
    <row r="189" spans="5:17" s="388" customFormat="1" x14ac:dyDescent="0.25">
      <c r="E189" s="567"/>
      <c r="F189" s="570"/>
      <c r="G189" s="567"/>
      <c r="H189" s="567"/>
      <c r="I189" s="567"/>
      <c r="J189" s="674" t="e">
        <f t="shared" si="5"/>
        <v>#DIV/0!</v>
      </c>
      <c r="K189" s="564"/>
      <c r="L189" s="567"/>
      <c r="M189" s="567"/>
      <c r="N189" s="569"/>
      <c r="O189" s="567"/>
      <c r="P189" s="567"/>
      <c r="Q189" s="567"/>
    </row>
    <row r="190" spans="5:17" s="388" customFormat="1" x14ac:dyDescent="0.25">
      <c r="E190" s="567"/>
      <c r="F190" s="570"/>
      <c r="G190" s="567"/>
      <c r="H190" s="567"/>
      <c r="I190" s="567"/>
      <c r="J190" s="674" t="e">
        <f t="shared" si="5"/>
        <v>#DIV/0!</v>
      </c>
      <c r="K190" s="564"/>
      <c r="L190" s="567"/>
      <c r="M190" s="567"/>
      <c r="N190" s="569"/>
      <c r="O190" s="567"/>
      <c r="P190" s="567"/>
      <c r="Q190" s="567"/>
    </row>
    <row r="191" spans="5:17" s="388" customFormat="1" x14ac:dyDescent="0.25">
      <c r="E191" s="567"/>
      <c r="F191" s="570"/>
      <c r="G191" s="567"/>
      <c r="H191" s="567"/>
      <c r="I191" s="567"/>
      <c r="J191" s="674" t="e">
        <f t="shared" si="5"/>
        <v>#DIV/0!</v>
      </c>
      <c r="K191" s="564"/>
      <c r="L191" s="567"/>
      <c r="M191" s="567"/>
      <c r="N191" s="569"/>
      <c r="O191" s="567"/>
      <c r="P191" s="567"/>
      <c r="Q191" s="567"/>
    </row>
    <row r="192" spans="5:17" s="388" customFormat="1" x14ac:dyDescent="0.25">
      <c r="E192" s="567"/>
      <c r="F192" s="570"/>
      <c r="G192" s="567"/>
      <c r="H192" s="567"/>
      <c r="I192" s="567"/>
      <c r="J192" s="674" t="e">
        <f t="shared" si="5"/>
        <v>#DIV/0!</v>
      </c>
      <c r="K192" s="564"/>
      <c r="L192" s="567"/>
      <c r="M192" s="567"/>
      <c r="N192" s="569"/>
      <c r="O192" s="567"/>
      <c r="P192" s="567"/>
      <c r="Q192" s="567"/>
    </row>
    <row r="193" spans="5:17" s="388" customFormat="1" x14ac:dyDescent="0.25">
      <c r="E193" s="567"/>
      <c r="F193" s="570"/>
      <c r="G193" s="567"/>
      <c r="H193" s="567"/>
      <c r="I193" s="567"/>
      <c r="J193" s="674" t="e">
        <f t="shared" si="5"/>
        <v>#DIV/0!</v>
      </c>
      <c r="K193" s="564"/>
      <c r="L193" s="567"/>
      <c r="M193" s="567"/>
      <c r="N193" s="569"/>
      <c r="O193" s="567"/>
      <c r="P193" s="567"/>
      <c r="Q193" s="567"/>
    </row>
    <row r="194" spans="5:17" s="388" customFormat="1" x14ac:dyDescent="0.25">
      <c r="E194" s="567"/>
      <c r="F194" s="570"/>
      <c r="G194" s="567"/>
      <c r="H194" s="567"/>
      <c r="I194" s="567"/>
      <c r="J194" s="674" t="e">
        <f t="shared" si="5"/>
        <v>#DIV/0!</v>
      </c>
      <c r="K194" s="564"/>
      <c r="L194" s="567"/>
      <c r="M194" s="567"/>
      <c r="N194" s="569"/>
      <c r="O194" s="567"/>
      <c r="P194" s="567"/>
      <c r="Q194" s="567"/>
    </row>
    <row r="195" spans="5:17" s="388" customFormat="1" x14ac:dyDescent="0.25">
      <c r="E195" s="567"/>
      <c r="F195" s="570"/>
      <c r="G195" s="567"/>
      <c r="H195" s="567"/>
      <c r="I195" s="567"/>
      <c r="J195" s="674" t="e">
        <f t="shared" si="5"/>
        <v>#DIV/0!</v>
      </c>
      <c r="K195" s="564"/>
      <c r="L195" s="567"/>
      <c r="M195" s="567"/>
      <c r="N195" s="569"/>
      <c r="O195" s="567"/>
      <c r="P195" s="567"/>
      <c r="Q195" s="567"/>
    </row>
    <row r="196" spans="5:17" s="388" customFormat="1" x14ac:dyDescent="0.25">
      <c r="E196" s="567"/>
      <c r="F196" s="570"/>
      <c r="G196" s="567"/>
      <c r="H196" s="567"/>
      <c r="I196" s="567"/>
      <c r="J196" s="674" t="e">
        <f t="shared" si="5"/>
        <v>#DIV/0!</v>
      </c>
      <c r="K196" s="564"/>
      <c r="L196" s="567"/>
      <c r="M196" s="567"/>
      <c r="N196" s="569"/>
      <c r="O196" s="567"/>
      <c r="P196" s="567"/>
      <c r="Q196" s="567"/>
    </row>
    <row r="197" spans="5:17" s="388" customFormat="1" x14ac:dyDescent="0.25">
      <c r="E197" s="567"/>
      <c r="F197" s="570"/>
      <c r="G197" s="567"/>
      <c r="H197" s="567"/>
      <c r="I197" s="567"/>
      <c r="J197" s="674" t="e">
        <f t="shared" ref="J197:J260" si="6">(I197*K197/100)/(H197*G197)*1000</f>
        <v>#DIV/0!</v>
      </c>
      <c r="K197" s="564"/>
      <c r="L197" s="567"/>
      <c r="M197" s="567"/>
      <c r="N197" s="569"/>
      <c r="O197" s="567"/>
      <c r="P197" s="567"/>
      <c r="Q197" s="567"/>
    </row>
    <row r="198" spans="5:17" s="388" customFormat="1" x14ac:dyDescent="0.25">
      <c r="E198" s="567"/>
      <c r="F198" s="570"/>
      <c r="G198" s="567"/>
      <c r="H198" s="567"/>
      <c r="I198" s="567"/>
      <c r="J198" s="674" t="e">
        <f t="shared" si="6"/>
        <v>#DIV/0!</v>
      </c>
      <c r="K198" s="564"/>
      <c r="L198" s="567"/>
      <c r="M198" s="567"/>
      <c r="N198" s="569"/>
      <c r="O198" s="567"/>
      <c r="P198" s="567"/>
      <c r="Q198" s="567"/>
    </row>
    <row r="199" spans="5:17" s="388" customFormat="1" x14ac:dyDescent="0.25">
      <c r="E199" s="567"/>
      <c r="F199" s="570"/>
      <c r="G199" s="567"/>
      <c r="H199" s="567"/>
      <c r="I199" s="567"/>
      <c r="J199" s="674" t="e">
        <f t="shared" si="6"/>
        <v>#DIV/0!</v>
      </c>
      <c r="K199" s="564"/>
      <c r="L199" s="567"/>
      <c r="M199" s="567"/>
      <c r="N199" s="569"/>
      <c r="O199" s="567"/>
      <c r="P199" s="567"/>
      <c r="Q199" s="567"/>
    </row>
    <row r="200" spans="5:17" s="388" customFormat="1" x14ac:dyDescent="0.25">
      <c r="E200" s="567"/>
      <c r="F200" s="570"/>
      <c r="G200" s="567"/>
      <c r="H200" s="567"/>
      <c r="I200" s="567"/>
      <c r="J200" s="674" t="e">
        <f t="shared" si="6"/>
        <v>#DIV/0!</v>
      </c>
      <c r="K200" s="564"/>
      <c r="L200" s="567"/>
      <c r="M200" s="567"/>
      <c r="N200" s="569"/>
      <c r="O200" s="567"/>
      <c r="P200" s="567"/>
      <c r="Q200" s="567"/>
    </row>
    <row r="201" spans="5:17" s="388" customFormat="1" x14ac:dyDescent="0.25">
      <c r="E201" s="567"/>
      <c r="F201" s="570"/>
      <c r="G201" s="567"/>
      <c r="H201" s="567"/>
      <c r="I201" s="567"/>
      <c r="J201" s="674" t="e">
        <f t="shared" si="6"/>
        <v>#DIV/0!</v>
      </c>
      <c r="K201" s="564"/>
      <c r="L201" s="567"/>
      <c r="M201" s="567"/>
      <c r="N201" s="569"/>
      <c r="O201" s="567"/>
      <c r="P201" s="567"/>
      <c r="Q201" s="567"/>
    </row>
    <row r="202" spans="5:17" s="388" customFormat="1" x14ac:dyDescent="0.25">
      <c r="E202" s="567"/>
      <c r="F202" s="570"/>
      <c r="G202" s="567"/>
      <c r="H202" s="567"/>
      <c r="I202" s="567"/>
      <c r="J202" s="674" t="e">
        <f t="shared" si="6"/>
        <v>#DIV/0!</v>
      </c>
      <c r="K202" s="564"/>
      <c r="L202" s="567"/>
      <c r="M202" s="567"/>
      <c r="N202" s="569"/>
      <c r="O202" s="567"/>
      <c r="P202" s="567"/>
      <c r="Q202" s="567"/>
    </row>
    <row r="203" spans="5:17" s="388" customFormat="1" x14ac:dyDescent="0.25">
      <c r="E203" s="567"/>
      <c r="F203" s="570"/>
      <c r="G203" s="567"/>
      <c r="H203" s="567"/>
      <c r="I203" s="567"/>
      <c r="J203" s="674" t="e">
        <f t="shared" si="6"/>
        <v>#DIV/0!</v>
      </c>
      <c r="K203" s="564"/>
      <c r="L203" s="567"/>
      <c r="M203" s="567"/>
      <c r="N203" s="569"/>
      <c r="O203" s="567"/>
      <c r="P203" s="567"/>
      <c r="Q203" s="567"/>
    </row>
    <row r="204" spans="5:17" s="388" customFormat="1" x14ac:dyDescent="0.25">
      <c r="E204" s="567"/>
      <c r="F204" s="570"/>
      <c r="G204" s="567"/>
      <c r="H204" s="567"/>
      <c r="I204" s="567"/>
      <c r="J204" s="674" t="e">
        <f t="shared" si="6"/>
        <v>#DIV/0!</v>
      </c>
      <c r="K204" s="564"/>
      <c r="L204" s="567"/>
      <c r="M204" s="567"/>
      <c r="N204" s="569"/>
      <c r="O204" s="567"/>
      <c r="P204" s="567"/>
      <c r="Q204" s="567"/>
    </row>
    <row r="205" spans="5:17" s="388" customFormat="1" x14ac:dyDescent="0.25">
      <c r="E205" s="567"/>
      <c r="F205" s="570"/>
      <c r="G205" s="567"/>
      <c r="H205" s="567"/>
      <c r="I205" s="567"/>
      <c r="J205" s="674" t="e">
        <f t="shared" si="6"/>
        <v>#DIV/0!</v>
      </c>
      <c r="K205" s="564"/>
      <c r="L205" s="567"/>
      <c r="M205" s="567"/>
      <c r="N205" s="569"/>
      <c r="O205" s="567"/>
      <c r="P205" s="567"/>
      <c r="Q205" s="567"/>
    </row>
    <row r="206" spans="5:17" s="388" customFormat="1" x14ac:dyDescent="0.25">
      <c r="E206" s="567"/>
      <c r="F206" s="570"/>
      <c r="G206" s="567"/>
      <c r="H206" s="567"/>
      <c r="I206" s="567"/>
      <c r="J206" s="674" t="e">
        <f t="shared" si="6"/>
        <v>#DIV/0!</v>
      </c>
      <c r="K206" s="564"/>
      <c r="L206" s="567"/>
      <c r="M206" s="567"/>
      <c r="N206" s="569"/>
      <c r="O206" s="567"/>
      <c r="P206" s="567"/>
      <c r="Q206" s="567"/>
    </row>
    <row r="207" spans="5:17" s="388" customFormat="1" x14ac:dyDescent="0.25">
      <c r="E207" s="567"/>
      <c r="F207" s="570"/>
      <c r="G207" s="567"/>
      <c r="H207" s="567"/>
      <c r="I207" s="567"/>
      <c r="J207" s="674" t="e">
        <f t="shared" si="6"/>
        <v>#DIV/0!</v>
      </c>
      <c r="K207" s="564"/>
      <c r="L207" s="567"/>
      <c r="M207" s="567"/>
      <c r="N207" s="569"/>
      <c r="O207" s="567"/>
      <c r="P207" s="567"/>
      <c r="Q207" s="567"/>
    </row>
    <row r="208" spans="5:17" s="388" customFormat="1" x14ac:dyDescent="0.25">
      <c r="E208" s="567"/>
      <c r="F208" s="570"/>
      <c r="G208" s="567"/>
      <c r="H208" s="567"/>
      <c r="I208" s="567"/>
      <c r="J208" s="674" t="e">
        <f t="shared" si="6"/>
        <v>#DIV/0!</v>
      </c>
      <c r="K208" s="564"/>
      <c r="L208" s="567"/>
      <c r="M208" s="567"/>
      <c r="N208" s="569"/>
      <c r="O208" s="567"/>
      <c r="P208" s="567"/>
      <c r="Q208" s="567"/>
    </row>
    <row r="209" spans="5:17" s="388" customFormat="1" x14ac:dyDescent="0.25">
      <c r="E209" s="567"/>
      <c r="F209" s="570"/>
      <c r="G209" s="567"/>
      <c r="H209" s="567"/>
      <c r="I209" s="567"/>
      <c r="J209" s="674" t="e">
        <f t="shared" si="6"/>
        <v>#DIV/0!</v>
      </c>
      <c r="K209" s="564"/>
      <c r="L209" s="567"/>
      <c r="M209" s="567"/>
      <c r="N209" s="569"/>
      <c r="O209" s="567"/>
      <c r="P209" s="567"/>
      <c r="Q209" s="567"/>
    </row>
    <row r="210" spans="5:17" s="388" customFormat="1" x14ac:dyDescent="0.25">
      <c r="E210" s="567"/>
      <c r="F210" s="570"/>
      <c r="G210" s="567"/>
      <c r="H210" s="567"/>
      <c r="I210" s="567"/>
      <c r="J210" s="674" t="e">
        <f t="shared" si="6"/>
        <v>#DIV/0!</v>
      </c>
      <c r="K210" s="564"/>
      <c r="L210" s="567"/>
      <c r="M210" s="567"/>
      <c r="N210" s="569"/>
      <c r="O210" s="567"/>
      <c r="P210" s="567"/>
      <c r="Q210" s="567"/>
    </row>
    <row r="211" spans="5:17" s="388" customFormat="1" x14ac:dyDescent="0.25">
      <c r="E211" s="567"/>
      <c r="F211" s="570"/>
      <c r="G211" s="567"/>
      <c r="H211" s="567"/>
      <c r="I211" s="567"/>
      <c r="J211" s="674" t="e">
        <f t="shared" si="6"/>
        <v>#DIV/0!</v>
      </c>
      <c r="K211" s="564"/>
      <c r="L211" s="567"/>
      <c r="M211" s="567"/>
      <c r="N211" s="569"/>
      <c r="O211" s="567"/>
      <c r="P211" s="567"/>
      <c r="Q211" s="567"/>
    </row>
    <row r="212" spans="5:17" s="388" customFormat="1" x14ac:dyDescent="0.25">
      <c r="E212" s="567"/>
      <c r="F212" s="570"/>
      <c r="G212" s="567"/>
      <c r="H212" s="567"/>
      <c r="I212" s="567"/>
      <c r="J212" s="674" t="e">
        <f t="shared" si="6"/>
        <v>#DIV/0!</v>
      </c>
      <c r="K212" s="564"/>
      <c r="L212" s="567"/>
      <c r="M212" s="567"/>
      <c r="N212" s="569"/>
      <c r="O212" s="567"/>
      <c r="P212" s="567"/>
      <c r="Q212" s="567"/>
    </row>
    <row r="213" spans="5:17" s="388" customFormat="1" x14ac:dyDescent="0.25">
      <c r="E213" s="567"/>
      <c r="F213" s="570"/>
      <c r="G213" s="567"/>
      <c r="H213" s="567"/>
      <c r="I213" s="567"/>
      <c r="J213" s="674" t="e">
        <f t="shared" si="6"/>
        <v>#DIV/0!</v>
      </c>
      <c r="K213" s="564"/>
      <c r="L213" s="567"/>
      <c r="M213" s="567"/>
      <c r="N213" s="569"/>
      <c r="O213" s="567"/>
      <c r="P213" s="567"/>
      <c r="Q213" s="567"/>
    </row>
    <row r="214" spans="5:17" s="388" customFormat="1" x14ac:dyDescent="0.25">
      <c r="E214" s="567"/>
      <c r="F214" s="570"/>
      <c r="G214" s="567"/>
      <c r="H214" s="567"/>
      <c r="I214" s="567"/>
      <c r="J214" s="674" t="e">
        <f t="shared" si="6"/>
        <v>#DIV/0!</v>
      </c>
      <c r="K214" s="564"/>
      <c r="L214" s="567"/>
      <c r="M214" s="567"/>
      <c r="N214" s="569"/>
      <c r="O214" s="567"/>
      <c r="P214" s="567"/>
      <c r="Q214" s="567"/>
    </row>
    <row r="215" spans="5:17" s="388" customFormat="1" x14ac:dyDescent="0.25">
      <c r="E215" s="567"/>
      <c r="F215" s="570"/>
      <c r="G215" s="567"/>
      <c r="H215" s="567"/>
      <c r="I215" s="567"/>
      <c r="J215" s="674" t="e">
        <f t="shared" si="6"/>
        <v>#DIV/0!</v>
      </c>
      <c r="K215" s="564"/>
      <c r="L215" s="567"/>
      <c r="M215" s="567"/>
      <c r="N215" s="569"/>
      <c r="O215" s="567"/>
      <c r="P215" s="567"/>
      <c r="Q215" s="567"/>
    </row>
    <row r="216" spans="5:17" s="388" customFormat="1" x14ac:dyDescent="0.25">
      <c r="E216" s="567"/>
      <c r="F216" s="570"/>
      <c r="G216" s="567"/>
      <c r="H216" s="567"/>
      <c r="I216" s="567"/>
      <c r="J216" s="674" t="e">
        <f t="shared" si="6"/>
        <v>#DIV/0!</v>
      </c>
      <c r="K216" s="564"/>
      <c r="L216" s="567"/>
      <c r="M216" s="567"/>
      <c r="N216" s="569"/>
      <c r="O216" s="567"/>
      <c r="P216" s="567"/>
      <c r="Q216" s="567"/>
    </row>
    <row r="217" spans="5:17" s="388" customFormat="1" x14ac:dyDescent="0.25">
      <c r="E217" s="567"/>
      <c r="F217" s="570"/>
      <c r="G217" s="567"/>
      <c r="H217" s="567"/>
      <c r="I217" s="567"/>
      <c r="J217" s="674" t="e">
        <f t="shared" si="6"/>
        <v>#DIV/0!</v>
      </c>
      <c r="K217" s="564"/>
      <c r="L217" s="567"/>
      <c r="M217" s="567"/>
      <c r="N217" s="569"/>
      <c r="O217" s="567"/>
      <c r="P217" s="567"/>
      <c r="Q217" s="567"/>
    </row>
    <row r="218" spans="5:17" s="388" customFormat="1" x14ac:dyDescent="0.25">
      <c r="E218" s="567"/>
      <c r="F218" s="570"/>
      <c r="G218" s="567"/>
      <c r="H218" s="567"/>
      <c r="I218" s="567"/>
      <c r="J218" s="674" t="e">
        <f t="shared" si="6"/>
        <v>#DIV/0!</v>
      </c>
      <c r="K218" s="564"/>
      <c r="L218" s="567"/>
      <c r="M218" s="567"/>
      <c r="N218" s="569"/>
      <c r="O218" s="567"/>
      <c r="P218" s="567"/>
      <c r="Q218" s="567"/>
    </row>
    <row r="219" spans="5:17" s="388" customFormat="1" x14ac:dyDescent="0.25">
      <c r="E219" s="567"/>
      <c r="F219" s="570"/>
      <c r="G219" s="567"/>
      <c r="H219" s="567"/>
      <c r="I219" s="567"/>
      <c r="J219" s="674" t="e">
        <f t="shared" si="6"/>
        <v>#DIV/0!</v>
      </c>
      <c r="K219" s="564"/>
      <c r="L219" s="567"/>
      <c r="M219" s="567"/>
      <c r="N219" s="569"/>
      <c r="O219" s="567"/>
      <c r="P219" s="567"/>
      <c r="Q219" s="567"/>
    </row>
    <row r="220" spans="5:17" s="388" customFormat="1" x14ac:dyDescent="0.25">
      <c r="E220" s="571"/>
      <c r="F220" s="572"/>
      <c r="G220" s="571"/>
      <c r="H220" s="571"/>
      <c r="I220" s="571"/>
      <c r="J220" s="675" t="e">
        <f t="shared" si="6"/>
        <v>#DIV/0!</v>
      </c>
      <c r="K220" s="573"/>
      <c r="L220" s="571"/>
      <c r="M220" s="571"/>
      <c r="N220" s="574"/>
      <c r="O220" s="571"/>
      <c r="P220" s="571"/>
      <c r="Q220" s="571"/>
    </row>
    <row r="221" spans="5:17" s="388" customFormat="1" x14ac:dyDescent="0.25">
      <c r="F221" s="224"/>
      <c r="J221" s="676" t="e">
        <f t="shared" si="6"/>
        <v>#DIV/0!</v>
      </c>
      <c r="K221" s="683"/>
      <c r="N221" s="533"/>
    </row>
    <row r="222" spans="5:17" s="388" customFormat="1" x14ac:dyDescent="0.25">
      <c r="F222" s="224"/>
      <c r="J222" s="676" t="e">
        <f t="shared" si="6"/>
        <v>#DIV/0!</v>
      </c>
      <c r="K222" s="683"/>
      <c r="N222" s="533"/>
    </row>
    <row r="223" spans="5:17" s="388" customFormat="1" x14ac:dyDescent="0.25">
      <c r="F223" s="224"/>
      <c r="J223" s="676" t="e">
        <f t="shared" si="6"/>
        <v>#DIV/0!</v>
      </c>
      <c r="K223" s="683"/>
      <c r="N223" s="533"/>
    </row>
    <row r="224" spans="5:17" s="388" customFormat="1" x14ac:dyDescent="0.25">
      <c r="F224" s="224"/>
      <c r="J224" s="676" t="e">
        <f t="shared" si="6"/>
        <v>#DIV/0!</v>
      </c>
      <c r="K224" s="683"/>
      <c r="N224" s="533"/>
    </row>
    <row r="225" spans="10:10" s="388" customFormat="1" x14ac:dyDescent="0.25">
      <c r="J225" s="676" t="e">
        <f t="shared" si="6"/>
        <v>#DIV/0!</v>
      </c>
    </row>
    <row r="226" spans="10:10" s="388" customFormat="1" x14ac:dyDescent="0.25">
      <c r="J226" s="676" t="e">
        <f t="shared" si="6"/>
        <v>#DIV/0!</v>
      </c>
    </row>
    <row r="227" spans="10:10" s="388" customFormat="1" x14ac:dyDescent="0.25">
      <c r="J227" s="676" t="e">
        <f t="shared" si="6"/>
        <v>#DIV/0!</v>
      </c>
    </row>
    <row r="228" spans="10:10" s="388" customFormat="1" x14ac:dyDescent="0.25">
      <c r="J228" s="676" t="e">
        <f t="shared" si="6"/>
        <v>#DIV/0!</v>
      </c>
    </row>
    <row r="229" spans="10:10" s="388" customFormat="1" x14ac:dyDescent="0.25">
      <c r="J229" s="676" t="e">
        <f t="shared" si="6"/>
        <v>#DIV/0!</v>
      </c>
    </row>
    <row r="230" spans="10:10" s="388" customFormat="1" x14ac:dyDescent="0.25">
      <c r="J230" s="676" t="e">
        <f t="shared" si="6"/>
        <v>#DIV/0!</v>
      </c>
    </row>
    <row r="231" spans="10:10" s="388" customFormat="1" x14ac:dyDescent="0.25">
      <c r="J231" s="676" t="e">
        <f t="shared" si="6"/>
        <v>#DIV/0!</v>
      </c>
    </row>
    <row r="232" spans="10:10" s="388" customFormat="1" x14ac:dyDescent="0.25">
      <c r="J232" s="676" t="e">
        <f t="shared" si="6"/>
        <v>#DIV/0!</v>
      </c>
    </row>
    <row r="233" spans="10:10" s="388" customFormat="1" x14ac:dyDescent="0.25">
      <c r="J233" s="676" t="e">
        <f t="shared" si="6"/>
        <v>#DIV/0!</v>
      </c>
    </row>
    <row r="234" spans="10:10" s="388" customFormat="1" x14ac:dyDescent="0.25">
      <c r="J234" s="676" t="e">
        <f t="shared" si="6"/>
        <v>#DIV/0!</v>
      </c>
    </row>
    <row r="235" spans="10:10" s="388" customFormat="1" x14ac:dyDescent="0.25">
      <c r="J235" s="676" t="e">
        <f t="shared" si="6"/>
        <v>#DIV/0!</v>
      </c>
    </row>
    <row r="236" spans="10:10" s="388" customFormat="1" x14ac:dyDescent="0.25">
      <c r="J236" s="676" t="e">
        <f t="shared" si="6"/>
        <v>#DIV/0!</v>
      </c>
    </row>
    <row r="237" spans="10:10" s="388" customFormat="1" x14ac:dyDescent="0.25">
      <c r="J237" s="676" t="e">
        <f t="shared" si="6"/>
        <v>#DIV/0!</v>
      </c>
    </row>
    <row r="238" spans="10:10" s="388" customFormat="1" x14ac:dyDescent="0.25">
      <c r="J238" s="676" t="e">
        <f t="shared" si="6"/>
        <v>#DIV/0!</v>
      </c>
    </row>
    <row r="239" spans="10:10" s="388" customFormat="1" x14ac:dyDescent="0.25">
      <c r="J239" s="676" t="e">
        <f t="shared" si="6"/>
        <v>#DIV/0!</v>
      </c>
    </row>
    <row r="240" spans="10:10" s="388" customFormat="1" x14ac:dyDescent="0.25">
      <c r="J240" s="676" t="e">
        <f t="shared" si="6"/>
        <v>#DIV/0!</v>
      </c>
    </row>
    <row r="241" spans="10:10" s="388" customFormat="1" x14ac:dyDescent="0.25">
      <c r="J241" s="676" t="e">
        <f t="shared" si="6"/>
        <v>#DIV/0!</v>
      </c>
    </row>
    <row r="242" spans="10:10" s="388" customFormat="1" x14ac:dyDescent="0.25">
      <c r="J242" s="676" t="e">
        <f t="shared" si="6"/>
        <v>#DIV/0!</v>
      </c>
    </row>
    <row r="243" spans="10:10" s="388" customFormat="1" x14ac:dyDescent="0.25">
      <c r="J243" s="676" t="e">
        <f t="shared" si="6"/>
        <v>#DIV/0!</v>
      </c>
    </row>
    <row r="244" spans="10:10" s="388" customFormat="1" x14ac:dyDescent="0.25">
      <c r="J244" s="676" t="e">
        <f t="shared" si="6"/>
        <v>#DIV/0!</v>
      </c>
    </row>
    <row r="245" spans="10:10" s="388" customFormat="1" x14ac:dyDescent="0.25">
      <c r="J245" s="676" t="e">
        <f t="shared" si="6"/>
        <v>#DIV/0!</v>
      </c>
    </row>
    <row r="246" spans="10:10" s="388" customFormat="1" x14ac:dyDescent="0.25">
      <c r="J246" s="676" t="e">
        <f t="shared" si="6"/>
        <v>#DIV/0!</v>
      </c>
    </row>
    <row r="247" spans="10:10" s="388" customFormat="1" x14ac:dyDescent="0.25">
      <c r="J247" s="676" t="e">
        <f t="shared" si="6"/>
        <v>#DIV/0!</v>
      </c>
    </row>
    <row r="248" spans="10:10" s="388" customFormat="1" x14ac:dyDescent="0.25">
      <c r="J248" s="676" t="e">
        <f t="shared" si="6"/>
        <v>#DIV/0!</v>
      </c>
    </row>
    <row r="249" spans="10:10" s="388" customFormat="1" x14ac:dyDescent="0.25">
      <c r="J249" s="676" t="e">
        <f t="shared" si="6"/>
        <v>#DIV/0!</v>
      </c>
    </row>
    <row r="250" spans="10:10" s="388" customFormat="1" x14ac:dyDescent="0.25">
      <c r="J250" s="676" t="e">
        <f t="shared" si="6"/>
        <v>#DIV/0!</v>
      </c>
    </row>
    <row r="251" spans="10:10" s="388" customFormat="1" x14ac:dyDescent="0.25">
      <c r="J251" s="676" t="e">
        <f t="shared" si="6"/>
        <v>#DIV/0!</v>
      </c>
    </row>
    <row r="252" spans="10:10" s="388" customFormat="1" x14ac:dyDescent="0.25">
      <c r="J252" s="676" t="e">
        <f t="shared" si="6"/>
        <v>#DIV/0!</v>
      </c>
    </row>
    <row r="253" spans="10:10" s="388" customFormat="1" x14ac:dyDescent="0.25">
      <c r="J253" s="676" t="e">
        <f t="shared" si="6"/>
        <v>#DIV/0!</v>
      </c>
    </row>
    <row r="254" spans="10:10" s="388" customFormat="1" x14ac:dyDescent="0.25">
      <c r="J254" s="676" t="e">
        <f t="shared" si="6"/>
        <v>#DIV/0!</v>
      </c>
    </row>
    <row r="255" spans="10:10" s="388" customFormat="1" x14ac:dyDescent="0.25">
      <c r="J255" s="676" t="e">
        <f t="shared" si="6"/>
        <v>#DIV/0!</v>
      </c>
    </row>
    <row r="256" spans="10:10" s="388" customFormat="1" x14ac:dyDescent="0.25">
      <c r="J256" s="676" t="e">
        <f t="shared" si="6"/>
        <v>#DIV/0!</v>
      </c>
    </row>
    <row r="257" spans="10:10" s="388" customFormat="1" x14ac:dyDescent="0.25">
      <c r="J257" s="676" t="e">
        <f t="shared" si="6"/>
        <v>#DIV/0!</v>
      </c>
    </row>
    <row r="258" spans="10:10" s="388" customFormat="1" x14ac:dyDescent="0.25">
      <c r="J258" s="676" t="e">
        <f t="shared" si="6"/>
        <v>#DIV/0!</v>
      </c>
    </row>
    <row r="259" spans="10:10" s="388" customFormat="1" x14ac:dyDescent="0.25">
      <c r="J259" s="676" t="e">
        <f t="shared" si="6"/>
        <v>#DIV/0!</v>
      </c>
    </row>
    <row r="260" spans="10:10" s="388" customFormat="1" x14ac:dyDescent="0.25">
      <c r="J260" s="676" t="e">
        <f t="shared" si="6"/>
        <v>#DIV/0!</v>
      </c>
    </row>
    <row r="261" spans="10:10" s="388" customFormat="1" x14ac:dyDescent="0.25">
      <c r="J261" s="676" t="e">
        <f t="shared" ref="J261:J324" si="7">(I261*K261/100)/(H261*G261)*1000</f>
        <v>#DIV/0!</v>
      </c>
    </row>
    <row r="262" spans="10:10" s="388" customFormat="1" x14ac:dyDescent="0.25">
      <c r="J262" s="676" t="e">
        <f t="shared" si="7"/>
        <v>#DIV/0!</v>
      </c>
    </row>
    <row r="263" spans="10:10" s="388" customFormat="1" x14ac:dyDescent="0.25">
      <c r="J263" s="676" t="e">
        <f t="shared" si="7"/>
        <v>#DIV/0!</v>
      </c>
    </row>
    <row r="264" spans="10:10" s="388" customFormat="1" x14ac:dyDescent="0.25">
      <c r="J264" s="676" t="e">
        <f t="shared" si="7"/>
        <v>#DIV/0!</v>
      </c>
    </row>
    <row r="265" spans="10:10" s="388" customFormat="1" x14ac:dyDescent="0.25">
      <c r="J265" s="676" t="e">
        <f t="shared" si="7"/>
        <v>#DIV/0!</v>
      </c>
    </row>
    <row r="266" spans="10:10" s="388" customFormat="1" x14ac:dyDescent="0.25">
      <c r="J266" s="676" t="e">
        <f t="shared" si="7"/>
        <v>#DIV/0!</v>
      </c>
    </row>
    <row r="267" spans="10:10" s="388" customFormat="1" x14ac:dyDescent="0.25">
      <c r="J267" s="676" t="e">
        <f t="shared" si="7"/>
        <v>#DIV/0!</v>
      </c>
    </row>
    <row r="268" spans="10:10" s="388" customFormat="1" x14ac:dyDescent="0.25">
      <c r="J268" s="676" t="e">
        <f t="shared" si="7"/>
        <v>#DIV/0!</v>
      </c>
    </row>
    <row r="269" spans="10:10" s="388" customFormat="1" x14ac:dyDescent="0.25">
      <c r="J269" s="676" t="e">
        <f t="shared" si="7"/>
        <v>#DIV/0!</v>
      </c>
    </row>
    <row r="270" spans="10:10" s="388" customFormat="1" x14ac:dyDescent="0.25">
      <c r="J270" s="676" t="e">
        <f t="shared" si="7"/>
        <v>#DIV/0!</v>
      </c>
    </row>
    <row r="271" spans="10:10" s="388" customFormat="1" x14ac:dyDescent="0.25">
      <c r="J271" s="676" t="e">
        <f t="shared" si="7"/>
        <v>#DIV/0!</v>
      </c>
    </row>
    <row r="272" spans="10:10" s="388" customFormat="1" x14ac:dyDescent="0.25">
      <c r="J272" s="676" t="e">
        <f t="shared" si="7"/>
        <v>#DIV/0!</v>
      </c>
    </row>
    <row r="273" spans="10:10" s="388" customFormat="1" x14ac:dyDescent="0.25">
      <c r="J273" s="676" t="e">
        <f t="shared" si="7"/>
        <v>#DIV/0!</v>
      </c>
    </row>
    <row r="274" spans="10:10" s="388" customFormat="1" x14ac:dyDescent="0.25">
      <c r="J274" s="676" t="e">
        <f t="shared" si="7"/>
        <v>#DIV/0!</v>
      </c>
    </row>
    <row r="275" spans="10:10" s="388" customFormat="1" x14ac:dyDescent="0.25">
      <c r="J275" s="676" t="e">
        <f t="shared" si="7"/>
        <v>#DIV/0!</v>
      </c>
    </row>
    <row r="276" spans="10:10" s="388" customFormat="1" x14ac:dyDescent="0.25">
      <c r="J276" s="676" t="e">
        <f t="shared" si="7"/>
        <v>#DIV/0!</v>
      </c>
    </row>
    <row r="277" spans="10:10" s="388" customFormat="1" x14ac:dyDescent="0.25">
      <c r="J277" s="676" t="e">
        <f t="shared" si="7"/>
        <v>#DIV/0!</v>
      </c>
    </row>
    <row r="278" spans="10:10" s="388" customFormat="1" x14ac:dyDescent="0.25">
      <c r="J278" s="676" t="e">
        <f t="shared" si="7"/>
        <v>#DIV/0!</v>
      </c>
    </row>
    <row r="279" spans="10:10" s="388" customFormat="1" x14ac:dyDescent="0.25">
      <c r="J279" s="676" t="e">
        <f t="shared" si="7"/>
        <v>#DIV/0!</v>
      </c>
    </row>
    <row r="280" spans="10:10" s="388" customFormat="1" x14ac:dyDescent="0.25">
      <c r="J280" s="676" t="e">
        <f t="shared" si="7"/>
        <v>#DIV/0!</v>
      </c>
    </row>
    <row r="281" spans="10:10" s="388" customFormat="1" x14ac:dyDescent="0.25">
      <c r="J281" s="676" t="e">
        <f t="shared" si="7"/>
        <v>#DIV/0!</v>
      </c>
    </row>
    <row r="282" spans="10:10" s="388" customFormat="1" x14ac:dyDescent="0.25">
      <c r="J282" s="676" t="e">
        <f t="shared" si="7"/>
        <v>#DIV/0!</v>
      </c>
    </row>
    <row r="283" spans="10:10" s="388" customFormat="1" x14ac:dyDescent="0.25">
      <c r="J283" s="676" t="e">
        <f t="shared" si="7"/>
        <v>#DIV/0!</v>
      </c>
    </row>
    <row r="284" spans="10:10" s="388" customFormat="1" x14ac:dyDescent="0.25">
      <c r="J284" s="676" t="e">
        <f t="shared" si="7"/>
        <v>#DIV/0!</v>
      </c>
    </row>
    <row r="285" spans="10:10" s="388" customFormat="1" x14ac:dyDescent="0.25">
      <c r="J285" s="676" t="e">
        <f t="shared" si="7"/>
        <v>#DIV/0!</v>
      </c>
    </row>
    <row r="286" spans="10:10" s="388" customFormat="1" x14ac:dyDescent="0.25">
      <c r="J286" s="676" t="e">
        <f t="shared" si="7"/>
        <v>#DIV/0!</v>
      </c>
    </row>
    <row r="287" spans="10:10" s="388" customFormat="1" x14ac:dyDescent="0.25">
      <c r="J287" s="676" t="e">
        <f t="shared" si="7"/>
        <v>#DIV/0!</v>
      </c>
    </row>
    <row r="288" spans="10:10" s="388" customFormat="1" x14ac:dyDescent="0.25">
      <c r="J288" s="676" t="e">
        <f t="shared" si="7"/>
        <v>#DIV/0!</v>
      </c>
    </row>
    <row r="289" spans="10:10" s="388" customFormat="1" x14ac:dyDescent="0.25">
      <c r="J289" s="676" t="e">
        <f t="shared" si="7"/>
        <v>#DIV/0!</v>
      </c>
    </row>
    <row r="290" spans="10:10" s="388" customFormat="1" x14ac:dyDescent="0.25">
      <c r="J290" s="676" t="e">
        <f t="shared" si="7"/>
        <v>#DIV/0!</v>
      </c>
    </row>
    <row r="291" spans="10:10" s="388" customFormat="1" x14ac:dyDescent="0.25">
      <c r="J291" s="676" t="e">
        <f t="shared" si="7"/>
        <v>#DIV/0!</v>
      </c>
    </row>
    <row r="292" spans="10:10" s="388" customFormat="1" x14ac:dyDescent="0.25">
      <c r="J292" s="676" t="e">
        <f t="shared" si="7"/>
        <v>#DIV/0!</v>
      </c>
    </row>
    <row r="293" spans="10:10" s="388" customFormat="1" x14ac:dyDescent="0.25">
      <c r="J293" s="676" t="e">
        <f t="shared" si="7"/>
        <v>#DIV/0!</v>
      </c>
    </row>
    <row r="294" spans="10:10" s="388" customFormat="1" x14ac:dyDescent="0.25">
      <c r="J294" s="676" t="e">
        <f t="shared" si="7"/>
        <v>#DIV/0!</v>
      </c>
    </row>
    <row r="295" spans="10:10" s="388" customFormat="1" x14ac:dyDescent="0.25">
      <c r="J295" s="676" t="e">
        <f t="shared" si="7"/>
        <v>#DIV/0!</v>
      </c>
    </row>
    <row r="296" spans="10:10" s="388" customFormat="1" x14ac:dyDescent="0.25">
      <c r="J296" s="676" t="e">
        <f t="shared" si="7"/>
        <v>#DIV/0!</v>
      </c>
    </row>
    <row r="297" spans="10:10" s="388" customFormat="1" x14ac:dyDescent="0.25">
      <c r="J297" s="676" t="e">
        <f t="shared" si="7"/>
        <v>#DIV/0!</v>
      </c>
    </row>
    <row r="298" spans="10:10" s="388" customFormat="1" x14ac:dyDescent="0.25">
      <c r="J298" s="676" t="e">
        <f t="shared" si="7"/>
        <v>#DIV/0!</v>
      </c>
    </row>
    <row r="299" spans="10:10" s="388" customFormat="1" x14ac:dyDescent="0.25">
      <c r="J299" s="676" t="e">
        <f t="shared" si="7"/>
        <v>#DIV/0!</v>
      </c>
    </row>
    <row r="300" spans="10:10" s="388" customFormat="1" x14ac:dyDescent="0.25">
      <c r="J300" s="676" t="e">
        <f t="shared" si="7"/>
        <v>#DIV/0!</v>
      </c>
    </row>
    <row r="301" spans="10:10" s="388" customFormat="1" x14ac:dyDescent="0.25">
      <c r="J301" s="676" t="e">
        <f t="shared" si="7"/>
        <v>#DIV/0!</v>
      </c>
    </row>
    <row r="302" spans="10:10" s="388" customFormat="1" x14ac:dyDescent="0.25">
      <c r="J302" s="676" t="e">
        <f t="shared" si="7"/>
        <v>#DIV/0!</v>
      </c>
    </row>
    <row r="303" spans="10:10" s="388" customFormat="1" x14ac:dyDescent="0.25">
      <c r="J303" s="676" t="e">
        <f t="shared" si="7"/>
        <v>#DIV/0!</v>
      </c>
    </row>
    <row r="304" spans="10:10" s="388" customFormat="1" x14ac:dyDescent="0.25">
      <c r="J304" s="676" t="e">
        <f t="shared" si="7"/>
        <v>#DIV/0!</v>
      </c>
    </row>
    <row r="305" spans="10:10" s="388" customFormat="1" x14ac:dyDescent="0.25">
      <c r="J305" s="676" t="e">
        <f t="shared" si="7"/>
        <v>#DIV/0!</v>
      </c>
    </row>
    <row r="306" spans="10:10" s="388" customFormat="1" x14ac:dyDescent="0.25">
      <c r="J306" s="676" t="e">
        <f t="shared" si="7"/>
        <v>#DIV/0!</v>
      </c>
    </row>
    <row r="307" spans="10:10" s="388" customFormat="1" x14ac:dyDescent="0.25">
      <c r="J307" s="676" t="e">
        <f t="shared" si="7"/>
        <v>#DIV/0!</v>
      </c>
    </row>
    <row r="308" spans="10:10" s="388" customFormat="1" x14ac:dyDescent="0.25">
      <c r="J308" s="676" t="e">
        <f t="shared" si="7"/>
        <v>#DIV/0!</v>
      </c>
    </row>
    <row r="309" spans="10:10" s="388" customFormat="1" x14ac:dyDescent="0.25">
      <c r="J309" s="676" t="e">
        <f t="shared" si="7"/>
        <v>#DIV/0!</v>
      </c>
    </row>
    <row r="310" spans="10:10" s="388" customFormat="1" x14ac:dyDescent="0.25">
      <c r="J310" s="676" t="e">
        <f t="shared" si="7"/>
        <v>#DIV/0!</v>
      </c>
    </row>
    <row r="311" spans="10:10" s="388" customFormat="1" x14ac:dyDescent="0.25">
      <c r="J311" s="676" t="e">
        <f t="shared" si="7"/>
        <v>#DIV/0!</v>
      </c>
    </row>
    <row r="312" spans="10:10" s="388" customFormat="1" x14ac:dyDescent="0.25">
      <c r="J312" s="676" t="e">
        <f t="shared" si="7"/>
        <v>#DIV/0!</v>
      </c>
    </row>
    <row r="313" spans="10:10" s="388" customFormat="1" x14ac:dyDescent="0.25">
      <c r="J313" s="676" t="e">
        <f t="shared" si="7"/>
        <v>#DIV/0!</v>
      </c>
    </row>
    <row r="314" spans="10:10" s="388" customFormat="1" x14ac:dyDescent="0.25">
      <c r="J314" s="676" t="e">
        <f t="shared" si="7"/>
        <v>#DIV/0!</v>
      </c>
    </row>
    <row r="315" spans="10:10" s="388" customFormat="1" x14ac:dyDescent="0.25">
      <c r="J315" s="676" t="e">
        <f t="shared" si="7"/>
        <v>#DIV/0!</v>
      </c>
    </row>
    <row r="316" spans="10:10" s="388" customFormat="1" x14ac:dyDescent="0.25">
      <c r="J316" s="676" t="e">
        <f t="shared" si="7"/>
        <v>#DIV/0!</v>
      </c>
    </row>
    <row r="317" spans="10:10" s="388" customFormat="1" x14ac:dyDescent="0.25">
      <c r="J317" s="676" t="e">
        <f t="shared" si="7"/>
        <v>#DIV/0!</v>
      </c>
    </row>
    <row r="318" spans="10:10" s="388" customFormat="1" x14ac:dyDescent="0.25">
      <c r="J318" s="676" t="e">
        <f t="shared" si="7"/>
        <v>#DIV/0!</v>
      </c>
    </row>
    <row r="319" spans="10:10" s="388" customFormat="1" x14ac:dyDescent="0.25">
      <c r="J319" s="676" t="e">
        <f t="shared" si="7"/>
        <v>#DIV/0!</v>
      </c>
    </row>
    <row r="320" spans="10:10" s="388" customFormat="1" x14ac:dyDescent="0.25">
      <c r="J320" s="676" t="e">
        <f t="shared" si="7"/>
        <v>#DIV/0!</v>
      </c>
    </row>
    <row r="321" spans="10:10" s="388" customFormat="1" x14ac:dyDescent="0.25">
      <c r="J321" s="676" t="e">
        <f t="shared" si="7"/>
        <v>#DIV/0!</v>
      </c>
    </row>
    <row r="322" spans="10:10" s="388" customFormat="1" x14ac:dyDescent="0.25">
      <c r="J322" s="676" t="e">
        <f t="shared" si="7"/>
        <v>#DIV/0!</v>
      </c>
    </row>
    <row r="323" spans="10:10" s="388" customFormat="1" x14ac:dyDescent="0.25">
      <c r="J323" s="676" t="e">
        <f t="shared" si="7"/>
        <v>#DIV/0!</v>
      </c>
    </row>
    <row r="324" spans="10:10" s="388" customFormat="1" x14ac:dyDescent="0.25">
      <c r="J324" s="676" t="e">
        <f t="shared" si="7"/>
        <v>#DIV/0!</v>
      </c>
    </row>
    <row r="325" spans="10:10" s="388" customFormat="1" x14ac:dyDescent="0.25">
      <c r="J325" s="676" t="e">
        <f t="shared" ref="J325:J388" si="8">(I325*K325/100)/(H325*G325)*1000</f>
        <v>#DIV/0!</v>
      </c>
    </row>
    <row r="326" spans="10:10" s="388" customFormat="1" x14ac:dyDescent="0.25">
      <c r="J326" s="676" t="e">
        <f t="shared" si="8"/>
        <v>#DIV/0!</v>
      </c>
    </row>
    <row r="327" spans="10:10" s="388" customFormat="1" x14ac:dyDescent="0.25">
      <c r="J327" s="676" t="e">
        <f t="shared" si="8"/>
        <v>#DIV/0!</v>
      </c>
    </row>
    <row r="328" spans="10:10" s="388" customFormat="1" x14ac:dyDescent="0.25">
      <c r="J328" s="676" t="e">
        <f t="shared" si="8"/>
        <v>#DIV/0!</v>
      </c>
    </row>
    <row r="329" spans="10:10" s="388" customFormat="1" x14ac:dyDescent="0.25">
      <c r="J329" s="676" t="e">
        <f t="shared" si="8"/>
        <v>#DIV/0!</v>
      </c>
    </row>
    <row r="330" spans="10:10" s="388" customFormat="1" x14ac:dyDescent="0.25">
      <c r="J330" s="676" t="e">
        <f t="shared" si="8"/>
        <v>#DIV/0!</v>
      </c>
    </row>
    <row r="331" spans="10:10" s="388" customFormat="1" x14ac:dyDescent="0.25">
      <c r="J331" s="676" t="e">
        <f t="shared" si="8"/>
        <v>#DIV/0!</v>
      </c>
    </row>
    <row r="332" spans="10:10" s="388" customFormat="1" x14ac:dyDescent="0.25">
      <c r="J332" s="676" t="e">
        <f t="shared" si="8"/>
        <v>#DIV/0!</v>
      </c>
    </row>
    <row r="333" spans="10:10" s="388" customFormat="1" x14ac:dyDescent="0.25">
      <c r="J333" s="676" t="e">
        <f t="shared" si="8"/>
        <v>#DIV/0!</v>
      </c>
    </row>
    <row r="334" spans="10:10" s="388" customFormat="1" x14ac:dyDescent="0.25">
      <c r="J334" s="676" t="e">
        <f t="shared" si="8"/>
        <v>#DIV/0!</v>
      </c>
    </row>
    <row r="335" spans="10:10" s="388" customFormat="1" x14ac:dyDescent="0.25">
      <c r="J335" s="676" t="e">
        <f t="shared" si="8"/>
        <v>#DIV/0!</v>
      </c>
    </row>
    <row r="336" spans="10:10" s="388" customFormat="1" x14ac:dyDescent="0.25">
      <c r="J336" s="676" t="e">
        <f t="shared" si="8"/>
        <v>#DIV/0!</v>
      </c>
    </row>
    <row r="337" spans="10:10" s="388" customFormat="1" x14ac:dyDescent="0.25">
      <c r="J337" s="676" t="e">
        <f t="shared" si="8"/>
        <v>#DIV/0!</v>
      </c>
    </row>
    <row r="338" spans="10:10" s="388" customFormat="1" x14ac:dyDescent="0.25">
      <c r="J338" s="676" t="e">
        <f t="shared" si="8"/>
        <v>#DIV/0!</v>
      </c>
    </row>
    <row r="339" spans="10:10" s="388" customFormat="1" x14ac:dyDescent="0.25">
      <c r="J339" s="676" t="e">
        <f t="shared" si="8"/>
        <v>#DIV/0!</v>
      </c>
    </row>
    <row r="340" spans="10:10" s="388" customFormat="1" x14ac:dyDescent="0.25">
      <c r="J340" s="676" t="e">
        <f t="shared" si="8"/>
        <v>#DIV/0!</v>
      </c>
    </row>
    <row r="341" spans="10:10" s="388" customFormat="1" x14ac:dyDescent="0.25">
      <c r="J341" s="676" t="e">
        <f t="shared" si="8"/>
        <v>#DIV/0!</v>
      </c>
    </row>
    <row r="342" spans="10:10" s="388" customFormat="1" x14ac:dyDescent="0.25">
      <c r="J342" s="676" t="e">
        <f t="shared" si="8"/>
        <v>#DIV/0!</v>
      </c>
    </row>
    <row r="343" spans="10:10" s="388" customFormat="1" x14ac:dyDescent="0.25">
      <c r="J343" s="676" t="e">
        <f t="shared" si="8"/>
        <v>#DIV/0!</v>
      </c>
    </row>
    <row r="344" spans="10:10" s="388" customFormat="1" x14ac:dyDescent="0.25">
      <c r="J344" s="676" t="e">
        <f t="shared" si="8"/>
        <v>#DIV/0!</v>
      </c>
    </row>
    <row r="345" spans="10:10" s="388" customFormat="1" x14ac:dyDescent="0.25">
      <c r="J345" s="676" t="e">
        <f t="shared" si="8"/>
        <v>#DIV/0!</v>
      </c>
    </row>
    <row r="346" spans="10:10" s="388" customFormat="1" x14ac:dyDescent="0.25">
      <c r="J346" s="676" t="e">
        <f t="shared" si="8"/>
        <v>#DIV/0!</v>
      </c>
    </row>
    <row r="347" spans="10:10" s="388" customFormat="1" x14ac:dyDescent="0.25">
      <c r="J347" s="676" t="e">
        <f t="shared" si="8"/>
        <v>#DIV/0!</v>
      </c>
    </row>
    <row r="348" spans="10:10" s="388" customFormat="1" x14ac:dyDescent="0.25">
      <c r="J348" s="676" t="e">
        <f t="shared" si="8"/>
        <v>#DIV/0!</v>
      </c>
    </row>
    <row r="349" spans="10:10" s="388" customFormat="1" x14ac:dyDescent="0.25">
      <c r="J349" s="676" t="e">
        <f t="shared" si="8"/>
        <v>#DIV/0!</v>
      </c>
    </row>
    <row r="350" spans="10:10" s="388" customFormat="1" x14ac:dyDescent="0.25">
      <c r="J350" s="676" t="e">
        <f t="shared" si="8"/>
        <v>#DIV/0!</v>
      </c>
    </row>
    <row r="351" spans="10:10" s="388" customFormat="1" x14ac:dyDescent="0.25">
      <c r="J351" s="676" t="e">
        <f t="shared" si="8"/>
        <v>#DIV/0!</v>
      </c>
    </row>
    <row r="352" spans="10:10" s="388" customFormat="1" x14ac:dyDescent="0.25">
      <c r="J352" s="676" t="e">
        <f t="shared" si="8"/>
        <v>#DIV/0!</v>
      </c>
    </row>
    <row r="353" spans="10:10" s="388" customFormat="1" x14ac:dyDescent="0.25">
      <c r="J353" s="676" t="e">
        <f t="shared" si="8"/>
        <v>#DIV/0!</v>
      </c>
    </row>
    <row r="354" spans="10:10" s="388" customFormat="1" x14ac:dyDescent="0.25">
      <c r="J354" s="676" t="e">
        <f t="shared" si="8"/>
        <v>#DIV/0!</v>
      </c>
    </row>
    <row r="355" spans="10:10" s="388" customFormat="1" x14ac:dyDescent="0.25">
      <c r="J355" s="676" t="e">
        <f t="shared" si="8"/>
        <v>#DIV/0!</v>
      </c>
    </row>
    <row r="356" spans="10:10" s="388" customFormat="1" x14ac:dyDescent="0.25">
      <c r="J356" s="676" t="e">
        <f t="shared" si="8"/>
        <v>#DIV/0!</v>
      </c>
    </row>
    <row r="357" spans="10:10" s="388" customFormat="1" x14ac:dyDescent="0.25">
      <c r="J357" s="676" t="e">
        <f t="shared" si="8"/>
        <v>#DIV/0!</v>
      </c>
    </row>
    <row r="358" spans="10:10" s="388" customFormat="1" x14ac:dyDescent="0.25">
      <c r="J358" s="676" t="e">
        <f t="shared" si="8"/>
        <v>#DIV/0!</v>
      </c>
    </row>
    <row r="359" spans="10:10" s="388" customFormat="1" x14ac:dyDescent="0.25">
      <c r="J359" s="676" t="e">
        <f t="shared" si="8"/>
        <v>#DIV/0!</v>
      </c>
    </row>
    <row r="360" spans="10:10" s="388" customFormat="1" x14ac:dyDescent="0.25">
      <c r="J360" s="676" t="e">
        <f t="shared" si="8"/>
        <v>#DIV/0!</v>
      </c>
    </row>
    <row r="361" spans="10:10" s="388" customFormat="1" x14ac:dyDescent="0.25">
      <c r="J361" s="676" t="e">
        <f t="shared" si="8"/>
        <v>#DIV/0!</v>
      </c>
    </row>
    <row r="362" spans="10:10" s="388" customFormat="1" x14ac:dyDescent="0.25">
      <c r="J362" s="676" t="e">
        <f t="shared" si="8"/>
        <v>#DIV/0!</v>
      </c>
    </row>
    <row r="363" spans="10:10" s="388" customFormat="1" x14ac:dyDescent="0.25">
      <c r="J363" s="676" t="e">
        <f t="shared" si="8"/>
        <v>#DIV/0!</v>
      </c>
    </row>
    <row r="364" spans="10:10" s="388" customFormat="1" x14ac:dyDescent="0.25">
      <c r="J364" s="676" t="e">
        <f t="shared" si="8"/>
        <v>#DIV/0!</v>
      </c>
    </row>
    <row r="365" spans="10:10" s="388" customFormat="1" x14ac:dyDescent="0.25">
      <c r="J365" s="676" t="e">
        <f t="shared" si="8"/>
        <v>#DIV/0!</v>
      </c>
    </row>
    <row r="366" spans="10:10" s="388" customFormat="1" x14ac:dyDescent="0.25">
      <c r="J366" s="676" t="e">
        <f t="shared" si="8"/>
        <v>#DIV/0!</v>
      </c>
    </row>
    <row r="367" spans="10:10" s="388" customFormat="1" x14ac:dyDescent="0.25">
      <c r="J367" s="676" t="e">
        <f t="shared" si="8"/>
        <v>#DIV/0!</v>
      </c>
    </row>
    <row r="368" spans="10:10" s="388" customFormat="1" x14ac:dyDescent="0.25">
      <c r="J368" s="676" t="e">
        <f t="shared" si="8"/>
        <v>#DIV/0!</v>
      </c>
    </row>
    <row r="369" spans="10:10" s="388" customFormat="1" x14ac:dyDescent="0.25">
      <c r="J369" s="676" t="e">
        <f t="shared" si="8"/>
        <v>#DIV/0!</v>
      </c>
    </row>
    <row r="370" spans="10:10" s="388" customFormat="1" x14ac:dyDescent="0.25">
      <c r="J370" s="676" t="e">
        <f t="shared" si="8"/>
        <v>#DIV/0!</v>
      </c>
    </row>
    <row r="371" spans="10:10" s="388" customFormat="1" x14ac:dyDescent="0.25">
      <c r="J371" s="676" t="e">
        <f t="shared" si="8"/>
        <v>#DIV/0!</v>
      </c>
    </row>
    <row r="372" spans="10:10" s="388" customFormat="1" x14ac:dyDescent="0.25">
      <c r="J372" s="676" t="e">
        <f t="shared" si="8"/>
        <v>#DIV/0!</v>
      </c>
    </row>
    <row r="373" spans="10:10" s="388" customFormat="1" x14ac:dyDescent="0.25">
      <c r="J373" s="676" t="e">
        <f t="shared" si="8"/>
        <v>#DIV/0!</v>
      </c>
    </row>
    <row r="374" spans="10:10" s="388" customFormat="1" x14ac:dyDescent="0.25">
      <c r="J374" s="676" t="e">
        <f t="shared" si="8"/>
        <v>#DIV/0!</v>
      </c>
    </row>
    <row r="375" spans="10:10" s="388" customFormat="1" x14ac:dyDescent="0.25">
      <c r="J375" s="676" t="e">
        <f t="shared" si="8"/>
        <v>#DIV/0!</v>
      </c>
    </row>
    <row r="376" spans="10:10" s="388" customFormat="1" x14ac:dyDescent="0.25">
      <c r="J376" s="676" t="e">
        <f t="shared" si="8"/>
        <v>#DIV/0!</v>
      </c>
    </row>
    <row r="377" spans="10:10" s="388" customFormat="1" x14ac:dyDescent="0.25">
      <c r="J377" s="676" t="e">
        <f t="shared" si="8"/>
        <v>#DIV/0!</v>
      </c>
    </row>
    <row r="378" spans="10:10" s="388" customFormat="1" x14ac:dyDescent="0.25">
      <c r="J378" s="676" t="e">
        <f t="shared" si="8"/>
        <v>#DIV/0!</v>
      </c>
    </row>
    <row r="379" spans="10:10" s="388" customFormat="1" x14ac:dyDescent="0.25">
      <c r="J379" s="676" t="e">
        <f t="shared" si="8"/>
        <v>#DIV/0!</v>
      </c>
    </row>
    <row r="380" spans="10:10" s="388" customFormat="1" x14ac:dyDescent="0.25">
      <c r="J380" s="676" t="e">
        <f t="shared" si="8"/>
        <v>#DIV/0!</v>
      </c>
    </row>
    <row r="381" spans="10:10" s="388" customFormat="1" x14ac:dyDescent="0.25">
      <c r="J381" s="676" t="e">
        <f t="shared" si="8"/>
        <v>#DIV/0!</v>
      </c>
    </row>
    <row r="382" spans="10:10" s="388" customFormat="1" x14ac:dyDescent="0.25">
      <c r="J382" s="676" t="e">
        <f t="shared" si="8"/>
        <v>#DIV/0!</v>
      </c>
    </row>
    <row r="383" spans="10:10" s="388" customFormat="1" x14ac:dyDescent="0.25">
      <c r="J383" s="676" t="e">
        <f t="shared" si="8"/>
        <v>#DIV/0!</v>
      </c>
    </row>
    <row r="384" spans="10:10" s="388" customFormat="1" x14ac:dyDescent="0.25">
      <c r="J384" s="676" t="e">
        <f t="shared" si="8"/>
        <v>#DIV/0!</v>
      </c>
    </row>
    <row r="385" spans="10:10" s="388" customFormat="1" x14ac:dyDescent="0.25">
      <c r="J385" s="676" t="e">
        <f t="shared" si="8"/>
        <v>#DIV/0!</v>
      </c>
    </row>
    <row r="386" spans="10:10" s="388" customFormat="1" x14ac:dyDescent="0.25">
      <c r="J386" s="676" t="e">
        <f t="shared" si="8"/>
        <v>#DIV/0!</v>
      </c>
    </row>
    <row r="387" spans="10:10" s="388" customFormat="1" x14ac:dyDescent="0.25">
      <c r="J387" s="676" t="e">
        <f t="shared" si="8"/>
        <v>#DIV/0!</v>
      </c>
    </row>
    <row r="388" spans="10:10" s="388" customFormat="1" x14ac:dyDescent="0.25">
      <c r="J388" s="676" t="e">
        <f t="shared" si="8"/>
        <v>#DIV/0!</v>
      </c>
    </row>
    <row r="389" spans="10:10" s="388" customFormat="1" x14ac:dyDescent="0.25">
      <c r="J389" s="676" t="e">
        <f t="shared" ref="J389:J452" si="9">(I389*K389/100)/(H389*G389)*1000</f>
        <v>#DIV/0!</v>
      </c>
    </row>
    <row r="390" spans="10:10" s="388" customFormat="1" x14ac:dyDescent="0.25">
      <c r="J390" s="676" t="e">
        <f t="shared" si="9"/>
        <v>#DIV/0!</v>
      </c>
    </row>
    <row r="391" spans="10:10" s="388" customFormat="1" x14ac:dyDescent="0.25">
      <c r="J391" s="676" t="e">
        <f t="shared" si="9"/>
        <v>#DIV/0!</v>
      </c>
    </row>
    <row r="392" spans="10:10" s="388" customFormat="1" x14ac:dyDescent="0.25">
      <c r="J392" s="676" t="e">
        <f t="shared" si="9"/>
        <v>#DIV/0!</v>
      </c>
    </row>
    <row r="393" spans="10:10" s="388" customFormat="1" x14ac:dyDescent="0.25">
      <c r="J393" s="676" t="e">
        <f t="shared" si="9"/>
        <v>#DIV/0!</v>
      </c>
    </row>
    <row r="394" spans="10:10" s="388" customFormat="1" x14ac:dyDescent="0.25">
      <c r="J394" s="676" t="e">
        <f t="shared" si="9"/>
        <v>#DIV/0!</v>
      </c>
    </row>
    <row r="395" spans="10:10" s="388" customFormat="1" x14ac:dyDescent="0.25">
      <c r="J395" s="676" t="e">
        <f t="shared" si="9"/>
        <v>#DIV/0!</v>
      </c>
    </row>
    <row r="396" spans="10:10" s="388" customFormat="1" x14ac:dyDescent="0.25">
      <c r="J396" s="676" t="e">
        <f t="shared" si="9"/>
        <v>#DIV/0!</v>
      </c>
    </row>
    <row r="397" spans="10:10" s="388" customFormat="1" x14ac:dyDescent="0.25">
      <c r="J397" s="676" t="e">
        <f t="shared" si="9"/>
        <v>#DIV/0!</v>
      </c>
    </row>
    <row r="398" spans="10:10" s="388" customFormat="1" x14ac:dyDescent="0.25">
      <c r="J398" s="676" t="e">
        <f t="shared" si="9"/>
        <v>#DIV/0!</v>
      </c>
    </row>
    <row r="399" spans="10:10" s="388" customFormat="1" x14ac:dyDescent="0.25">
      <c r="J399" s="676" t="e">
        <f t="shared" si="9"/>
        <v>#DIV/0!</v>
      </c>
    </row>
    <row r="400" spans="10:10" s="388" customFormat="1" x14ac:dyDescent="0.25">
      <c r="J400" s="676" t="e">
        <f t="shared" si="9"/>
        <v>#DIV/0!</v>
      </c>
    </row>
    <row r="401" spans="10:10" s="388" customFormat="1" x14ac:dyDescent="0.25">
      <c r="J401" s="676" t="e">
        <f t="shared" si="9"/>
        <v>#DIV/0!</v>
      </c>
    </row>
    <row r="402" spans="10:10" s="388" customFormat="1" x14ac:dyDescent="0.25">
      <c r="J402" s="676" t="e">
        <f t="shared" si="9"/>
        <v>#DIV/0!</v>
      </c>
    </row>
    <row r="403" spans="10:10" s="388" customFormat="1" x14ac:dyDescent="0.25">
      <c r="J403" s="676" t="e">
        <f t="shared" si="9"/>
        <v>#DIV/0!</v>
      </c>
    </row>
    <row r="404" spans="10:10" s="388" customFormat="1" x14ac:dyDescent="0.25">
      <c r="J404" s="676" t="e">
        <f t="shared" si="9"/>
        <v>#DIV/0!</v>
      </c>
    </row>
    <row r="405" spans="10:10" s="388" customFormat="1" x14ac:dyDescent="0.25">
      <c r="J405" s="676" t="e">
        <f t="shared" si="9"/>
        <v>#DIV/0!</v>
      </c>
    </row>
    <row r="406" spans="10:10" s="388" customFormat="1" x14ac:dyDescent="0.25">
      <c r="J406" s="676" t="e">
        <f t="shared" si="9"/>
        <v>#DIV/0!</v>
      </c>
    </row>
    <row r="407" spans="10:10" s="388" customFormat="1" x14ac:dyDescent="0.25">
      <c r="J407" s="676" t="e">
        <f t="shared" si="9"/>
        <v>#DIV/0!</v>
      </c>
    </row>
    <row r="408" spans="10:10" s="388" customFormat="1" x14ac:dyDescent="0.25">
      <c r="J408" s="676" t="e">
        <f t="shared" si="9"/>
        <v>#DIV/0!</v>
      </c>
    </row>
    <row r="409" spans="10:10" s="388" customFormat="1" x14ac:dyDescent="0.25">
      <c r="J409" s="676" t="e">
        <f t="shared" si="9"/>
        <v>#DIV/0!</v>
      </c>
    </row>
    <row r="410" spans="10:10" s="388" customFormat="1" x14ac:dyDescent="0.25">
      <c r="J410" s="676" t="e">
        <f t="shared" si="9"/>
        <v>#DIV/0!</v>
      </c>
    </row>
    <row r="411" spans="10:10" s="388" customFormat="1" x14ac:dyDescent="0.25">
      <c r="J411" s="676" t="e">
        <f t="shared" si="9"/>
        <v>#DIV/0!</v>
      </c>
    </row>
    <row r="412" spans="10:10" s="388" customFormat="1" x14ac:dyDescent="0.25">
      <c r="J412" s="676" t="e">
        <f t="shared" si="9"/>
        <v>#DIV/0!</v>
      </c>
    </row>
    <row r="413" spans="10:10" s="388" customFormat="1" x14ac:dyDescent="0.25">
      <c r="J413" s="676" t="e">
        <f t="shared" si="9"/>
        <v>#DIV/0!</v>
      </c>
    </row>
    <row r="414" spans="10:10" s="388" customFormat="1" x14ac:dyDescent="0.25">
      <c r="J414" s="676" t="e">
        <f t="shared" si="9"/>
        <v>#DIV/0!</v>
      </c>
    </row>
    <row r="415" spans="10:10" s="388" customFormat="1" x14ac:dyDescent="0.25">
      <c r="J415" s="676" t="e">
        <f t="shared" si="9"/>
        <v>#DIV/0!</v>
      </c>
    </row>
    <row r="416" spans="10:10" s="388" customFormat="1" x14ac:dyDescent="0.25">
      <c r="J416" s="676" t="e">
        <f t="shared" si="9"/>
        <v>#DIV/0!</v>
      </c>
    </row>
    <row r="417" spans="10:10" s="388" customFormat="1" x14ac:dyDescent="0.25">
      <c r="J417" s="676" t="e">
        <f t="shared" si="9"/>
        <v>#DIV/0!</v>
      </c>
    </row>
    <row r="418" spans="10:10" s="388" customFormat="1" x14ac:dyDescent="0.25">
      <c r="J418" s="676" t="e">
        <f t="shared" si="9"/>
        <v>#DIV/0!</v>
      </c>
    </row>
    <row r="419" spans="10:10" s="388" customFormat="1" x14ac:dyDescent="0.25">
      <c r="J419" s="676" t="e">
        <f t="shared" si="9"/>
        <v>#DIV/0!</v>
      </c>
    </row>
    <row r="420" spans="10:10" s="388" customFormat="1" x14ac:dyDescent="0.25">
      <c r="J420" s="676" t="e">
        <f t="shared" si="9"/>
        <v>#DIV/0!</v>
      </c>
    </row>
    <row r="421" spans="10:10" s="388" customFormat="1" x14ac:dyDescent="0.25">
      <c r="J421" s="676" t="e">
        <f t="shared" si="9"/>
        <v>#DIV/0!</v>
      </c>
    </row>
    <row r="422" spans="10:10" s="388" customFormat="1" x14ac:dyDescent="0.25">
      <c r="J422" s="676" t="e">
        <f t="shared" si="9"/>
        <v>#DIV/0!</v>
      </c>
    </row>
    <row r="423" spans="10:10" s="388" customFormat="1" x14ac:dyDescent="0.25">
      <c r="J423" s="676" t="e">
        <f t="shared" si="9"/>
        <v>#DIV/0!</v>
      </c>
    </row>
    <row r="424" spans="10:10" s="388" customFormat="1" x14ac:dyDescent="0.25">
      <c r="J424" s="676" t="e">
        <f t="shared" si="9"/>
        <v>#DIV/0!</v>
      </c>
    </row>
    <row r="425" spans="10:10" s="388" customFormat="1" x14ac:dyDescent="0.25">
      <c r="J425" s="676" t="e">
        <f t="shared" si="9"/>
        <v>#DIV/0!</v>
      </c>
    </row>
    <row r="426" spans="10:10" s="388" customFormat="1" x14ac:dyDescent="0.25">
      <c r="J426" s="676" t="e">
        <f t="shared" si="9"/>
        <v>#DIV/0!</v>
      </c>
    </row>
    <row r="427" spans="10:10" s="388" customFormat="1" x14ac:dyDescent="0.25">
      <c r="J427" s="676" t="e">
        <f t="shared" si="9"/>
        <v>#DIV/0!</v>
      </c>
    </row>
    <row r="428" spans="10:10" s="388" customFormat="1" x14ac:dyDescent="0.25">
      <c r="J428" s="676" t="e">
        <f t="shared" si="9"/>
        <v>#DIV/0!</v>
      </c>
    </row>
    <row r="429" spans="10:10" s="388" customFormat="1" x14ac:dyDescent="0.25">
      <c r="J429" s="676" t="e">
        <f t="shared" si="9"/>
        <v>#DIV/0!</v>
      </c>
    </row>
    <row r="430" spans="10:10" s="388" customFormat="1" x14ac:dyDescent="0.25">
      <c r="J430" s="676" t="e">
        <f t="shared" si="9"/>
        <v>#DIV/0!</v>
      </c>
    </row>
    <row r="431" spans="10:10" s="388" customFormat="1" x14ac:dyDescent="0.25">
      <c r="J431" s="676" t="e">
        <f t="shared" si="9"/>
        <v>#DIV/0!</v>
      </c>
    </row>
    <row r="432" spans="10:10" s="388" customFormat="1" x14ac:dyDescent="0.25">
      <c r="J432" s="676" t="e">
        <f t="shared" si="9"/>
        <v>#DIV/0!</v>
      </c>
    </row>
    <row r="433" spans="10:10" s="388" customFormat="1" x14ac:dyDescent="0.25">
      <c r="J433" s="676" t="e">
        <f t="shared" si="9"/>
        <v>#DIV/0!</v>
      </c>
    </row>
    <row r="434" spans="10:10" s="388" customFormat="1" x14ac:dyDescent="0.25">
      <c r="J434" s="676" t="e">
        <f t="shared" si="9"/>
        <v>#DIV/0!</v>
      </c>
    </row>
    <row r="435" spans="10:10" s="388" customFormat="1" x14ac:dyDescent="0.25">
      <c r="J435" s="676" t="e">
        <f t="shared" si="9"/>
        <v>#DIV/0!</v>
      </c>
    </row>
    <row r="436" spans="10:10" s="388" customFormat="1" x14ac:dyDescent="0.25">
      <c r="J436" s="676" t="e">
        <f t="shared" si="9"/>
        <v>#DIV/0!</v>
      </c>
    </row>
    <row r="437" spans="10:10" s="388" customFormat="1" x14ac:dyDescent="0.25">
      <c r="J437" s="676" t="e">
        <f t="shared" si="9"/>
        <v>#DIV/0!</v>
      </c>
    </row>
    <row r="438" spans="10:10" s="388" customFormat="1" x14ac:dyDescent="0.25">
      <c r="J438" s="676" t="e">
        <f t="shared" si="9"/>
        <v>#DIV/0!</v>
      </c>
    </row>
    <row r="439" spans="10:10" s="388" customFormat="1" x14ac:dyDescent="0.25">
      <c r="J439" s="676" t="e">
        <f t="shared" si="9"/>
        <v>#DIV/0!</v>
      </c>
    </row>
    <row r="440" spans="10:10" s="388" customFormat="1" x14ac:dyDescent="0.25">
      <c r="J440" s="676" t="e">
        <f t="shared" si="9"/>
        <v>#DIV/0!</v>
      </c>
    </row>
    <row r="441" spans="10:10" s="388" customFormat="1" x14ac:dyDescent="0.25">
      <c r="J441" s="676" t="e">
        <f t="shared" si="9"/>
        <v>#DIV/0!</v>
      </c>
    </row>
    <row r="442" spans="10:10" s="388" customFormat="1" x14ac:dyDescent="0.25">
      <c r="J442" s="676" t="e">
        <f t="shared" si="9"/>
        <v>#DIV/0!</v>
      </c>
    </row>
    <row r="443" spans="10:10" s="388" customFormat="1" x14ac:dyDescent="0.25">
      <c r="J443" s="676" t="e">
        <f t="shared" si="9"/>
        <v>#DIV/0!</v>
      </c>
    </row>
    <row r="444" spans="10:10" s="388" customFormat="1" x14ac:dyDescent="0.25">
      <c r="J444" s="676" t="e">
        <f t="shared" si="9"/>
        <v>#DIV/0!</v>
      </c>
    </row>
    <row r="445" spans="10:10" s="388" customFormat="1" x14ac:dyDescent="0.25">
      <c r="J445" s="676" t="e">
        <f t="shared" si="9"/>
        <v>#DIV/0!</v>
      </c>
    </row>
    <row r="446" spans="10:10" s="388" customFormat="1" x14ac:dyDescent="0.25">
      <c r="J446" s="676" t="e">
        <f t="shared" si="9"/>
        <v>#DIV/0!</v>
      </c>
    </row>
    <row r="447" spans="10:10" s="388" customFormat="1" x14ac:dyDescent="0.25">
      <c r="J447" s="676" t="e">
        <f t="shared" si="9"/>
        <v>#DIV/0!</v>
      </c>
    </row>
    <row r="448" spans="10:10" s="388" customFormat="1" x14ac:dyDescent="0.25">
      <c r="J448" s="676" t="e">
        <f t="shared" si="9"/>
        <v>#DIV/0!</v>
      </c>
    </row>
    <row r="449" spans="10:10" s="388" customFormat="1" x14ac:dyDescent="0.25">
      <c r="J449" s="676" t="e">
        <f t="shared" si="9"/>
        <v>#DIV/0!</v>
      </c>
    </row>
    <row r="450" spans="10:10" s="388" customFormat="1" x14ac:dyDescent="0.25">
      <c r="J450" s="676" t="e">
        <f t="shared" si="9"/>
        <v>#DIV/0!</v>
      </c>
    </row>
    <row r="451" spans="10:10" s="388" customFormat="1" x14ac:dyDescent="0.25">
      <c r="J451" s="676" t="e">
        <f t="shared" si="9"/>
        <v>#DIV/0!</v>
      </c>
    </row>
    <row r="452" spans="10:10" s="388" customFormat="1" x14ac:dyDescent="0.25">
      <c r="J452" s="676" t="e">
        <f t="shared" si="9"/>
        <v>#DIV/0!</v>
      </c>
    </row>
  </sheetData>
  <mergeCells count="3">
    <mergeCell ref="A1:Q1"/>
    <mergeCell ref="A2:Q2"/>
    <mergeCell ref="P11:P15"/>
  </mergeCells>
  <conditionalFormatting sqref="L3:Q3">
    <cfRule type="cellIs" dxfId="40" priority="18" operator="equal">
      <formula>"sous surveillance"</formula>
    </cfRule>
  </conditionalFormatting>
  <conditionalFormatting sqref="G7">
    <cfRule type="expression" dxfId="39" priority="17">
      <formula>AND($T7="Empty")</formula>
    </cfRule>
  </conditionalFormatting>
  <conditionalFormatting sqref="E7">
    <cfRule type="expression" dxfId="38" priority="16">
      <formula>AND($T7="Empty")</formula>
    </cfRule>
  </conditionalFormatting>
  <conditionalFormatting sqref="F12">
    <cfRule type="expression" dxfId="37" priority="15">
      <formula>AND($T12="Empty")</formula>
    </cfRule>
  </conditionalFormatting>
  <conditionalFormatting sqref="G12">
    <cfRule type="expression" dxfId="36" priority="14">
      <formula>AND($T12="Empty")</formula>
    </cfRule>
  </conditionalFormatting>
  <conditionalFormatting sqref="G13">
    <cfRule type="expression" dxfId="35" priority="13">
      <formula>AND($T13="Empty")</formula>
    </cfRule>
  </conditionalFormatting>
  <conditionalFormatting sqref="F13">
    <cfRule type="expression" dxfId="34" priority="12">
      <formula>AND($T13="Empty")</formula>
    </cfRule>
  </conditionalFormatting>
  <conditionalFormatting sqref="E14:E15">
    <cfRule type="expression" dxfId="33" priority="11">
      <formula>AND($T14="Empty")</formula>
    </cfRule>
  </conditionalFormatting>
  <conditionalFormatting sqref="G14:G15">
    <cfRule type="expression" dxfId="32" priority="10">
      <formula>AND($T14="Empty")</formula>
    </cfRule>
  </conditionalFormatting>
  <conditionalFormatting sqref="F14">
    <cfRule type="expression" dxfId="31" priority="9">
      <formula>AND($T14="Empty")</formula>
    </cfRule>
  </conditionalFormatting>
  <conditionalFormatting sqref="G21">
    <cfRule type="expression" dxfId="30" priority="8">
      <formula>AND($T21="Empty")</formula>
    </cfRule>
  </conditionalFormatting>
  <conditionalFormatting sqref="E28">
    <cfRule type="expression" dxfId="29" priority="6">
      <formula>AND($T28="Empty")</formula>
    </cfRule>
  </conditionalFormatting>
  <conditionalFormatting sqref="G28">
    <cfRule type="expression" dxfId="28" priority="5">
      <formula>AND($T28="Empty")</formula>
    </cfRule>
  </conditionalFormatting>
  <conditionalFormatting sqref="G30">
    <cfRule type="expression" dxfId="27" priority="4">
      <formula>AND($T30="Empty")</formula>
    </cfRule>
  </conditionalFormatting>
  <conditionalFormatting sqref="G31">
    <cfRule type="expression" dxfId="26" priority="3">
      <formula>AND($T31="Empty")</formula>
    </cfRule>
  </conditionalFormatting>
  <conditionalFormatting sqref="G32">
    <cfRule type="expression" dxfId="25" priority="2">
      <formula>AND($T32="Empty")</formula>
    </cfRule>
  </conditionalFormatting>
  <conditionalFormatting sqref="G33">
    <cfRule type="expression" dxfId="24" priority="1">
      <formula>AND($T33="Empty")</formula>
    </cfRule>
  </conditionalFormatting>
  <dataValidations count="7">
    <dataValidation type="list" allowBlank="1" showInputMessage="1" sqref="O45">
      <formula1>INDIRECT(C45)</formula1>
    </dataValidation>
    <dataValidation type="list" allowBlank="1" showInputMessage="1" showErrorMessage="1" sqref="L17:L19">
      <formula1>"H2O mQ, DMSO, eq NaOH, EtOH, eq HCl,Citrate buffer, directly in ACSF, O2 sucrose"</formula1>
    </dataValidation>
    <dataValidation type="list" allowBlank="1" showInputMessage="1" showErrorMessage="1" sqref="L16 L23:L27 L6:L9 L4 L38:L45 L20:L21 L34 L36">
      <formula1>"H2O mQ, DMSO, eq NaOH, EtOH, eq HCl,Citrate buffer, directly in ACSF"</formula1>
    </dataValidation>
    <dataValidation errorStyle="warning" allowBlank="1" showInputMessage="1" showErrorMessage="1" sqref="L3:P3"/>
    <dataValidation type="list" allowBlank="1" showInputMessage="1" showErrorMessage="1" sqref="L22">
      <formula1>"H2O mQ, DMSO, eq NaOH, EtOH, eq HCl,Citrate buffer, directly in ACSF,PBS sterile"</formula1>
    </dataValidation>
    <dataValidation type="list" allowBlank="1" showInputMessage="1" showErrorMessage="1" sqref="L37 L35 L10:L15 L28:L33">
      <formula1>"Medium NBA, H2O mQ, DMSO, eq NaOH, EtOH, eq HCl,Citrate buffer, directly in ACSF"</formula1>
    </dataValidation>
    <dataValidation type="list" allowBlank="1" showInputMessage="1" showErrorMessage="1" sqref="L5">
      <formula1>"medium NBA, H2O mQ, DMSO, eq NaOH, EtOH, eq HCl,Citrate buffer, directly in ACSF"</formula1>
    </dataValidation>
  </dataValidations>
  <pageMargins left="0.7" right="0.7" top="0.75" bottom="0.75" header="0.3" footer="0.3"/>
  <pageSetup scale="1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R452"/>
  <sheetViews>
    <sheetView zoomScale="70" zoomScaleNormal="70" workbookViewId="0">
      <pane ySplit="4" topLeftCell="A44" activePane="bottomLeft" state="frozen"/>
      <selection pane="bottomLeft" activeCell="P45" sqref="P45"/>
    </sheetView>
  </sheetViews>
  <sheetFormatPr baseColWidth="10" defaultColWidth="11.42578125" defaultRowHeight="15" x14ac:dyDescent="0.25"/>
  <cols>
    <col min="1" max="1" width="19" style="223" customWidth="1"/>
    <col min="2" max="2" width="23.28515625" style="388" customWidth="1"/>
    <col min="3" max="3" width="19.28515625" style="388" customWidth="1"/>
    <col min="4" max="4" width="21" style="388" customWidth="1"/>
    <col min="5" max="5" width="36" style="713" bestFit="1" customWidth="1"/>
    <col min="6" max="6" width="12.140625" style="460" bestFit="1" customWidth="1"/>
    <col min="7" max="7" width="11.85546875" style="710" customWidth="1"/>
    <col min="8" max="8" width="16.7109375" style="710" customWidth="1"/>
    <col min="9" max="9" width="20.85546875" style="710" customWidth="1"/>
    <col min="10" max="10" width="14.7109375" style="706" customWidth="1"/>
    <col min="11" max="11" width="10.5703125" style="706" customWidth="1"/>
    <col min="12" max="12" width="16.140625" style="388" customWidth="1"/>
    <col min="13" max="13" width="17.7109375" style="388" customWidth="1"/>
    <col min="14" max="14" width="17.7109375" style="533" customWidth="1"/>
    <col min="15" max="15" width="11.42578125" style="388"/>
    <col min="16" max="16" width="28.140625" style="388" customWidth="1"/>
    <col min="17" max="17" width="17.42578125" style="388" customWidth="1"/>
    <col min="18" max="16384" width="11.42578125" style="388"/>
  </cols>
  <sheetData>
    <row r="1" spans="1:17" ht="50.25" customHeight="1" x14ac:dyDescent="0.25">
      <c r="A1" s="772" t="s">
        <v>1340</v>
      </c>
      <c r="B1" s="772"/>
      <c r="C1" s="772"/>
      <c r="D1" s="773"/>
      <c r="E1" s="773"/>
      <c r="F1" s="773"/>
      <c r="G1" s="773"/>
      <c r="H1" s="773"/>
      <c r="I1" s="773"/>
      <c r="J1" s="773"/>
      <c r="K1" s="773"/>
      <c r="L1" s="773"/>
      <c r="M1" s="773"/>
      <c r="N1" s="773"/>
      <c r="O1" s="773"/>
      <c r="P1" s="773"/>
      <c r="Q1" s="773"/>
    </row>
    <row r="2" spans="1:17" ht="24" customHeight="1" x14ac:dyDescent="0.25">
      <c r="A2" s="774">
        <v>43344</v>
      </c>
      <c r="B2" s="775"/>
      <c r="C2" s="775"/>
      <c r="D2" s="776"/>
      <c r="E2" s="776"/>
      <c r="F2" s="776"/>
      <c r="G2" s="776"/>
      <c r="H2" s="776"/>
      <c r="I2" s="776"/>
      <c r="J2" s="776"/>
      <c r="K2" s="776"/>
      <c r="L2" s="776"/>
      <c r="M2" s="776"/>
      <c r="N2" s="776"/>
      <c r="O2" s="776"/>
      <c r="P2" s="776"/>
      <c r="Q2" s="776"/>
    </row>
    <row r="3" spans="1:17" ht="30" customHeight="1" x14ac:dyDescent="0.25">
      <c r="A3" s="209" t="s">
        <v>4</v>
      </c>
      <c r="B3" s="88" t="s">
        <v>10</v>
      </c>
      <c r="C3" s="210" t="s">
        <v>1232</v>
      </c>
      <c r="D3" s="196" t="s">
        <v>2791</v>
      </c>
      <c r="E3" s="538" t="s">
        <v>2792</v>
      </c>
      <c r="F3" s="539" t="s">
        <v>2793</v>
      </c>
      <c r="G3" s="447" t="s">
        <v>23</v>
      </c>
      <c r="H3" s="447" t="s">
        <v>2817</v>
      </c>
      <c r="I3" s="540" t="s">
        <v>2818</v>
      </c>
      <c r="J3" s="540" t="s">
        <v>2819</v>
      </c>
      <c r="K3" s="541" t="s">
        <v>1344</v>
      </c>
      <c r="L3" s="447" t="s">
        <v>37</v>
      </c>
      <c r="M3" s="447" t="s">
        <v>1237</v>
      </c>
      <c r="N3" s="447" t="s">
        <v>2794</v>
      </c>
      <c r="O3" s="447" t="s">
        <v>1239</v>
      </c>
      <c r="P3" s="447" t="s">
        <v>1240</v>
      </c>
      <c r="Q3" s="447" t="s">
        <v>1241</v>
      </c>
    </row>
    <row r="4" spans="1:17" ht="30" customHeight="1" x14ac:dyDescent="0.25">
      <c r="A4" s="701">
        <v>43312</v>
      </c>
      <c r="B4" s="702" t="s">
        <v>3350</v>
      </c>
      <c r="C4" s="703" t="s">
        <v>170</v>
      </c>
      <c r="D4" s="612" t="s">
        <v>701</v>
      </c>
      <c r="E4" s="612" t="s">
        <v>1582</v>
      </c>
      <c r="F4" s="653">
        <v>43312</v>
      </c>
      <c r="G4" s="615">
        <v>319.27999999999997</v>
      </c>
      <c r="H4" s="615">
        <v>1</v>
      </c>
      <c r="I4" s="616">
        <v>1</v>
      </c>
      <c r="J4" s="617">
        <f t="shared" ref="J4:J67" si="0">(I4*K4/100)/(H4*G4)*1000</f>
        <v>3.1007266349285896</v>
      </c>
      <c r="K4" s="616">
        <v>99</v>
      </c>
      <c r="L4" s="619" t="s">
        <v>1724</v>
      </c>
      <c r="M4" s="619" t="s">
        <v>1463</v>
      </c>
      <c r="N4" s="620" t="s">
        <v>1493</v>
      </c>
      <c r="O4" s="619" t="s">
        <v>2648</v>
      </c>
      <c r="P4" s="704"/>
      <c r="Q4" s="705" t="s">
        <v>3450</v>
      </c>
    </row>
    <row r="5" spans="1:17" ht="30" customHeight="1" x14ac:dyDescent="0.25">
      <c r="A5" s="219">
        <v>43346</v>
      </c>
      <c r="B5" s="88" t="s">
        <v>3506</v>
      </c>
      <c r="C5" s="220" t="s">
        <v>170</v>
      </c>
      <c r="D5" s="535" t="s">
        <v>416</v>
      </c>
      <c r="E5" s="552" t="s">
        <v>3507</v>
      </c>
      <c r="F5" s="553">
        <v>43346</v>
      </c>
      <c r="G5" s="126">
        <v>371.32900000000001</v>
      </c>
      <c r="H5" s="554">
        <v>10</v>
      </c>
      <c r="I5" s="555">
        <v>6.11</v>
      </c>
      <c r="J5" s="674">
        <f t="shared" si="0"/>
        <v>1.6454411047884763</v>
      </c>
      <c r="K5" s="555">
        <v>100</v>
      </c>
      <c r="L5" s="556" t="s">
        <v>212</v>
      </c>
      <c r="M5" s="556" t="s">
        <v>2042</v>
      </c>
      <c r="N5" s="557" t="s">
        <v>3508</v>
      </c>
      <c r="O5" s="556" t="s">
        <v>2648</v>
      </c>
      <c r="P5" s="558"/>
      <c r="Q5" s="707" t="s">
        <v>3575</v>
      </c>
    </row>
    <row r="6" spans="1:17" ht="25.5" x14ac:dyDescent="0.25">
      <c r="A6" s="213">
        <v>43347</v>
      </c>
      <c r="B6" s="408" t="s">
        <v>3514</v>
      </c>
      <c r="C6" s="698" t="s">
        <v>824</v>
      </c>
      <c r="D6" s="633" t="s">
        <v>701</v>
      </c>
      <c r="E6" s="633" t="s">
        <v>3515</v>
      </c>
      <c r="F6" s="624">
        <v>43347</v>
      </c>
      <c r="G6" s="625" t="s">
        <v>1702</v>
      </c>
      <c r="H6" s="625" t="s">
        <v>1702</v>
      </c>
      <c r="I6" s="555" t="s">
        <v>1702</v>
      </c>
      <c r="J6" s="674" t="e">
        <f t="shared" si="0"/>
        <v>#VALUE!</v>
      </c>
      <c r="K6" s="627" t="s">
        <v>1702</v>
      </c>
      <c r="L6" s="628"/>
      <c r="M6" s="628" t="s">
        <v>2042</v>
      </c>
      <c r="N6" s="695" t="s">
        <v>3082</v>
      </c>
      <c r="O6" s="640" t="s">
        <v>2846</v>
      </c>
      <c r="P6" s="558" t="s">
        <v>3516</v>
      </c>
      <c r="Q6" s="707" t="s">
        <v>3586</v>
      </c>
    </row>
    <row r="7" spans="1:17" ht="25.5" x14ac:dyDescent="0.25">
      <c r="A7" s="221">
        <v>43348</v>
      </c>
      <c r="B7" s="88" t="s">
        <v>3350</v>
      </c>
      <c r="C7" s="220" t="s">
        <v>170</v>
      </c>
      <c r="D7" s="536" t="s">
        <v>701</v>
      </c>
      <c r="E7" s="560" t="s">
        <v>1582</v>
      </c>
      <c r="F7" s="553">
        <v>43342</v>
      </c>
      <c r="G7" s="126">
        <v>319.27999999999997</v>
      </c>
      <c r="H7" s="554">
        <v>1</v>
      </c>
      <c r="I7" s="555">
        <v>1</v>
      </c>
      <c r="J7" s="674">
        <f t="shared" si="0"/>
        <v>3.1007266349285896</v>
      </c>
      <c r="K7" s="555">
        <v>99</v>
      </c>
      <c r="L7" s="556" t="s">
        <v>1724</v>
      </c>
      <c r="M7" s="556" t="s">
        <v>1464</v>
      </c>
      <c r="N7" s="557" t="s">
        <v>1034</v>
      </c>
      <c r="O7" s="640" t="s">
        <v>2846</v>
      </c>
      <c r="P7" s="558"/>
      <c r="Q7" s="707" t="s">
        <v>3586</v>
      </c>
    </row>
    <row r="8" spans="1:17" ht="25.5" x14ac:dyDescent="0.25">
      <c r="A8" s="221">
        <v>43348</v>
      </c>
      <c r="B8" s="88" t="s">
        <v>3501</v>
      </c>
      <c r="C8" s="220" t="s">
        <v>170</v>
      </c>
      <c r="D8" s="536" t="s">
        <v>701</v>
      </c>
      <c r="E8" s="560" t="s">
        <v>254</v>
      </c>
      <c r="F8" s="553">
        <v>42971</v>
      </c>
      <c r="G8" s="554">
        <v>602.58000000000004</v>
      </c>
      <c r="H8" s="554">
        <v>50</v>
      </c>
      <c r="I8" s="555">
        <v>191.75</v>
      </c>
      <c r="J8" s="674">
        <f t="shared" si="0"/>
        <v>6.3006571741511497</v>
      </c>
      <c r="K8" s="555">
        <v>99</v>
      </c>
      <c r="L8" s="556" t="s">
        <v>212</v>
      </c>
      <c r="M8" s="556" t="s">
        <v>1464</v>
      </c>
      <c r="N8" s="557" t="s">
        <v>1034</v>
      </c>
      <c r="O8" s="556" t="s">
        <v>2648</v>
      </c>
      <c r="P8" s="558"/>
      <c r="Q8" s="707" t="s">
        <v>3586</v>
      </c>
    </row>
    <row r="9" spans="1:17" ht="25.5" x14ac:dyDescent="0.25">
      <c r="A9" s="221">
        <v>43348</v>
      </c>
      <c r="B9" s="489" t="s">
        <v>3517</v>
      </c>
      <c r="C9" s="220" t="s">
        <v>170</v>
      </c>
      <c r="D9" s="535" t="s">
        <v>416</v>
      </c>
      <c r="E9" s="124" t="s">
        <v>3363</v>
      </c>
      <c r="F9" s="553">
        <v>43348</v>
      </c>
      <c r="G9" s="126">
        <v>341.34</v>
      </c>
      <c r="H9" s="554">
        <v>10</v>
      </c>
      <c r="I9" s="555">
        <v>10</v>
      </c>
      <c r="J9" s="674" t="s">
        <v>3519</v>
      </c>
      <c r="K9" s="627" t="s">
        <v>1702</v>
      </c>
      <c r="L9" s="556" t="s">
        <v>212</v>
      </c>
      <c r="M9" s="556" t="s">
        <v>2878</v>
      </c>
      <c r="N9" s="562" t="s">
        <v>3367</v>
      </c>
      <c r="O9" s="556" t="s">
        <v>2648</v>
      </c>
      <c r="P9" s="558"/>
      <c r="Q9" s="707" t="s">
        <v>3586</v>
      </c>
    </row>
    <row r="10" spans="1:17" ht="25.5" x14ac:dyDescent="0.25">
      <c r="A10" s="221">
        <v>43348</v>
      </c>
      <c r="B10" s="88" t="s">
        <v>3518</v>
      </c>
      <c r="C10" s="220" t="s">
        <v>170</v>
      </c>
      <c r="D10" s="537" t="s">
        <v>416</v>
      </c>
      <c r="E10" s="124" t="s">
        <v>3364</v>
      </c>
      <c r="F10" s="553">
        <v>43348</v>
      </c>
      <c r="G10" s="126">
        <v>372.387</v>
      </c>
      <c r="H10" s="554">
        <v>10</v>
      </c>
      <c r="I10" s="555">
        <v>10</v>
      </c>
      <c r="J10" s="674" t="s">
        <v>3520</v>
      </c>
      <c r="K10" s="627" t="s">
        <v>1702</v>
      </c>
      <c r="L10" s="556" t="s">
        <v>212</v>
      </c>
      <c r="M10" s="556" t="s">
        <v>2878</v>
      </c>
      <c r="N10" s="562" t="s">
        <v>3367</v>
      </c>
      <c r="O10" s="556" t="s">
        <v>2648</v>
      </c>
      <c r="P10" s="558"/>
      <c r="Q10" s="707" t="s">
        <v>3586</v>
      </c>
    </row>
    <row r="11" spans="1:17" ht="25.5" x14ac:dyDescent="0.25">
      <c r="A11" s="221">
        <v>43348</v>
      </c>
      <c r="B11" s="88" t="s">
        <v>3527</v>
      </c>
      <c r="C11" s="220" t="s">
        <v>824</v>
      </c>
      <c r="D11" s="535" t="s">
        <v>701</v>
      </c>
      <c r="E11" s="559" t="s">
        <v>1380</v>
      </c>
      <c r="F11" s="563">
        <v>43348</v>
      </c>
      <c r="G11" s="554" t="s">
        <v>1702</v>
      </c>
      <c r="H11" s="561" t="s">
        <v>3528</v>
      </c>
      <c r="I11" s="561" t="s">
        <v>194</v>
      </c>
      <c r="J11" s="674" t="e">
        <f t="shared" si="0"/>
        <v>#VALUE!</v>
      </c>
      <c r="K11" s="564">
        <v>99.8</v>
      </c>
      <c r="L11" s="556"/>
      <c r="M11" s="554" t="s">
        <v>2042</v>
      </c>
      <c r="N11" s="565"/>
      <c r="O11" s="566" t="s">
        <v>2846</v>
      </c>
      <c r="P11" s="558" t="s">
        <v>3516</v>
      </c>
      <c r="Q11" s="707" t="s">
        <v>3586</v>
      </c>
    </row>
    <row r="12" spans="1:17" ht="25.5" x14ac:dyDescent="0.25">
      <c r="A12" s="221">
        <v>43349</v>
      </c>
      <c r="B12" s="88" t="s">
        <v>3529</v>
      </c>
      <c r="C12" s="220" t="s">
        <v>40</v>
      </c>
      <c r="D12" s="536" t="s">
        <v>701</v>
      </c>
      <c r="E12" s="560" t="s">
        <v>3523</v>
      </c>
      <c r="F12" s="265">
        <v>43349</v>
      </c>
      <c r="G12" s="126">
        <v>436.26</v>
      </c>
      <c r="H12" s="554">
        <v>1</v>
      </c>
      <c r="I12" s="555">
        <v>5</v>
      </c>
      <c r="J12" s="674">
        <f t="shared" si="0"/>
        <v>11.438133223307203</v>
      </c>
      <c r="K12" s="555">
        <v>99.8</v>
      </c>
      <c r="L12" s="556" t="s">
        <v>212</v>
      </c>
      <c r="M12" s="554" t="s">
        <v>1429</v>
      </c>
      <c r="N12" s="565"/>
      <c r="O12" s="566" t="s">
        <v>2846</v>
      </c>
      <c r="P12" s="558"/>
      <c r="Q12" s="707" t="s">
        <v>3586</v>
      </c>
    </row>
    <row r="13" spans="1:17" ht="25.5" x14ac:dyDescent="0.25">
      <c r="A13" s="221">
        <v>43349</v>
      </c>
      <c r="B13" s="88" t="s">
        <v>3530</v>
      </c>
      <c r="C13" s="220" t="s">
        <v>40</v>
      </c>
      <c r="D13" s="536" t="s">
        <v>701</v>
      </c>
      <c r="E13" s="559" t="s">
        <v>3531</v>
      </c>
      <c r="F13" s="264">
        <v>43349</v>
      </c>
      <c r="G13" s="443">
        <v>17000</v>
      </c>
      <c r="H13" s="554" t="s">
        <v>3532</v>
      </c>
      <c r="I13" s="555" t="s">
        <v>1141</v>
      </c>
      <c r="J13" s="674" t="s">
        <v>2005</v>
      </c>
      <c r="K13" s="555"/>
      <c r="L13" s="556"/>
      <c r="M13" s="554" t="s">
        <v>1429</v>
      </c>
      <c r="N13" s="562" t="s">
        <v>3539</v>
      </c>
      <c r="O13" s="566" t="s">
        <v>2846</v>
      </c>
      <c r="P13" s="558"/>
      <c r="Q13" s="707" t="s">
        <v>3586</v>
      </c>
    </row>
    <row r="14" spans="1:17" ht="27.75" customHeight="1" x14ac:dyDescent="0.25">
      <c r="A14" s="221">
        <v>43350</v>
      </c>
      <c r="B14" s="88" t="s">
        <v>3235</v>
      </c>
      <c r="C14" s="220" t="s">
        <v>170</v>
      </c>
      <c r="D14" s="536" t="s">
        <v>701</v>
      </c>
      <c r="E14" s="124" t="s">
        <v>2558</v>
      </c>
      <c r="F14" s="260">
        <v>43070</v>
      </c>
      <c r="G14" s="126">
        <v>89.09</v>
      </c>
      <c r="H14" s="554" t="s">
        <v>3535</v>
      </c>
      <c r="I14" s="555">
        <v>1000</v>
      </c>
      <c r="J14" s="674" t="e">
        <f t="shared" si="0"/>
        <v>#VALUE!</v>
      </c>
      <c r="K14" s="266">
        <v>0.99</v>
      </c>
      <c r="L14" s="556"/>
      <c r="M14" s="554" t="s">
        <v>2121</v>
      </c>
      <c r="N14" s="565" t="s">
        <v>3149</v>
      </c>
      <c r="O14" s="566" t="s">
        <v>2846</v>
      </c>
      <c r="P14" s="558" t="s">
        <v>3536</v>
      </c>
      <c r="Q14" s="707" t="s">
        <v>3586</v>
      </c>
    </row>
    <row r="15" spans="1:17" ht="25.5" x14ac:dyDescent="0.25">
      <c r="A15" s="221">
        <v>43350</v>
      </c>
      <c r="B15" s="88" t="s">
        <v>3534</v>
      </c>
      <c r="C15" s="220" t="s">
        <v>170</v>
      </c>
      <c r="D15" s="536" t="s">
        <v>701</v>
      </c>
      <c r="E15" s="124" t="s">
        <v>2558</v>
      </c>
      <c r="F15" s="553">
        <v>43350</v>
      </c>
      <c r="G15" s="126">
        <v>89.09</v>
      </c>
      <c r="H15" s="554" t="s">
        <v>3535</v>
      </c>
      <c r="I15" s="555">
        <v>15000</v>
      </c>
      <c r="J15" s="674" t="e">
        <f t="shared" si="0"/>
        <v>#VALUE!</v>
      </c>
      <c r="K15" s="266">
        <v>0.99</v>
      </c>
      <c r="L15" s="556"/>
      <c r="M15" s="554" t="s">
        <v>2121</v>
      </c>
      <c r="N15" s="565" t="s">
        <v>3149</v>
      </c>
      <c r="O15" s="556" t="s">
        <v>2648</v>
      </c>
      <c r="P15" s="558" t="s">
        <v>3537</v>
      </c>
      <c r="Q15" s="707" t="s">
        <v>3586</v>
      </c>
    </row>
    <row r="16" spans="1:17" ht="25.5" x14ac:dyDescent="0.25">
      <c r="A16" s="221">
        <v>43350</v>
      </c>
      <c r="B16" s="88" t="s">
        <v>3488</v>
      </c>
      <c r="C16" s="220" t="s">
        <v>170</v>
      </c>
      <c r="D16" s="536" t="s">
        <v>701</v>
      </c>
      <c r="E16" s="633" t="s">
        <v>3455</v>
      </c>
      <c r="F16" s="624">
        <v>43332</v>
      </c>
      <c r="G16" s="625">
        <v>303.29000000000002</v>
      </c>
      <c r="H16" s="625">
        <v>1</v>
      </c>
      <c r="I16" s="555">
        <v>3.8</v>
      </c>
      <c r="J16" s="674">
        <f t="shared" si="0"/>
        <v>12.529262422104255</v>
      </c>
      <c r="K16" s="627">
        <v>100</v>
      </c>
      <c r="L16" s="628" t="s">
        <v>212</v>
      </c>
      <c r="M16" s="628" t="s">
        <v>3192</v>
      </c>
      <c r="N16" s="695" t="s">
        <v>3436</v>
      </c>
      <c r="O16" s="640" t="s">
        <v>2846</v>
      </c>
      <c r="P16" s="558"/>
      <c r="Q16" s="707" t="s">
        <v>3586</v>
      </c>
    </row>
    <row r="17" spans="1:18" ht="25.5" x14ac:dyDescent="0.25">
      <c r="A17" s="221">
        <v>43350</v>
      </c>
      <c r="B17" s="88" t="s">
        <v>3489</v>
      </c>
      <c r="C17" s="220" t="s">
        <v>170</v>
      </c>
      <c r="D17" s="536" t="s">
        <v>701</v>
      </c>
      <c r="E17" s="560" t="s">
        <v>1588</v>
      </c>
      <c r="F17" s="553">
        <v>43332</v>
      </c>
      <c r="G17" s="554">
        <v>284.74</v>
      </c>
      <c r="H17" s="554">
        <v>1</v>
      </c>
      <c r="I17" s="555">
        <v>1.52</v>
      </c>
      <c r="J17" s="674">
        <f t="shared" si="0"/>
        <v>5.3382032731614801</v>
      </c>
      <c r="K17" s="555">
        <v>100</v>
      </c>
      <c r="L17" s="556" t="s">
        <v>49</v>
      </c>
      <c r="M17" s="556" t="s">
        <v>3192</v>
      </c>
      <c r="N17" s="557" t="s">
        <v>3436</v>
      </c>
      <c r="O17" s="556" t="s">
        <v>2648</v>
      </c>
      <c r="P17" s="558"/>
      <c r="Q17" s="707" t="s">
        <v>3586</v>
      </c>
    </row>
    <row r="18" spans="1:18" ht="25.5" x14ac:dyDescent="0.25">
      <c r="A18" s="221">
        <v>43350</v>
      </c>
      <c r="B18" s="88" t="s">
        <v>3538</v>
      </c>
      <c r="C18" s="220" t="s">
        <v>40</v>
      </c>
      <c r="D18" s="536" t="s">
        <v>701</v>
      </c>
      <c r="E18" s="559" t="s">
        <v>3531</v>
      </c>
      <c r="F18" s="553">
        <v>43350</v>
      </c>
      <c r="G18" s="554">
        <v>17000</v>
      </c>
      <c r="H18" s="554" t="s">
        <v>3532</v>
      </c>
      <c r="I18" s="555" t="s">
        <v>1141</v>
      </c>
      <c r="J18" s="674" t="s">
        <v>2005</v>
      </c>
      <c r="K18" s="555"/>
      <c r="L18" s="556" t="s">
        <v>2000</v>
      </c>
      <c r="M18" s="556" t="s">
        <v>1429</v>
      </c>
      <c r="N18" s="562" t="s">
        <v>3539</v>
      </c>
      <c r="O18" s="556" t="s">
        <v>2846</v>
      </c>
      <c r="P18" s="558"/>
      <c r="Q18" s="707" t="s">
        <v>3586</v>
      </c>
    </row>
    <row r="19" spans="1:18" ht="25.5" x14ac:dyDescent="0.25">
      <c r="A19" s="221">
        <v>43353</v>
      </c>
      <c r="B19" s="88" t="s">
        <v>3540</v>
      </c>
      <c r="C19" s="220" t="s">
        <v>40</v>
      </c>
      <c r="D19" s="536" t="s">
        <v>701</v>
      </c>
      <c r="E19" s="560" t="s">
        <v>3531</v>
      </c>
      <c r="F19" s="553">
        <v>43353</v>
      </c>
      <c r="G19" s="554">
        <v>17000</v>
      </c>
      <c r="H19" s="554" t="s">
        <v>3532</v>
      </c>
      <c r="I19" s="555" t="s">
        <v>1141</v>
      </c>
      <c r="J19" s="674" t="s">
        <v>2005</v>
      </c>
      <c r="K19" s="555"/>
      <c r="L19" s="556" t="s">
        <v>2000</v>
      </c>
      <c r="M19" s="556" t="s">
        <v>1463</v>
      </c>
      <c r="N19" s="562" t="s">
        <v>3539</v>
      </c>
      <c r="O19" s="556" t="s">
        <v>2846</v>
      </c>
      <c r="P19" s="558"/>
      <c r="Q19" s="707" t="s">
        <v>3586</v>
      </c>
    </row>
    <row r="20" spans="1:18" ht="25.5" x14ac:dyDescent="0.25">
      <c r="A20" s="221">
        <v>43354</v>
      </c>
      <c r="B20" s="88" t="s">
        <v>3541</v>
      </c>
      <c r="C20" s="220" t="s">
        <v>824</v>
      </c>
      <c r="D20" s="536" t="s">
        <v>701</v>
      </c>
      <c r="E20" s="560" t="s">
        <v>1096</v>
      </c>
      <c r="F20" s="553">
        <v>43354</v>
      </c>
      <c r="G20" s="554">
        <v>449.4</v>
      </c>
      <c r="H20" s="554">
        <v>10</v>
      </c>
      <c r="I20" s="555">
        <v>10.15</v>
      </c>
      <c r="J20" s="674">
        <f t="shared" si="0"/>
        <v>2.2585669781931461</v>
      </c>
      <c r="K20" s="555">
        <v>100</v>
      </c>
      <c r="L20" s="556" t="s">
        <v>49</v>
      </c>
      <c r="M20" s="556" t="s">
        <v>1463</v>
      </c>
      <c r="N20" s="557" t="s">
        <v>3508</v>
      </c>
      <c r="O20" s="556" t="s">
        <v>2846</v>
      </c>
      <c r="P20" s="558"/>
      <c r="Q20" s="707" t="s">
        <v>3586</v>
      </c>
    </row>
    <row r="21" spans="1:18" ht="25.5" x14ac:dyDescent="0.25">
      <c r="A21" s="221">
        <v>43356</v>
      </c>
      <c r="B21" s="88" t="s">
        <v>3542</v>
      </c>
      <c r="C21" s="220" t="s">
        <v>40</v>
      </c>
      <c r="D21" s="535" t="s">
        <v>701</v>
      </c>
      <c r="E21" s="559" t="s">
        <v>2636</v>
      </c>
      <c r="F21" s="553">
        <v>43276</v>
      </c>
      <c r="G21" s="126">
        <v>386.88</v>
      </c>
      <c r="H21" s="554">
        <v>10</v>
      </c>
      <c r="I21" s="555">
        <v>19.940000000000001</v>
      </c>
      <c r="J21" s="674">
        <f t="shared" si="0"/>
        <v>5.1540529363110013</v>
      </c>
      <c r="K21" s="555">
        <v>100</v>
      </c>
      <c r="L21" s="556" t="s">
        <v>49</v>
      </c>
      <c r="M21" s="556" t="s">
        <v>3192</v>
      </c>
      <c r="N21" s="557" t="s">
        <v>3543</v>
      </c>
      <c r="O21" s="556" t="s">
        <v>2648</v>
      </c>
      <c r="P21" s="558"/>
      <c r="Q21" s="707" t="s">
        <v>3586</v>
      </c>
    </row>
    <row r="22" spans="1:18" ht="25.5" x14ac:dyDescent="0.25">
      <c r="A22" s="221">
        <v>43357</v>
      </c>
      <c r="B22" s="88" t="s">
        <v>3553</v>
      </c>
      <c r="C22" s="220" t="s">
        <v>170</v>
      </c>
      <c r="D22" s="536" t="s">
        <v>701</v>
      </c>
      <c r="E22" s="560" t="s">
        <v>779</v>
      </c>
      <c r="F22" s="553">
        <v>43357</v>
      </c>
      <c r="G22" s="554">
        <v>197.13</v>
      </c>
      <c r="H22" s="554">
        <v>50</v>
      </c>
      <c r="I22" s="555">
        <v>48.93</v>
      </c>
      <c r="J22" s="674">
        <f t="shared" si="0"/>
        <v>4.9294871404656826</v>
      </c>
      <c r="K22" s="555">
        <v>99.3</v>
      </c>
      <c r="L22" s="556" t="s">
        <v>49</v>
      </c>
      <c r="M22" s="708" t="s">
        <v>3192</v>
      </c>
      <c r="N22" s="557" t="s">
        <v>3367</v>
      </c>
      <c r="O22" s="556" t="s">
        <v>3293</v>
      </c>
      <c r="P22" s="558"/>
      <c r="Q22" s="707" t="s">
        <v>3586</v>
      </c>
    </row>
    <row r="23" spans="1:18" ht="25.5" x14ac:dyDescent="0.25">
      <c r="A23" s="221">
        <v>43357</v>
      </c>
      <c r="B23" s="88" t="s">
        <v>3231</v>
      </c>
      <c r="C23" s="220" t="s">
        <v>170</v>
      </c>
      <c r="D23" s="536" t="s">
        <v>701</v>
      </c>
      <c r="E23" s="560" t="s">
        <v>2936</v>
      </c>
      <c r="F23" s="553">
        <v>42971</v>
      </c>
      <c r="G23" s="554">
        <v>602.58000000000004</v>
      </c>
      <c r="H23" s="554">
        <v>100</v>
      </c>
      <c r="I23" s="555">
        <v>194.71</v>
      </c>
      <c r="J23" s="674">
        <f t="shared" si="0"/>
        <v>3.1989594742606786</v>
      </c>
      <c r="K23" s="555">
        <v>99</v>
      </c>
      <c r="L23" s="556" t="s">
        <v>212</v>
      </c>
      <c r="M23" s="556" t="s">
        <v>1431</v>
      </c>
      <c r="N23" s="557" t="s">
        <v>3367</v>
      </c>
      <c r="O23" s="556" t="s">
        <v>2648</v>
      </c>
      <c r="P23" s="558"/>
      <c r="Q23" s="707" t="s">
        <v>3586</v>
      </c>
    </row>
    <row r="24" spans="1:18" ht="25.5" x14ac:dyDescent="0.25">
      <c r="A24" s="221">
        <v>43356</v>
      </c>
      <c r="B24" s="88" t="s">
        <v>3311</v>
      </c>
      <c r="C24" s="220" t="s">
        <v>170</v>
      </c>
      <c r="D24" s="535" t="s">
        <v>701</v>
      </c>
      <c r="E24" s="560" t="s">
        <v>3554</v>
      </c>
      <c r="F24" s="553"/>
      <c r="G24" s="554">
        <v>234.25</v>
      </c>
      <c r="H24" s="554">
        <v>130</v>
      </c>
      <c r="I24" s="555">
        <v>3080</v>
      </c>
      <c r="J24" s="674">
        <v>100</v>
      </c>
      <c r="K24" s="555"/>
      <c r="L24" s="556" t="s">
        <v>49</v>
      </c>
      <c r="M24" s="556" t="s">
        <v>1430</v>
      </c>
      <c r="N24" s="557" t="s">
        <v>3367</v>
      </c>
      <c r="O24" s="556" t="s">
        <v>2846</v>
      </c>
      <c r="P24" s="558"/>
      <c r="Q24" s="707" t="s">
        <v>3586</v>
      </c>
    </row>
    <row r="25" spans="1:18" ht="25.5" x14ac:dyDescent="0.25">
      <c r="A25" s="221">
        <v>43356</v>
      </c>
      <c r="B25" s="88" t="s">
        <v>3341</v>
      </c>
      <c r="C25" s="220" t="s">
        <v>170</v>
      </c>
      <c r="D25" s="536" t="s">
        <v>701</v>
      </c>
      <c r="E25" s="560" t="s">
        <v>1878</v>
      </c>
      <c r="F25" s="553"/>
      <c r="G25" s="554">
        <v>380.35</v>
      </c>
      <c r="H25" s="554">
        <v>1</v>
      </c>
      <c r="I25" s="555">
        <v>38.81</v>
      </c>
      <c r="J25" s="674">
        <v>100</v>
      </c>
      <c r="K25" s="555"/>
      <c r="L25" s="556" t="s">
        <v>49</v>
      </c>
      <c r="M25" s="556" t="s">
        <v>1430</v>
      </c>
      <c r="N25" s="557" t="s">
        <v>3557</v>
      </c>
      <c r="O25" s="556" t="s">
        <v>2648</v>
      </c>
      <c r="P25" s="558"/>
      <c r="Q25" s="707" t="s">
        <v>3586</v>
      </c>
    </row>
    <row r="26" spans="1:18" ht="24.75" customHeight="1" x14ac:dyDescent="0.25">
      <c r="A26" s="221">
        <v>43356</v>
      </c>
      <c r="B26" s="88" t="s">
        <v>3330</v>
      </c>
      <c r="C26" s="220" t="s">
        <v>170</v>
      </c>
      <c r="D26" s="536" t="s">
        <v>701</v>
      </c>
      <c r="E26" s="560" t="s">
        <v>1840</v>
      </c>
      <c r="F26" s="553"/>
      <c r="G26" s="554">
        <v>283.3</v>
      </c>
      <c r="H26" s="554">
        <v>10</v>
      </c>
      <c r="I26" s="554">
        <v>239.25</v>
      </c>
      <c r="J26" s="674">
        <v>100</v>
      </c>
      <c r="K26" s="555"/>
      <c r="L26" s="556" t="s">
        <v>49</v>
      </c>
      <c r="M26" s="556" t="s">
        <v>1430</v>
      </c>
      <c r="N26" s="557" t="s">
        <v>3558</v>
      </c>
      <c r="O26" s="556" t="s">
        <v>2648</v>
      </c>
      <c r="P26" s="558"/>
      <c r="Q26" s="707" t="s">
        <v>3586</v>
      </c>
      <c r="R26" s="222"/>
    </row>
    <row r="27" spans="1:18" ht="25.5" x14ac:dyDescent="0.25">
      <c r="A27" s="221">
        <v>43356</v>
      </c>
      <c r="B27" s="88" t="s">
        <v>168</v>
      </c>
      <c r="C27" s="220" t="s">
        <v>170</v>
      </c>
      <c r="D27" s="535" t="s">
        <v>701</v>
      </c>
      <c r="E27" s="560" t="s">
        <v>3555</v>
      </c>
      <c r="F27" s="553" t="s">
        <v>61</v>
      </c>
      <c r="G27" s="554">
        <v>551.14</v>
      </c>
      <c r="H27" s="554">
        <v>4</v>
      </c>
      <c r="I27" s="555">
        <v>224.38</v>
      </c>
      <c r="J27" s="674">
        <v>100</v>
      </c>
      <c r="K27" s="555"/>
      <c r="L27" s="556" t="s">
        <v>49</v>
      </c>
      <c r="M27" s="556" t="s">
        <v>1430</v>
      </c>
      <c r="N27" s="557" t="s">
        <v>2959</v>
      </c>
      <c r="O27" s="556" t="s">
        <v>2648</v>
      </c>
      <c r="P27" s="558"/>
      <c r="Q27" s="707" t="s">
        <v>3586</v>
      </c>
    </row>
    <row r="28" spans="1:18" ht="25.5" x14ac:dyDescent="0.25">
      <c r="A28" s="221">
        <v>43356</v>
      </c>
      <c r="B28" s="88" t="s">
        <v>3493</v>
      </c>
      <c r="C28" s="220" t="s">
        <v>170</v>
      </c>
      <c r="D28" s="536" t="s">
        <v>701</v>
      </c>
      <c r="E28" s="560" t="s">
        <v>3556</v>
      </c>
      <c r="F28" s="553"/>
      <c r="G28" s="554">
        <v>523.17999999999995</v>
      </c>
      <c r="H28" s="554">
        <v>0.3</v>
      </c>
      <c r="I28" s="555">
        <v>16.260000000000002</v>
      </c>
      <c r="J28" s="674">
        <v>100</v>
      </c>
      <c r="K28" s="555"/>
      <c r="L28" s="556" t="s">
        <v>49</v>
      </c>
      <c r="M28" s="556" t="s">
        <v>1430</v>
      </c>
      <c r="N28" s="557" t="s">
        <v>3559</v>
      </c>
      <c r="O28" s="556" t="s">
        <v>2648</v>
      </c>
      <c r="P28" s="558"/>
      <c r="Q28" s="707" t="s">
        <v>3586</v>
      </c>
    </row>
    <row r="29" spans="1:18" ht="25.5" x14ac:dyDescent="0.25">
      <c r="A29" s="221">
        <v>43357</v>
      </c>
      <c r="B29" s="88" t="s">
        <v>3560</v>
      </c>
      <c r="C29" s="220" t="s">
        <v>170</v>
      </c>
      <c r="D29" s="536" t="s">
        <v>701</v>
      </c>
      <c r="E29" s="560" t="s">
        <v>860</v>
      </c>
      <c r="F29" s="553">
        <v>43357</v>
      </c>
      <c r="G29" s="554">
        <v>336.28</v>
      </c>
      <c r="H29" s="554">
        <v>100</v>
      </c>
      <c r="I29" s="555">
        <v>16.489999999999998</v>
      </c>
      <c r="J29" s="674">
        <f t="shared" si="0"/>
        <v>0.48546152016176991</v>
      </c>
      <c r="K29" s="555">
        <v>99</v>
      </c>
      <c r="L29" s="556" t="s">
        <v>212</v>
      </c>
      <c r="M29" s="556" t="s">
        <v>1431</v>
      </c>
      <c r="N29" s="557" t="s">
        <v>3367</v>
      </c>
      <c r="O29" s="556" t="s">
        <v>2648</v>
      </c>
      <c r="P29" s="558"/>
      <c r="Q29" s="707" t="s">
        <v>3586</v>
      </c>
    </row>
    <row r="30" spans="1:18" ht="25.5" x14ac:dyDescent="0.25">
      <c r="A30" s="221">
        <v>43357</v>
      </c>
      <c r="B30" s="88" t="s">
        <v>3563</v>
      </c>
      <c r="C30" s="220" t="s">
        <v>170</v>
      </c>
      <c r="D30" s="536" t="s">
        <v>416</v>
      </c>
      <c r="E30" s="560" t="s">
        <v>2403</v>
      </c>
      <c r="F30" s="553">
        <v>42921</v>
      </c>
      <c r="G30" s="554">
        <v>438.71</v>
      </c>
      <c r="H30" s="554">
        <v>50</v>
      </c>
      <c r="I30" s="555">
        <v>1.65</v>
      </c>
      <c r="J30" s="674">
        <f t="shared" si="0"/>
        <v>7.5145312393152641E-2</v>
      </c>
      <c r="K30" s="555">
        <v>99.9</v>
      </c>
      <c r="L30" s="556" t="s">
        <v>212</v>
      </c>
      <c r="M30" s="556" t="s">
        <v>1431</v>
      </c>
      <c r="N30" s="557" t="s">
        <v>3367</v>
      </c>
      <c r="O30" s="556" t="s">
        <v>2846</v>
      </c>
      <c r="P30" s="558"/>
      <c r="Q30" s="707" t="s">
        <v>3586</v>
      </c>
    </row>
    <row r="31" spans="1:18" ht="25.5" x14ac:dyDescent="0.25">
      <c r="A31" s="221">
        <v>43357</v>
      </c>
      <c r="B31" s="88" t="s">
        <v>3564</v>
      </c>
      <c r="C31" s="220" t="s">
        <v>170</v>
      </c>
      <c r="D31" s="536" t="s">
        <v>2381</v>
      </c>
      <c r="E31" s="560" t="s">
        <v>2403</v>
      </c>
      <c r="F31" s="553">
        <v>43357</v>
      </c>
      <c r="G31" s="554">
        <v>438.71</v>
      </c>
      <c r="H31" s="554">
        <v>50</v>
      </c>
      <c r="I31" s="555">
        <v>9.68</v>
      </c>
      <c r="J31" s="674">
        <f t="shared" si="0"/>
        <v>0.44085249937316223</v>
      </c>
      <c r="K31" s="555">
        <v>99.9</v>
      </c>
      <c r="L31" s="556" t="s">
        <v>212</v>
      </c>
      <c r="M31" s="556" t="s">
        <v>1431</v>
      </c>
      <c r="N31" s="557" t="s">
        <v>3367</v>
      </c>
      <c r="O31" s="556" t="s">
        <v>2846</v>
      </c>
      <c r="P31" s="558"/>
      <c r="Q31" s="707" t="s">
        <v>3586</v>
      </c>
    </row>
    <row r="32" spans="1:18" ht="23.25" x14ac:dyDescent="0.25">
      <c r="A32" s="221">
        <v>43360</v>
      </c>
      <c r="B32" s="88" t="s">
        <v>3567</v>
      </c>
      <c r="C32" s="220" t="s">
        <v>40</v>
      </c>
      <c r="D32" s="536" t="s">
        <v>701</v>
      </c>
      <c r="E32" s="560" t="s">
        <v>3417</v>
      </c>
      <c r="F32" s="553">
        <v>43300</v>
      </c>
      <c r="G32" s="554">
        <v>192.08</v>
      </c>
      <c r="H32" s="554">
        <v>1</v>
      </c>
      <c r="I32" s="555">
        <v>98.9</v>
      </c>
      <c r="J32" s="674">
        <f t="shared" si="0"/>
        <v>499.44294044148273</v>
      </c>
      <c r="K32" s="555">
        <v>97</v>
      </c>
      <c r="L32" s="556" t="s">
        <v>1434</v>
      </c>
      <c r="M32" s="556" t="s">
        <v>1431</v>
      </c>
      <c r="N32" s="557" t="s">
        <v>3414</v>
      </c>
      <c r="O32" s="556" t="s">
        <v>2846</v>
      </c>
      <c r="P32" s="558"/>
      <c r="Q32" s="556"/>
    </row>
    <row r="33" spans="1:17" ht="23.25" x14ac:dyDescent="0.25">
      <c r="A33" s="221">
        <v>43360</v>
      </c>
      <c r="B33" s="88" t="s">
        <v>3568</v>
      </c>
      <c r="C33" s="220" t="s">
        <v>40</v>
      </c>
      <c r="D33" s="535" t="s">
        <v>701</v>
      </c>
      <c r="E33" s="560" t="s">
        <v>3417</v>
      </c>
      <c r="F33" s="553">
        <v>43360</v>
      </c>
      <c r="G33" s="554">
        <v>192.08</v>
      </c>
      <c r="H33" s="554">
        <v>1</v>
      </c>
      <c r="I33" s="555">
        <v>39.6</v>
      </c>
      <c r="J33" s="674">
        <f t="shared" si="0"/>
        <v>199.97917534360684</v>
      </c>
      <c r="K33" s="555">
        <v>97</v>
      </c>
      <c r="L33" s="556" t="s">
        <v>1434</v>
      </c>
      <c r="M33" s="556" t="s">
        <v>1431</v>
      </c>
      <c r="N33" s="557" t="s">
        <v>3414</v>
      </c>
      <c r="O33" s="556" t="s">
        <v>2846</v>
      </c>
      <c r="P33" s="558"/>
      <c r="Q33" s="556"/>
    </row>
    <row r="34" spans="1:17" ht="23.25" x14ac:dyDescent="0.25">
      <c r="A34" s="221">
        <v>43360</v>
      </c>
      <c r="B34" s="88" t="s">
        <v>3569</v>
      </c>
      <c r="C34" s="220" t="s">
        <v>40</v>
      </c>
      <c r="D34" s="535" t="s">
        <v>701</v>
      </c>
      <c r="E34" s="560" t="s">
        <v>3417</v>
      </c>
      <c r="F34" s="553">
        <v>43360</v>
      </c>
      <c r="G34" s="554">
        <v>192.08</v>
      </c>
      <c r="H34" s="554">
        <v>1</v>
      </c>
      <c r="I34" s="555">
        <v>59.34</v>
      </c>
      <c r="J34" s="674">
        <f t="shared" si="0"/>
        <v>299.66576426488962</v>
      </c>
      <c r="K34" s="555">
        <v>97</v>
      </c>
      <c r="L34" s="556" t="s">
        <v>1434</v>
      </c>
      <c r="M34" s="556" t="s">
        <v>1431</v>
      </c>
      <c r="N34" s="557" t="s">
        <v>3414</v>
      </c>
      <c r="O34" s="556" t="s">
        <v>2648</v>
      </c>
      <c r="P34" s="558"/>
      <c r="Q34" s="556"/>
    </row>
    <row r="35" spans="1:17" ht="23.25" x14ac:dyDescent="0.25">
      <c r="A35" s="221">
        <v>43360</v>
      </c>
      <c r="B35" s="88" t="s">
        <v>3572</v>
      </c>
      <c r="C35" s="220" t="s">
        <v>824</v>
      </c>
      <c r="D35" s="536" t="s">
        <v>701</v>
      </c>
      <c r="E35" s="560" t="s">
        <v>3570</v>
      </c>
      <c r="F35" s="553">
        <v>43360</v>
      </c>
      <c r="G35" s="554" t="s">
        <v>61</v>
      </c>
      <c r="H35" s="554" t="s">
        <v>61</v>
      </c>
      <c r="I35" s="555" t="s">
        <v>61</v>
      </c>
      <c r="J35" s="674" t="e">
        <f t="shared" si="0"/>
        <v>#VALUE!</v>
      </c>
      <c r="K35" s="555" t="s">
        <v>61</v>
      </c>
      <c r="L35" s="556" t="s">
        <v>49</v>
      </c>
      <c r="M35" s="556" t="s">
        <v>1431</v>
      </c>
      <c r="N35" s="557"/>
      <c r="O35" s="556" t="s">
        <v>2846</v>
      </c>
      <c r="P35" s="558"/>
      <c r="Q35" s="556"/>
    </row>
    <row r="36" spans="1:17" ht="23.25" x14ac:dyDescent="0.25">
      <c r="A36" s="221">
        <v>43360</v>
      </c>
      <c r="B36" s="88" t="s">
        <v>3573</v>
      </c>
      <c r="C36" s="220" t="s">
        <v>170</v>
      </c>
      <c r="D36" s="536" t="s">
        <v>701</v>
      </c>
      <c r="E36" s="560" t="s">
        <v>779</v>
      </c>
      <c r="F36" s="553">
        <v>43360</v>
      </c>
      <c r="G36" s="554">
        <v>197.13</v>
      </c>
      <c r="H36" s="554">
        <v>20</v>
      </c>
      <c r="I36" s="555">
        <v>48.23</v>
      </c>
      <c r="J36" s="674">
        <f t="shared" si="0"/>
        <v>12.147412874752701</v>
      </c>
      <c r="K36" s="555">
        <v>99.3</v>
      </c>
      <c r="L36" s="556" t="s">
        <v>49</v>
      </c>
      <c r="M36" s="556" t="s">
        <v>3192</v>
      </c>
      <c r="N36" s="557"/>
      <c r="O36" s="556" t="s">
        <v>2846</v>
      </c>
      <c r="P36" s="558"/>
      <c r="Q36" s="556"/>
    </row>
    <row r="37" spans="1:17" ht="23.25" x14ac:dyDescent="0.25">
      <c r="A37" s="221">
        <v>43363</v>
      </c>
      <c r="B37" s="88" t="s">
        <v>2809</v>
      </c>
      <c r="C37" s="220" t="s">
        <v>40</v>
      </c>
      <c r="D37" s="536" t="s">
        <v>701</v>
      </c>
      <c r="E37" s="560" t="s">
        <v>2814</v>
      </c>
      <c r="F37" s="553">
        <v>43125</v>
      </c>
      <c r="G37" s="554">
        <v>305.42</v>
      </c>
      <c r="H37" s="554">
        <v>10</v>
      </c>
      <c r="I37" s="555">
        <v>15.43</v>
      </c>
      <c r="J37" s="674">
        <f t="shared" si="0"/>
        <v>4.9712265077598063</v>
      </c>
      <c r="K37" s="555">
        <v>98.4</v>
      </c>
      <c r="L37" s="556" t="s">
        <v>212</v>
      </c>
      <c r="M37" s="556" t="s">
        <v>1431</v>
      </c>
      <c r="N37" s="557" t="s">
        <v>2703</v>
      </c>
      <c r="O37" s="556"/>
      <c r="P37" s="558"/>
      <c r="Q37" s="556"/>
    </row>
    <row r="38" spans="1:17" ht="23.25" x14ac:dyDescent="0.25">
      <c r="A38" s="221">
        <v>43367</v>
      </c>
      <c r="B38" s="88" t="s">
        <v>3483</v>
      </c>
      <c r="C38" s="220" t="s">
        <v>170</v>
      </c>
      <c r="D38" s="536" t="s">
        <v>701</v>
      </c>
      <c r="E38" s="560" t="s">
        <v>3275</v>
      </c>
      <c r="F38" s="553">
        <v>43328</v>
      </c>
      <c r="G38" s="554">
        <v>444.57</v>
      </c>
      <c r="H38" s="554">
        <v>10</v>
      </c>
      <c r="I38" s="555">
        <v>4.82</v>
      </c>
      <c r="J38" s="674">
        <f t="shared" si="0"/>
        <v>1.0841937152754348</v>
      </c>
      <c r="K38" s="555">
        <v>100</v>
      </c>
      <c r="L38" s="556" t="s">
        <v>212</v>
      </c>
      <c r="M38" s="556" t="s">
        <v>3192</v>
      </c>
      <c r="N38" s="557"/>
      <c r="O38" s="556" t="s">
        <v>3286</v>
      </c>
      <c r="P38" s="558"/>
      <c r="Q38" s="556"/>
    </row>
    <row r="39" spans="1:17" ht="46.5" x14ac:dyDescent="0.25">
      <c r="A39" s="221">
        <v>43367</v>
      </c>
      <c r="B39" s="88" t="s">
        <v>3576</v>
      </c>
      <c r="C39" s="220" t="s">
        <v>744</v>
      </c>
      <c r="D39" s="536" t="s">
        <v>701</v>
      </c>
      <c r="E39" s="560" t="s">
        <v>1582</v>
      </c>
      <c r="F39" s="553">
        <v>43367</v>
      </c>
      <c r="G39" s="554">
        <v>319.27999999999997</v>
      </c>
      <c r="H39" s="554">
        <v>1</v>
      </c>
      <c r="I39" s="555">
        <v>1</v>
      </c>
      <c r="J39" s="674">
        <f t="shared" si="0"/>
        <v>3.1007266349285896</v>
      </c>
      <c r="K39" s="555">
        <v>99</v>
      </c>
      <c r="L39" s="556" t="s">
        <v>1724</v>
      </c>
      <c r="M39" s="556" t="s">
        <v>3192</v>
      </c>
      <c r="N39" s="557" t="s">
        <v>1034</v>
      </c>
      <c r="O39" s="556" t="s">
        <v>3286</v>
      </c>
      <c r="P39" s="558"/>
      <c r="Q39" s="556"/>
    </row>
    <row r="40" spans="1:17" ht="23.25" x14ac:dyDescent="0.25">
      <c r="A40" s="221">
        <v>43368</v>
      </c>
      <c r="B40" s="88" t="s">
        <v>2809</v>
      </c>
      <c r="C40" s="220" t="s">
        <v>40</v>
      </c>
      <c r="D40" s="536" t="s">
        <v>701</v>
      </c>
      <c r="E40" s="560" t="s">
        <v>2814</v>
      </c>
      <c r="F40" s="553">
        <v>43125</v>
      </c>
      <c r="G40" s="554">
        <v>305.42</v>
      </c>
      <c r="H40" s="554">
        <v>10</v>
      </c>
      <c r="I40" s="555">
        <v>3.21</v>
      </c>
      <c r="J40" s="674">
        <f t="shared" si="0"/>
        <v>1.0341955340187283</v>
      </c>
      <c r="K40" s="555">
        <v>98.4</v>
      </c>
      <c r="L40" s="556" t="s">
        <v>212</v>
      </c>
      <c r="M40" s="556" t="s">
        <v>1463</v>
      </c>
      <c r="N40" s="557" t="s">
        <v>2703</v>
      </c>
      <c r="O40" s="556" t="s">
        <v>3286</v>
      </c>
      <c r="P40" s="558"/>
      <c r="Q40" s="556"/>
    </row>
    <row r="41" spans="1:17" ht="23.25" x14ac:dyDescent="0.25">
      <c r="A41" s="221">
        <v>43368</v>
      </c>
      <c r="B41" s="88" t="s">
        <v>3577</v>
      </c>
      <c r="C41" s="220" t="s">
        <v>170</v>
      </c>
      <c r="D41" s="536" t="s">
        <v>701</v>
      </c>
      <c r="E41" s="560" t="s">
        <v>3188</v>
      </c>
      <c r="F41" s="553">
        <v>43368</v>
      </c>
      <c r="G41" s="554">
        <v>509.3</v>
      </c>
      <c r="H41" s="554">
        <v>20</v>
      </c>
      <c r="I41" s="555">
        <v>47.21</v>
      </c>
      <c r="J41" s="674">
        <f t="shared" si="0"/>
        <v>4.5977145101119188</v>
      </c>
      <c r="K41" s="555">
        <v>99.2</v>
      </c>
      <c r="L41" s="556" t="s">
        <v>49</v>
      </c>
      <c r="M41" s="556" t="s">
        <v>3192</v>
      </c>
      <c r="N41" s="557" t="s">
        <v>1034</v>
      </c>
      <c r="O41" s="556" t="s">
        <v>3293</v>
      </c>
      <c r="P41" s="558"/>
      <c r="Q41" s="556"/>
    </row>
    <row r="42" spans="1:17" ht="23.25" x14ac:dyDescent="0.25">
      <c r="A42" s="221">
        <v>43369</v>
      </c>
      <c r="B42" s="88" t="s">
        <v>3583</v>
      </c>
      <c r="C42" s="220" t="s">
        <v>40</v>
      </c>
      <c r="D42" s="536" t="s">
        <v>701</v>
      </c>
      <c r="E42" s="560" t="s">
        <v>3584</v>
      </c>
      <c r="F42" s="553">
        <v>43369</v>
      </c>
      <c r="G42" s="554">
        <v>160.1</v>
      </c>
      <c r="H42" s="554">
        <v>7</v>
      </c>
      <c r="I42" s="555">
        <v>18.34</v>
      </c>
      <c r="J42" s="674">
        <f t="shared" si="0"/>
        <v>16.36477201748907</v>
      </c>
      <c r="K42" s="555">
        <v>100</v>
      </c>
      <c r="L42" s="556" t="s">
        <v>49</v>
      </c>
      <c r="M42" s="556" t="s">
        <v>3192</v>
      </c>
      <c r="N42" s="557" t="s">
        <v>1034</v>
      </c>
      <c r="O42" s="556" t="s">
        <v>3286</v>
      </c>
      <c r="P42" s="558"/>
      <c r="Q42" s="556"/>
    </row>
    <row r="43" spans="1:17" ht="23.25" x14ac:dyDescent="0.25">
      <c r="A43" s="221">
        <v>43370</v>
      </c>
      <c r="B43" s="88" t="s">
        <v>3266</v>
      </c>
      <c r="C43" s="220" t="s">
        <v>40</v>
      </c>
      <c r="D43" s="536" t="s">
        <v>701</v>
      </c>
      <c r="E43" s="560" t="s">
        <v>3248</v>
      </c>
      <c r="F43" s="553">
        <v>43272</v>
      </c>
      <c r="G43" s="554">
        <v>213.23</v>
      </c>
      <c r="H43" s="554">
        <v>1</v>
      </c>
      <c r="I43" s="555">
        <v>2.0099999999999998</v>
      </c>
      <c r="J43" s="674">
        <f t="shared" si="0"/>
        <v>9.4264409323265959</v>
      </c>
      <c r="K43" s="555">
        <v>100</v>
      </c>
      <c r="L43" s="556" t="s">
        <v>49</v>
      </c>
      <c r="M43" s="556" t="s">
        <v>1463</v>
      </c>
      <c r="N43" s="557" t="s">
        <v>3461</v>
      </c>
      <c r="O43" s="556" t="s">
        <v>2648</v>
      </c>
      <c r="P43" s="558"/>
      <c r="Q43" s="556"/>
    </row>
    <row r="44" spans="1:17" ht="23.25" x14ac:dyDescent="0.25">
      <c r="A44" s="221">
        <v>43371</v>
      </c>
      <c r="B44" s="88" t="s">
        <v>3489</v>
      </c>
      <c r="C44" s="220" t="s">
        <v>40</v>
      </c>
      <c r="D44" s="536" t="s">
        <v>701</v>
      </c>
      <c r="E44" s="560" t="s">
        <v>1588</v>
      </c>
      <c r="F44" s="553">
        <v>43332</v>
      </c>
      <c r="G44" s="554">
        <v>284.74</v>
      </c>
      <c r="H44" s="554">
        <v>1</v>
      </c>
      <c r="I44" s="555">
        <v>1.22</v>
      </c>
      <c r="J44" s="674">
        <f t="shared" si="0"/>
        <v>4.2846105218796096</v>
      </c>
      <c r="K44" s="555">
        <v>100</v>
      </c>
      <c r="L44" s="556" t="s">
        <v>49</v>
      </c>
      <c r="M44" s="556" t="s">
        <v>3192</v>
      </c>
      <c r="N44" s="557" t="s">
        <v>3461</v>
      </c>
      <c r="O44" s="556" t="s">
        <v>3286</v>
      </c>
      <c r="P44" s="558"/>
      <c r="Q44" s="556"/>
    </row>
    <row r="45" spans="1:17" ht="23.25" x14ac:dyDescent="0.25">
      <c r="A45" s="221">
        <v>43371</v>
      </c>
      <c r="B45" s="88" t="s">
        <v>3330</v>
      </c>
      <c r="C45" s="220" t="s">
        <v>170</v>
      </c>
      <c r="D45" s="536" t="s">
        <v>701</v>
      </c>
      <c r="E45" s="560" t="s">
        <v>1840</v>
      </c>
      <c r="F45" s="553">
        <v>45108</v>
      </c>
      <c r="G45" s="711">
        <v>238.3</v>
      </c>
      <c r="H45" s="711">
        <v>10</v>
      </c>
      <c r="I45" s="555">
        <v>0.23844000000000001</v>
      </c>
      <c r="J45" s="674">
        <f t="shared" si="0"/>
        <v>9.9558455728073869E-2</v>
      </c>
      <c r="K45" s="555">
        <v>99.5</v>
      </c>
      <c r="L45" s="556" t="s">
        <v>49</v>
      </c>
      <c r="M45" s="556" t="s">
        <v>1430</v>
      </c>
      <c r="N45" s="557"/>
      <c r="O45" s="556"/>
      <c r="P45" s="558"/>
      <c r="Q45" s="556"/>
    </row>
    <row r="46" spans="1:17" ht="23.25" x14ac:dyDescent="0.25">
      <c r="A46" s="221">
        <v>43371</v>
      </c>
      <c r="B46" s="88" t="s">
        <v>3338</v>
      </c>
      <c r="C46" s="220" t="s">
        <v>170</v>
      </c>
      <c r="D46" s="536" t="s">
        <v>701</v>
      </c>
      <c r="E46" s="711" t="s">
        <v>3591</v>
      </c>
      <c r="F46" s="568" t="s">
        <v>1461</v>
      </c>
      <c r="G46" s="711">
        <v>228</v>
      </c>
      <c r="H46" s="711">
        <v>100</v>
      </c>
      <c r="I46" s="711">
        <v>2.3306900000000002</v>
      </c>
      <c r="J46" s="674">
        <f t="shared" si="0"/>
        <v>0.10017878070175439</v>
      </c>
      <c r="K46" s="564">
        <v>98</v>
      </c>
      <c r="L46" s="556" t="s">
        <v>49</v>
      </c>
      <c r="M46" s="556" t="s">
        <v>1430</v>
      </c>
      <c r="N46" s="569"/>
      <c r="O46" s="567"/>
      <c r="P46" s="567"/>
      <c r="Q46" s="567"/>
    </row>
    <row r="47" spans="1:17" ht="23.25" x14ac:dyDescent="0.25">
      <c r="A47" s="221">
        <v>43371</v>
      </c>
      <c r="B47" s="88" t="s">
        <v>3338</v>
      </c>
      <c r="C47" s="220" t="s">
        <v>170</v>
      </c>
      <c r="D47" s="536" t="s">
        <v>701</v>
      </c>
      <c r="E47" s="711" t="s">
        <v>3591</v>
      </c>
      <c r="F47" s="568" t="s">
        <v>1461</v>
      </c>
      <c r="G47" s="711">
        <v>228</v>
      </c>
      <c r="H47" s="711">
        <v>100</v>
      </c>
      <c r="I47" s="711">
        <v>0.2298</v>
      </c>
      <c r="J47" s="674">
        <f t="shared" si="0"/>
        <v>9.8773684210526312E-3</v>
      </c>
      <c r="K47" s="564">
        <v>98</v>
      </c>
      <c r="L47" s="556" t="s">
        <v>49</v>
      </c>
      <c r="M47" s="556" t="s">
        <v>1430</v>
      </c>
      <c r="N47" s="569"/>
      <c r="O47" s="567" t="s">
        <v>2602</v>
      </c>
      <c r="P47" s="567"/>
      <c r="Q47" s="567"/>
    </row>
    <row r="48" spans="1:17" ht="23.25" x14ac:dyDescent="0.25">
      <c r="A48" s="221">
        <v>43371</v>
      </c>
      <c r="B48" s="88" t="s">
        <v>3592</v>
      </c>
      <c r="C48" s="220" t="s">
        <v>170</v>
      </c>
      <c r="D48" s="536" t="s">
        <v>701</v>
      </c>
      <c r="E48" s="711" t="s">
        <v>3591</v>
      </c>
      <c r="F48" s="709">
        <v>43371</v>
      </c>
      <c r="G48" s="711">
        <v>228</v>
      </c>
      <c r="H48" s="711">
        <v>100</v>
      </c>
      <c r="I48" s="711">
        <v>0.11285000000000001</v>
      </c>
      <c r="J48" s="674">
        <f t="shared" si="0"/>
        <v>0</v>
      </c>
      <c r="K48" s="564"/>
      <c r="L48" s="556" t="s">
        <v>49</v>
      </c>
      <c r="M48" s="556" t="s">
        <v>1430</v>
      </c>
      <c r="N48" s="569"/>
      <c r="O48" s="567"/>
      <c r="P48" s="567"/>
      <c r="Q48" s="567"/>
    </row>
    <row r="49" spans="1:17" ht="23.25" x14ac:dyDescent="0.25">
      <c r="A49" s="221">
        <v>43371</v>
      </c>
      <c r="B49" s="88" t="s">
        <v>168</v>
      </c>
      <c r="C49" s="220" t="s">
        <v>170</v>
      </c>
      <c r="D49" s="536" t="s">
        <v>701</v>
      </c>
      <c r="E49" s="711" t="s">
        <v>3593</v>
      </c>
      <c r="F49" s="714">
        <v>43112</v>
      </c>
      <c r="G49" s="711">
        <v>118.09</v>
      </c>
      <c r="H49" s="711">
        <v>10</v>
      </c>
      <c r="I49" s="711">
        <v>0.121</v>
      </c>
      <c r="J49" s="674">
        <f t="shared" si="0"/>
        <v>0.10041493775933609</v>
      </c>
      <c r="K49" s="564">
        <v>98</v>
      </c>
      <c r="L49" s="556" t="s">
        <v>49</v>
      </c>
      <c r="M49" s="556" t="s">
        <v>1430</v>
      </c>
      <c r="N49" s="569"/>
      <c r="O49" s="567"/>
      <c r="P49" s="567"/>
      <c r="Q49" s="567"/>
    </row>
    <row r="50" spans="1:17" ht="23.25" x14ac:dyDescent="0.25">
      <c r="A50" s="221">
        <v>43371</v>
      </c>
      <c r="B50" s="88" t="s">
        <v>2949</v>
      </c>
      <c r="C50" s="220" t="s">
        <v>170</v>
      </c>
      <c r="D50" s="536" t="s">
        <v>701</v>
      </c>
      <c r="E50" s="711" t="s">
        <v>3594</v>
      </c>
      <c r="F50" s="714">
        <v>43039</v>
      </c>
      <c r="G50" s="711">
        <v>298.85000000000002</v>
      </c>
      <c r="H50" s="711">
        <v>5</v>
      </c>
      <c r="I50" s="711">
        <v>0.15121000000000001</v>
      </c>
      <c r="J50" s="674">
        <f t="shared" si="0"/>
        <v>0.10018263342814122</v>
      </c>
      <c r="K50" s="564">
        <v>99</v>
      </c>
      <c r="L50" s="556" t="s">
        <v>49</v>
      </c>
      <c r="M50" s="556" t="s">
        <v>1430</v>
      </c>
      <c r="N50" s="569"/>
      <c r="O50" s="567"/>
      <c r="P50" s="567"/>
      <c r="Q50" s="567"/>
    </row>
    <row r="51" spans="1:17" ht="23.25" x14ac:dyDescent="0.25">
      <c r="A51" s="221">
        <v>43371</v>
      </c>
      <c r="B51" s="88" t="s">
        <v>3258</v>
      </c>
      <c r="C51" s="220" t="s">
        <v>170</v>
      </c>
      <c r="D51" s="536" t="s">
        <v>701</v>
      </c>
      <c r="E51" s="711" t="s">
        <v>3036</v>
      </c>
      <c r="F51" s="714">
        <v>43255</v>
      </c>
      <c r="G51" s="711">
        <v>165.7</v>
      </c>
      <c r="H51" s="711">
        <v>10</v>
      </c>
      <c r="I51" s="711">
        <v>0.16708999999999999</v>
      </c>
      <c r="J51" s="674">
        <f t="shared" si="0"/>
        <v>0.10013299336149667</v>
      </c>
      <c r="K51" s="564">
        <v>99.3</v>
      </c>
      <c r="L51" s="556" t="s">
        <v>49</v>
      </c>
      <c r="M51" s="556" t="s">
        <v>1430</v>
      </c>
      <c r="N51" s="569"/>
      <c r="O51" s="567"/>
      <c r="P51" s="567"/>
      <c r="Q51" s="567"/>
    </row>
    <row r="52" spans="1:17" ht="23.25" x14ac:dyDescent="0.25">
      <c r="A52" s="221">
        <v>43371</v>
      </c>
      <c r="B52" s="88" t="s">
        <v>3341</v>
      </c>
      <c r="C52" s="220" t="s">
        <v>170</v>
      </c>
      <c r="D52" s="536" t="s">
        <v>701</v>
      </c>
      <c r="E52" s="711" t="s">
        <v>1878</v>
      </c>
      <c r="F52" s="714">
        <v>43286</v>
      </c>
      <c r="G52" s="711">
        <v>380.35</v>
      </c>
      <c r="H52" s="711">
        <v>1</v>
      </c>
      <c r="I52" s="711">
        <v>3.9300000000000002E-2</v>
      </c>
      <c r="J52" s="674">
        <f t="shared" si="0"/>
        <v>0.10022610753253583</v>
      </c>
      <c r="K52" s="564">
        <v>97</v>
      </c>
      <c r="L52" s="556" t="s">
        <v>49</v>
      </c>
      <c r="M52" s="556" t="s">
        <v>1430</v>
      </c>
      <c r="N52" s="569"/>
      <c r="O52" s="567"/>
      <c r="P52" s="567"/>
      <c r="Q52" s="567"/>
    </row>
    <row r="53" spans="1:17" ht="23.25" x14ac:dyDescent="0.25">
      <c r="A53" s="221">
        <v>43371</v>
      </c>
      <c r="B53" s="88" t="s">
        <v>168</v>
      </c>
      <c r="C53" s="220" t="s">
        <v>170</v>
      </c>
      <c r="D53" s="536" t="s">
        <v>701</v>
      </c>
      <c r="E53" s="711" t="s">
        <v>3595</v>
      </c>
      <c r="F53" s="714">
        <v>43297</v>
      </c>
      <c r="G53" s="711">
        <v>507.18</v>
      </c>
      <c r="H53" s="711">
        <v>5</v>
      </c>
      <c r="I53" s="711">
        <v>0.26580999999999999</v>
      </c>
      <c r="J53" s="674">
        <f t="shared" si="0"/>
        <v>9.9577861903071885E-2</v>
      </c>
      <c r="K53" s="564">
        <v>95</v>
      </c>
      <c r="L53" s="556" t="s">
        <v>49</v>
      </c>
      <c r="M53" s="556" t="s">
        <v>1430</v>
      </c>
      <c r="N53" s="569"/>
      <c r="O53" s="567"/>
      <c r="P53" s="567"/>
      <c r="Q53" s="567"/>
    </row>
    <row r="54" spans="1:17" ht="23.25" x14ac:dyDescent="0.25">
      <c r="A54" s="221">
        <v>43371</v>
      </c>
      <c r="B54" s="88" t="s">
        <v>3343</v>
      </c>
      <c r="C54" s="220" t="s">
        <v>170</v>
      </c>
      <c r="D54" s="536" t="s">
        <v>701</v>
      </c>
      <c r="E54" s="711" t="s">
        <v>3596</v>
      </c>
      <c r="F54" s="714" t="s">
        <v>1461</v>
      </c>
      <c r="G54" s="711">
        <v>523.17999999999995</v>
      </c>
      <c r="H54" s="711">
        <v>1.5</v>
      </c>
      <c r="I54" s="711">
        <v>8.2900000000000001E-2</v>
      </c>
      <c r="J54" s="674">
        <f t="shared" si="0"/>
        <v>0.10035424391860034</v>
      </c>
      <c r="K54" s="564">
        <v>95</v>
      </c>
      <c r="L54" s="556" t="s">
        <v>49</v>
      </c>
      <c r="M54" s="556" t="s">
        <v>1430</v>
      </c>
      <c r="N54" s="569"/>
      <c r="O54" s="567" t="s">
        <v>2602</v>
      </c>
      <c r="P54" s="567"/>
      <c r="Q54" s="567"/>
    </row>
    <row r="55" spans="1:17" ht="23.25" x14ac:dyDescent="0.25">
      <c r="A55" s="221"/>
      <c r="B55" s="88"/>
      <c r="C55" s="220"/>
      <c r="E55" s="711"/>
      <c r="F55" s="714"/>
      <c r="G55" s="126"/>
      <c r="H55" s="711"/>
      <c r="I55" s="711"/>
      <c r="J55" s="674" t="e">
        <f t="shared" si="0"/>
        <v>#DIV/0!</v>
      </c>
      <c r="K55" s="564"/>
      <c r="L55" s="567"/>
      <c r="M55" s="567"/>
      <c r="N55" s="569"/>
      <c r="O55" s="567"/>
      <c r="P55" s="567"/>
      <c r="Q55" s="567"/>
    </row>
    <row r="56" spans="1:17" ht="23.25" x14ac:dyDescent="0.25">
      <c r="A56" s="221"/>
      <c r="B56" s="88"/>
      <c r="C56" s="220"/>
      <c r="E56" s="711"/>
      <c r="F56" s="714"/>
      <c r="G56" s="711"/>
      <c r="H56" s="711"/>
      <c r="I56" s="711"/>
      <c r="J56" s="674" t="e">
        <f t="shared" si="0"/>
        <v>#DIV/0!</v>
      </c>
      <c r="K56" s="564"/>
      <c r="L56" s="567"/>
      <c r="M56" s="567"/>
      <c r="N56" s="569"/>
      <c r="O56" s="567"/>
      <c r="P56" s="567"/>
      <c r="Q56" s="567"/>
    </row>
    <row r="57" spans="1:17" ht="23.25" x14ac:dyDescent="0.25">
      <c r="A57" s="221"/>
      <c r="B57" s="88"/>
      <c r="C57" s="220"/>
      <c r="E57" s="711"/>
      <c r="F57" s="714"/>
      <c r="G57" s="711"/>
      <c r="H57" s="711"/>
      <c r="I57" s="711"/>
      <c r="J57" s="674" t="e">
        <f t="shared" si="0"/>
        <v>#DIV/0!</v>
      </c>
      <c r="K57" s="564"/>
      <c r="L57" s="567"/>
      <c r="M57" s="567"/>
      <c r="N57" s="569"/>
      <c r="O57" s="567"/>
      <c r="P57" s="567"/>
      <c r="Q57" s="567"/>
    </row>
    <row r="58" spans="1:17" x14ac:dyDescent="0.25">
      <c r="A58" s="388"/>
      <c r="E58" s="711"/>
      <c r="F58" s="714"/>
      <c r="G58" s="711"/>
      <c r="H58" s="711"/>
      <c r="I58" s="711"/>
      <c r="J58" s="674" t="e">
        <f t="shared" si="0"/>
        <v>#DIV/0!</v>
      </c>
      <c r="K58" s="564"/>
      <c r="L58" s="567"/>
      <c r="M58" s="567"/>
      <c r="N58" s="569"/>
      <c r="O58" s="567"/>
      <c r="P58" s="567"/>
      <c r="Q58" s="567"/>
    </row>
    <row r="59" spans="1:17" x14ac:dyDescent="0.25">
      <c r="A59" s="388"/>
      <c r="E59" s="711"/>
      <c r="F59" s="714"/>
      <c r="G59" s="711"/>
      <c r="H59" s="711"/>
      <c r="I59" s="711"/>
      <c r="J59" s="674" t="e">
        <f t="shared" si="0"/>
        <v>#DIV/0!</v>
      </c>
      <c r="K59" s="564"/>
      <c r="L59" s="567"/>
      <c r="M59" s="567"/>
      <c r="N59" s="569"/>
      <c r="O59" s="567"/>
      <c r="P59" s="567"/>
      <c r="Q59" s="567"/>
    </row>
    <row r="60" spans="1:17" x14ac:dyDescent="0.25">
      <c r="A60" s="388"/>
      <c r="E60" s="711"/>
      <c r="F60" s="714"/>
      <c r="G60" s="711"/>
      <c r="H60" s="711"/>
      <c r="I60" s="711"/>
      <c r="J60" s="674" t="e">
        <f t="shared" si="0"/>
        <v>#DIV/0!</v>
      </c>
      <c r="K60" s="564"/>
      <c r="L60" s="567"/>
      <c r="M60" s="567"/>
      <c r="N60" s="569"/>
      <c r="O60" s="567"/>
      <c r="P60" s="567"/>
      <c r="Q60" s="567"/>
    </row>
    <row r="61" spans="1:17" x14ac:dyDescent="0.25">
      <c r="A61" s="388"/>
      <c r="E61" s="711"/>
      <c r="F61" s="714"/>
      <c r="G61" s="711"/>
      <c r="H61" s="711"/>
      <c r="I61" s="711"/>
      <c r="J61" s="674" t="e">
        <f t="shared" si="0"/>
        <v>#DIV/0!</v>
      </c>
      <c r="K61" s="564"/>
      <c r="L61" s="567"/>
      <c r="M61" s="567"/>
      <c r="N61" s="569"/>
      <c r="O61" s="567"/>
      <c r="P61" s="567"/>
      <c r="Q61" s="567"/>
    </row>
    <row r="62" spans="1:17" x14ac:dyDescent="0.25">
      <c r="A62" s="388"/>
      <c r="E62" s="711"/>
      <c r="F62" s="714"/>
      <c r="G62" s="711"/>
      <c r="H62" s="711"/>
      <c r="I62" s="711"/>
      <c r="J62" s="674" t="e">
        <f t="shared" si="0"/>
        <v>#DIV/0!</v>
      </c>
      <c r="K62" s="564"/>
      <c r="L62" s="567"/>
      <c r="M62" s="567"/>
      <c r="N62" s="569"/>
      <c r="O62" s="567"/>
      <c r="P62" s="567"/>
      <c r="Q62" s="567"/>
    </row>
    <row r="63" spans="1:17" x14ac:dyDescent="0.25">
      <c r="A63" s="388"/>
      <c r="E63" s="711"/>
      <c r="F63" s="714"/>
      <c r="G63" s="711"/>
      <c r="H63" s="711"/>
      <c r="I63" s="711"/>
      <c r="J63" s="674" t="e">
        <f t="shared" si="0"/>
        <v>#DIV/0!</v>
      </c>
      <c r="K63" s="564"/>
      <c r="L63" s="567"/>
      <c r="M63" s="567"/>
      <c r="N63" s="569"/>
      <c r="O63" s="567"/>
      <c r="P63" s="567"/>
      <c r="Q63" s="567"/>
    </row>
    <row r="64" spans="1:17" x14ac:dyDescent="0.25">
      <c r="A64" s="388"/>
      <c r="E64" s="711"/>
      <c r="F64" s="714"/>
      <c r="G64" s="711"/>
      <c r="H64" s="711"/>
      <c r="I64" s="711"/>
      <c r="J64" s="674" t="e">
        <f t="shared" si="0"/>
        <v>#DIV/0!</v>
      </c>
      <c r="K64" s="564"/>
      <c r="L64" s="567"/>
      <c r="M64" s="567"/>
      <c r="N64" s="569"/>
      <c r="O64" s="567"/>
      <c r="P64" s="567"/>
      <c r="Q64" s="567"/>
    </row>
    <row r="65" spans="5:17" s="388" customFormat="1" x14ac:dyDescent="0.25">
      <c r="E65" s="711"/>
      <c r="F65" s="714"/>
      <c r="G65" s="711"/>
      <c r="H65" s="711"/>
      <c r="I65" s="711"/>
      <c r="J65" s="674" t="e">
        <f t="shared" si="0"/>
        <v>#DIV/0!</v>
      </c>
      <c r="K65" s="564"/>
      <c r="L65" s="567"/>
      <c r="M65" s="567"/>
      <c r="N65" s="569"/>
      <c r="O65" s="567"/>
      <c r="P65" s="567"/>
      <c r="Q65" s="567"/>
    </row>
    <row r="66" spans="5:17" s="388" customFormat="1" x14ac:dyDescent="0.25">
      <c r="E66" s="711"/>
      <c r="F66" s="714"/>
      <c r="G66" s="711"/>
      <c r="H66" s="711"/>
      <c r="I66" s="711"/>
      <c r="J66" s="674" t="e">
        <f t="shared" si="0"/>
        <v>#DIV/0!</v>
      </c>
      <c r="K66" s="564"/>
      <c r="L66" s="567"/>
      <c r="M66" s="567"/>
      <c r="N66" s="569"/>
      <c r="O66" s="567"/>
      <c r="P66" s="567"/>
      <c r="Q66" s="567"/>
    </row>
    <row r="67" spans="5:17" s="388" customFormat="1" x14ac:dyDescent="0.25">
      <c r="E67" s="711"/>
      <c r="F67" s="714"/>
      <c r="G67" s="711"/>
      <c r="H67" s="711"/>
      <c r="I67" s="711"/>
      <c r="J67" s="674" t="e">
        <f t="shared" si="0"/>
        <v>#DIV/0!</v>
      </c>
      <c r="K67" s="564"/>
      <c r="L67" s="567"/>
      <c r="M67" s="567"/>
      <c r="N67" s="569"/>
      <c r="O67" s="567"/>
      <c r="P67" s="567"/>
      <c r="Q67" s="567"/>
    </row>
    <row r="68" spans="5:17" s="388" customFormat="1" x14ac:dyDescent="0.25">
      <c r="E68" s="711"/>
      <c r="F68" s="714"/>
      <c r="G68" s="711"/>
      <c r="H68" s="711"/>
      <c r="I68" s="711"/>
      <c r="J68" s="674" t="e">
        <f t="shared" ref="J68:J131" si="1">(I68*K68/100)/(H68*G68)*1000</f>
        <v>#DIV/0!</v>
      </c>
      <c r="K68" s="564"/>
      <c r="L68" s="567"/>
      <c r="M68" s="567"/>
      <c r="N68" s="569"/>
      <c r="O68" s="567"/>
      <c r="P68" s="567"/>
      <c r="Q68" s="567"/>
    </row>
    <row r="69" spans="5:17" s="388" customFormat="1" x14ac:dyDescent="0.25">
      <c r="E69" s="711"/>
      <c r="F69" s="714"/>
      <c r="G69" s="711"/>
      <c r="H69" s="711"/>
      <c r="I69" s="711"/>
      <c r="J69" s="674" t="e">
        <f t="shared" si="1"/>
        <v>#DIV/0!</v>
      </c>
      <c r="K69" s="564"/>
      <c r="L69" s="567"/>
      <c r="M69" s="567"/>
      <c r="N69" s="569"/>
      <c r="O69" s="567"/>
      <c r="P69" s="567"/>
      <c r="Q69" s="567"/>
    </row>
    <row r="70" spans="5:17" s="388" customFormat="1" x14ac:dyDescent="0.25">
      <c r="E70" s="711"/>
      <c r="F70" s="714"/>
      <c r="G70" s="711"/>
      <c r="H70" s="711"/>
      <c r="I70" s="711"/>
      <c r="J70" s="674" t="e">
        <f t="shared" si="1"/>
        <v>#DIV/0!</v>
      </c>
      <c r="K70" s="564"/>
      <c r="L70" s="567"/>
      <c r="M70" s="567"/>
      <c r="N70" s="569"/>
      <c r="O70" s="567"/>
      <c r="P70" s="567"/>
      <c r="Q70" s="567"/>
    </row>
    <row r="71" spans="5:17" s="388" customFormat="1" x14ac:dyDescent="0.25">
      <c r="E71" s="711"/>
      <c r="F71" s="714"/>
      <c r="G71" s="711"/>
      <c r="H71" s="711"/>
      <c r="I71" s="711"/>
      <c r="J71" s="674" t="e">
        <f t="shared" si="1"/>
        <v>#DIV/0!</v>
      </c>
      <c r="K71" s="564"/>
      <c r="L71" s="567"/>
      <c r="M71" s="567"/>
      <c r="N71" s="569"/>
      <c r="O71" s="567"/>
      <c r="P71" s="567"/>
      <c r="Q71" s="567"/>
    </row>
    <row r="72" spans="5:17" s="388" customFormat="1" x14ac:dyDescent="0.25">
      <c r="E72" s="711"/>
      <c r="F72" s="714"/>
      <c r="G72" s="711"/>
      <c r="H72" s="711"/>
      <c r="I72" s="711"/>
      <c r="J72" s="674" t="e">
        <f t="shared" si="1"/>
        <v>#DIV/0!</v>
      </c>
      <c r="K72" s="564"/>
      <c r="L72" s="567"/>
      <c r="M72" s="567"/>
      <c r="N72" s="569"/>
      <c r="O72" s="567"/>
      <c r="P72" s="567"/>
      <c r="Q72" s="567"/>
    </row>
    <row r="73" spans="5:17" s="388" customFormat="1" x14ac:dyDescent="0.25">
      <c r="E73" s="711"/>
      <c r="F73" s="714"/>
      <c r="G73" s="711"/>
      <c r="H73" s="711"/>
      <c r="I73" s="711"/>
      <c r="J73" s="674" t="e">
        <f t="shared" si="1"/>
        <v>#DIV/0!</v>
      </c>
      <c r="K73" s="564"/>
      <c r="L73" s="567"/>
      <c r="M73" s="567"/>
      <c r="N73" s="569"/>
      <c r="O73" s="567"/>
      <c r="P73" s="567"/>
      <c r="Q73" s="567"/>
    </row>
    <row r="74" spans="5:17" s="388" customFormat="1" x14ac:dyDescent="0.25">
      <c r="E74" s="711"/>
      <c r="F74" s="714"/>
      <c r="G74" s="711"/>
      <c r="H74" s="711"/>
      <c r="I74" s="711"/>
      <c r="J74" s="674" t="e">
        <f t="shared" si="1"/>
        <v>#DIV/0!</v>
      </c>
      <c r="K74" s="564"/>
      <c r="L74" s="567"/>
      <c r="M74" s="567"/>
      <c r="N74" s="569"/>
      <c r="O74" s="567"/>
      <c r="P74" s="567"/>
      <c r="Q74" s="567"/>
    </row>
    <row r="75" spans="5:17" s="388" customFormat="1" x14ac:dyDescent="0.25">
      <c r="E75" s="711"/>
      <c r="F75" s="714"/>
      <c r="G75" s="711"/>
      <c r="H75" s="711"/>
      <c r="I75" s="711"/>
      <c r="J75" s="674" t="e">
        <f t="shared" si="1"/>
        <v>#DIV/0!</v>
      </c>
      <c r="K75" s="564"/>
      <c r="L75" s="567"/>
      <c r="M75" s="567"/>
      <c r="N75" s="569"/>
      <c r="O75" s="567"/>
      <c r="P75" s="567"/>
      <c r="Q75" s="567"/>
    </row>
    <row r="76" spans="5:17" s="388" customFormat="1" x14ac:dyDescent="0.25">
      <c r="E76" s="711"/>
      <c r="F76" s="714"/>
      <c r="G76" s="711"/>
      <c r="H76" s="711"/>
      <c r="I76" s="711"/>
      <c r="J76" s="674" t="e">
        <f t="shared" si="1"/>
        <v>#DIV/0!</v>
      </c>
      <c r="K76" s="564"/>
      <c r="L76" s="567"/>
      <c r="M76" s="567"/>
      <c r="N76" s="569"/>
      <c r="O76" s="567"/>
      <c r="P76" s="567"/>
      <c r="Q76" s="567"/>
    </row>
    <row r="77" spans="5:17" s="388" customFormat="1" x14ac:dyDescent="0.25">
      <c r="E77" s="711"/>
      <c r="F77" s="714"/>
      <c r="G77" s="711"/>
      <c r="H77" s="711"/>
      <c r="I77" s="711"/>
      <c r="J77" s="674" t="e">
        <f t="shared" si="1"/>
        <v>#DIV/0!</v>
      </c>
      <c r="K77" s="564"/>
      <c r="L77" s="567"/>
      <c r="M77" s="567"/>
      <c r="N77" s="569"/>
      <c r="O77" s="567"/>
      <c r="P77" s="567"/>
      <c r="Q77" s="567"/>
    </row>
    <row r="78" spans="5:17" s="388" customFormat="1" x14ac:dyDescent="0.25">
      <c r="E78" s="711"/>
      <c r="F78" s="714"/>
      <c r="G78" s="711"/>
      <c r="H78" s="711"/>
      <c r="I78" s="711"/>
      <c r="J78" s="674" t="e">
        <f t="shared" si="1"/>
        <v>#DIV/0!</v>
      </c>
      <c r="K78" s="564"/>
      <c r="L78" s="567"/>
      <c r="M78" s="567"/>
      <c r="N78" s="569"/>
      <c r="O78" s="567"/>
      <c r="P78" s="567"/>
      <c r="Q78" s="567"/>
    </row>
    <row r="79" spans="5:17" s="388" customFormat="1" x14ac:dyDescent="0.25">
      <c r="E79" s="711"/>
      <c r="F79" s="714"/>
      <c r="G79" s="711"/>
      <c r="H79" s="711"/>
      <c r="I79" s="711"/>
      <c r="J79" s="674" t="e">
        <f t="shared" si="1"/>
        <v>#DIV/0!</v>
      </c>
      <c r="K79" s="564"/>
      <c r="L79" s="567"/>
      <c r="M79" s="567"/>
      <c r="N79" s="569"/>
      <c r="O79" s="567"/>
      <c r="P79" s="567"/>
      <c r="Q79" s="567"/>
    </row>
    <row r="80" spans="5:17" s="388" customFormat="1" x14ac:dyDescent="0.25">
      <c r="E80" s="711"/>
      <c r="F80" s="714"/>
      <c r="G80" s="711"/>
      <c r="H80" s="711"/>
      <c r="I80" s="711"/>
      <c r="J80" s="674" t="e">
        <f t="shared" si="1"/>
        <v>#DIV/0!</v>
      </c>
      <c r="K80" s="564"/>
      <c r="L80" s="567"/>
      <c r="M80" s="567"/>
      <c r="N80" s="569"/>
      <c r="O80" s="567"/>
      <c r="P80" s="567"/>
      <c r="Q80" s="567"/>
    </row>
    <row r="81" spans="5:17" s="388" customFormat="1" x14ac:dyDescent="0.25">
      <c r="E81" s="711"/>
      <c r="F81" s="714"/>
      <c r="G81" s="711"/>
      <c r="H81" s="711"/>
      <c r="I81" s="711"/>
      <c r="J81" s="674" t="e">
        <f t="shared" si="1"/>
        <v>#DIV/0!</v>
      </c>
      <c r="K81" s="564"/>
      <c r="L81" s="567"/>
      <c r="M81" s="567"/>
      <c r="N81" s="569"/>
      <c r="O81" s="567"/>
      <c r="P81" s="567"/>
      <c r="Q81" s="567"/>
    </row>
    <row r="82" spans="5:17" s="388" customFormat="1" x14ac:dyDescent="0.25">
      <c r="E82" s="711"/>
      <c r="F82" s="714"/>
      <c r="G82" s="711"/>
      <c r="H82" s="711"/>
      <c r="I82" s="711"/>
      <c r="J82" s="674" t="e">
        <f t="shared" si="1"/>
        <v>#DIV/0!</v>
      </c>
      <c r="K82" s="564"/>
      <c r="L82" s="567"/>
      <c r="M82" s="567"/>
      <c r="N82" s="569"/>
      <c r="O82" s="567"/>
      <c r="P82" s="567"/>
      <c r="Q82" s="567"/>
    </row>
    <row r="83" spans="5:17" s="388" customFormat="1" x14ac:dyDescent="0.25">
      <c r="E83" s="711"/>
      <c r="F83" s="714"/>
      <c r="G83" s="711"/>
      <c r="H83" s="711"/>
      <c r="I83" s="711"/>
      <c r="J83" s="674" t="e">
        <f t="shared" si="1"/>
        <v>#DIV/0!</v>
      </c>
      <c r="K83" s="564"/>
      <c r="L83" s="567"/>
      <c r="M83" s="567"/>
      <c r="N83" s="569"/>
      <c r="O83" s="567"/>
      <c r="P83" s="567"/>
      <c r="Q83" s="567"/>
    </row>
    <row r="84" spans="5:17" s="388" customFormat="1" x14ac:dyDescent="0.25">
      <c r="E84" s="711"/>
      <c r="F84" s="714"/>
      <c r="G84" s="711"/>
      <c r="H84" s="711"/>
      <c r="I84" s="711"/>
      <c r="J84" s="674" t="e">
        <f t="shared" si="1"/>
        <v>#DIV/0!</v>
      </c>
      <c r="K84" s="564"/>
      <c r="L84" s="567"/>
      <c r="M84" s="567"/>
      <c r="N84" s="569"/>
      <c r="O84" s="567"/>
      <c r="P84" s="567"/>
      <c r="Q84" s="567"/>
    </row>
    <row r="85" spans="5:17" s="388" customFormat="1" x14ac:dyDescent="0.25">
      <c r="E85" s="711"/>
      <c r="F85" s="714"/>
      <c r="G85" s="711"/>
      <c r="H85" s="711"/>
      <c r="I85" s="711"/>
      <c r="J85" s="674" t="e">
        <f t="shared" si="1"/>
        <v>#DIV/0!</v>
      </c>
      <c r="K85" s="564"/>
      <c r="L85" s="567"/>
      <c r="M85" s="567"/>
      <c r="N85" s="569"/>
      <c r="O85" s="567"/>
      <c r="P85" s="567"/>
      <c r="Q85" s="567"/>
    </row>
    <row r="86" spans="5:17" s="388" customFormat="1" x14ac:dyDescent="0.25">
      <c r="E86" s="711"/>
      <c r="F86" s="714"/>
      <c r="G86" s="711"/>
      <c r="H86" s="711"/>
      <c r="I86" s="711"/>
      <c r="J86" s="674" t="e">
        <f t="shared" si="1"/>
        <v>#DIV/0!</v>
      </c>
      <c r="K86" s="564"/>
      <c r="L86" s="567"/>
      <c r="M86" s="567"/>
      <c r="N86" s="569"/>
      <c r="O86" s="567"/>
      <c r="P86" s="567"/>
      <c r="Q86" s="567"/>
    </row>
    <row r="87" spans="5:17" s="388" customFormat="1" x14ac:dyDescent="0.25">
      <c r="E87" s="711"/>
      <c r="F87" s="714"/>
      <c r="G87" s="711"/>
      <c r="H87" s="711"/>
      <c r="I87" s="711"/>
      <c r="J87" s="674" t="e">
        <f t="shared" si="1"/>
        <v>#DIV/0!</v>
      </c>
      <c r="K87" s="564"/>
      <c r="L87" s="567"/>
      <c r="M87" s="567"/>
      <c r="N87" s="569"/>
      <c r="O87" s="567"/>
      <c r="P87" s="567"/>
      <c r="Q87" s="567"/>
    </row>
    <row r="88" spans="5:17" s="388" customFormat="1" x14ac:dyDescent="0.25">
      <c r="E88" s="711"/>
      <c r="F88" s="714"/>
      <c r="G88" s="711"/>
      <c r="H88" s="711"/>
      <c r="I88" s="711"/>
      <c r="J88" s="674" t="e">
        <f t="shared" si="1"/>
        <v>#DIV/0!</v>
      </c>
      <c r="K88" s="564"/>
      <c r="L88" s="567"/>
      <c r="M88" s="567"/>
      <c r="N88" s="569"/>
      <c r="O88" s="567"/>
      <c r="P88" s="567"/>
      <c r="Q88" s="567"/>
    </row>
    <row r="89" spans="5:17" s="388" customFormat="1" x14ac:dyDescent="0.25">
      <c r="E89" s="711"/>
      <c r="F89" s="714"/>
      <c r="G89" s="711"/>
      <c r="H89" s="711"/>
      <c r="I89" s="711"/>
      <c r="J89" s="674" t="e">
        <f t="shared" si="1"/>
        <v>#DIV/0!</v>
      </c>
      <c r="K89" s="564"/>
      <c r="L89" s="567"/>
      <c r="M89" s="567"/>
      <c r="N89" s="569"/>
      <c r="O89" s="567"/>
      <c r="P89" s="567"/>
      <c r="Q89" s="567"/>
    </row>
    <row r="90" spans="5:17" s="388" customFormat="1" x14ac:dyDescent="0.25">
      <c r="E90" s="711"/>
      <c r="F90" s="714"/>
      <c r="G90" s="711"/>
      <c r="H90" s="711"/>
      <c r="I90" s="711"/>
      <c r="J90" s="674" t="e">
        <f t="shared" si="1"/>
        <v>#DIV/0!</v>
      </c>
      <c r="K90" s="564"/>
      <c r="L90" s="567"/>
      <c r="M90" s="567"/>
      <c r="N90" s="569"/>
      <c r="O90" s="567"/>
      <c r="P90" s="567"/>
      <c r="Q90" s="567"/>
    </row>
    <row r="91" spans="5:17" s="388" customFormat="1" x14ac:dyDescent="0.25">
      <c r="E91" s="711"/>
      <c r="F91" s="714"/>
      <c r="G91" s="711"/>
      <c r="H91" s="711"/>
      <c r="I91" s="711"/>
      <c r="J91" s="674" t="e">
        <f t="shared" si="1"/>
        <v>#DIV/0!</v>
      </c>
      <c r="K91" s="564"/>
      <c r="L91" s="567"/>
      <c r="M91" s="567"/>
      <c r="N91" s="569"/>
      <c r="O91" s="567"/>
      <c r="P91" s="567"/>
      <c r="Q91" s="567"/>
    </row>
    <row r="92" spans="5:17" s="388" customFormat="1" x14ac:dyDescent="0.25">
      <c r="E92" s="711"/>
      <c r="F92" s="714"/>
      <c r="G92" s="711"/>
      <c r="H92" s="711"/>
      <c r="I92" s="711"/>
      <c r="J92" s="674" t="e">
        <f t="shared" si="1"/>
        <v>#DIV/0!</v>
      </c>
      <c r="K92" s="564"/>
      <c r="L92" s="567"/>
      <c r="M92" s="567"/>
      <c r="N92" s="569"/>
      <c r="O92" s="567"/>
      <c r="P92" s="567"/>
      <c r="Q92" s="567"/>
    </row>
    <row r="93" spans="5:17" s="388" customFormat="1" x14ac:dyDescent="0.25">
      <c r="E93" s="711"/>
      <c r="F93" s="714"/>
      <c r="G93" s="711"/>
      <c r="H93" s="711"/>
      <c r="I93" s="711"/>
      <c r="J93" s="674" t="e">
        <f t="shared" si="1"/>
        <v>#DIV/0!</v>
      </c>
      <c r="K93" s="564"/>
      <c r="L93" s="567"/>
      <c r="M93" s="567"/>
      <c r="N93" s="569"/>
      <c r="O93" s="567"/>
      <c r="P93" s="567"/>
      <c r="Q93" s="567"/>
    </row>
    <row r="94" spans="5:17" s="388" customFormat="1" x14ac:dyDescent="0.25">
      <c r="E94" s="711"/>
      <c r="F94" s="714"/>
      <c r="G94" s="711"/>
      <c r="H94" s="711"/>
      <c r="I94" s="711"/>
      <c r="J94" s="674" t="e">
        <f t="shared" si="1"/>
        <v>#DIV/0!</v>
      </c>
      <c r="K94" s="564"/>
      <c r="L94" s="567"/>
      <c r="M94" s="567"/>
      <c r="N94" s="569"/>
      <c r="O94" s="567"/>
      <c r="P94" s="567"/>
      <c r="Q94" s="567"/>
    </row>
    <row r="95" spans="5:17" s="388" customFormat="1" x14ac:dyDescent="0.25">
      <c r="E95" s="711"/>
      <c r="F95" s="714"/>
      <c r="G95" s="711"/>
      <c r="H95" s="711"/>
      <c r="I95" s="711"/>
      <c r="J95" s="674" t="e">
        <f t="shared" si="1"/>
        <v>#DIV/0!</v>
      </c>
      <c r="K95" s="564"/>
      <c r="L95" s="567"/>
      <c r="M95" s="567"/>
      <c r="N95" s="569"/>
      <c r="O95" s="567"/>
      <c r="P95" s="567"/>
      <c r="Q95" s="567"/>
    </row>
    <row r="96" spans="5:17" s="388" customFormat="1" x14ac:dyDescent="0.25">
      <c r="E96" s="711"/>
      <c r="F96" s="714"/>
      <c r="G96" s="711"/>
      <c r="H96" s="711"/>
      <c r="I96" s="711"/>
      <c r="J96" s="674" t="e">
        <f t="shared" si="1"/>
        <v>#DIV/0!</v>
      </c>
      <c r="K96" s="564"/>
      <c r="L96" s="567"/>
      <c r="M96" s="567"/>
      <c r="N96" s="569"/>
      <c r="O96" s="567"/>
      <c r="P96" s="567"/>
      <c r="Q96" s="567"/>
    </row>
    <row r="97" spans="5:17" s="388" customFormat="1" x14ac:dyDescent="0.25">
      <c r="E97" s="711"/>
      <c r="F97" s="714"/>
      <c r="G97" s="711"/>
      <c r="H97" s="711"/>
      <c r="I97" s="711"/>
      <c r="J97" s="674" t="e">
        <f t="shared" si="1"/>
        <v>#DIV/0!</v>
      </c>
      <c r="K97" s="564"/>
      <c r="L97" s="567"/>
      <c r="M97" s="567"/>
      <c r="N97" s="569"/>
      <c r="O97" s="567"/>
      <c r="P97" s="567"/>
      <c r="Q97" s="567"/>
    </row>
    <row r="98" spans="5:17" s="388" customFormat="1" x14ac:dyDescent="0.25">
      <c r="E98" s="711"/>
      <c r="F98" s="714"/>
      <c r="G98" s="711"/>
      <c r="H98" s="711"/>
      <c r="I98" s="711"/>
      <c r="J98" s="674" t="e">
        <f t="shared" si="1"/>
        <v>#DIV/0!</v>
      </c>
      <c r="K98" s="564"/>
      <c r="L98" s="567"/>
      <c r="M98" s="567"/>
      <c r="N98" s="569"/>
      <c r="O98" s="567"/>
      <c r="P98" s="567"/>
      <c r="Q98" s="567"/>
    </row>
    <row r="99" spans="5:17" s="388" customFormat="1" x14ac:dyDescent="0.25">
      <c r="E99" s="711"/>
      <c r="F99" s="714"/>
      <c r="G99" s="711"/>
      <c r="H99" s="711"/>
      <c r="I99" s="711"/>
      <c r="J99" s="674" t="e">
        <f t="shared" si="1"/>
        <v>#DIV/0!</v>
      </c>
      <c r="K99" s="564"/>
      <c r="L99" s="567"/>
      <c r="M99" s="567"/>
      <c r="N99" s="569"/>
      <c r="O99" s="567"/>
      <c r="P99" s="567"/>
      <c r="Q99" s="567"/>
    </row>
    <row r="100" spans="5:17" s="388" customFormat="1" x14ac:dyDescent="0.25">
      <c r="E100" s="711"/>
      <c r="F100" s="714"/>
      <c r="G100" s="711"/>
      <c r="H100" s="711"/>
      <c r="I100" s="711"/>
      <c r="J100" s="674" t="e">
        <f t="shared" si="1"/>
        <v>#DIV/0!</v>
      </c>
      <c r="K100" s="564"/>
      <c r="L100" s="567"/>
      <c r="M100" s="567"/>
      <c r="N100" s="569"/>
      <c r="O100" s="567"/>
      <c r="P100" s="567"/>
      <c r="Q100" s="567"/>
    </row>
    <row r="101" spans="5:17" s="388" customFormat="1" x14ac:dyDescent="0.25">
      <c r="E101" s="711"/>
      <c r="F101" s="714"/>
      <c r="G101" s="711"/>
      <c r="H101" s="711"/>
      <c r="I101" s="711"/>
      <c r="J101" s="674" t="e">
        <f t="shared" si="1"/>
        <v>#DIV/0!</v>
      </c>
      <c r="K101" s="564"/>
      <c r="L101" s="567"/>
      <c r="M101" s="567"/>
      <c r="N101" s="569"/>
      <c r="O101" s="567"/>
      <c r="P101" s="567"/>
      <c r="Q101" s="567"/>
    </row>
    <row r="102" spans="5:17" s="388" customFormat="1" x14ac:dyDescent="0.25">
      <c r="E102" s="711"/>
      <c r="F102" s="714"/>
      <c r="G102" s="711"/>
      <c r="H102" s="711"/>
      <c r="I102" s="711"/>
      <c r="J102" s="674" t="e">
        <f t="shared" si="1"/>
        <v>#DIV/0!</v>
      </c>
      <c r="K102" s="564"/>
      <c r="L102" s="567"/>
      <c r="M102" s="567"/>
      <c r="N102" s="569"/>
      <c r="O102" s="567"/>
      <c r="P102" s="567"/>
      <c r="Q102" s="567"/>
    </row>
    <row r="103" spans="5:17" s="388" customFormat="1" x14ac:dyDescent="0.25">
      <c r="E103" s="711"/>
      <c r="F103" s="714"/>
      <c r="G103" s="711"/>
      <c r="H103" s="711"/>
      <c r="I103" s="711"/>
      <c r="J103" s="674" t="e">
        <f t="shared" si="1"/>
        <v>#DIV/0!</v>
      </c>
      <c r="K103" s="564"/>
      <c r="L103" s="567"/>
      <c r="M103" s="567"/>
      <c r="N103" s="569"/>
      <c r="O103" s="567"/>
      <c r="P103" s="567"/>
      <c r="Q103" s="567"/>
    </row>
    <row r="104" spans="5:17" s="388" customFormat="1" x14ac:dyDescent="0.25">
      <c r="E104" s="711"/>
      <c r="F104" s="714"/>
      <c r="G104" s="711"/>
      <c r="H104" s="711"/>
      <c r="I104" s="711"/>
      <c r="J104" s="674" t="e">
        <f t="shared" si="1"/>
        <v>#DIV/0!</v>
      </c>
      <c r="K104" s="564"/>
      <c r="L104" s="567"/>
      <c r="M104" s="567"/>
      <c r="N104" s="569"/>
      <c r="O104" s="567"/>
      <c r="P104" s="567"/>
      <c r="Q104" s="567"/>
    </row>
    <row r="105" spans="5:17" s="388" customFormat="1" x14ac:dyDescent="0.25">
      <c r="E105" s="711"/>
      <c r="F105" s="714"/>
      <c r="G105" s="711"/>
      <c r="H105" s="711"/>
      <c r="I105" s="711"/>
      <c r="J105" s="674" t="e">
        <f t="shared" si="1"/>
        <v>#DIV/0!</v>
      </c>
      <c r="K105" s="564"/>
      <c r="L105" s="567"/>
      <c r="M105" s="567"/>
      <c r="N105" s="569"/>
      <c r="O105" s="567"/>
      <c r="P105" s="567"/>
      <c r="Q105" s="567"/>
    </row>
    <row r="106" spans="5:17" s="388" customFormat="1" x14ac:dyDescent="0.25">
      <c r="E106" s="711"/>
      <c r="F106" s="714"/>
      <c r="G106" s="711"/>
      <c r="H106" s="711"/>
      <c r="I106" s="711"/>
      <c r="J106" s="674" t="e">
        <f t="shared" si="1"/>
        <v>#DIV/0!</v>
      </c>
      <c r="K106" s="564"/>
      <c r="L106" s="567"/>
      <c r="M106" s="567"/>
      <c r="N106" s="569"/>
      <c r="O106" s="567"/>
      <c r="P106" s="567"/>
      <c r="Q106" s="567"/>
    </row>
    <row r="107" spans="5:17" s="388" customFormat="1" x14ac:dyDescent="0.25">
      <c r="E107" s="711"/>
      <c r="F107" s="714"/>
      <c r="G107" s="711"/>
      <c r="H107" s="711"/>
      <c r="I107" s="711"/>
      <c r="J107" s="674" t="e">
        <f t="shared" si="1"/>
        <v>#DIV/0!</v>
      </c>
      <c r="K107" s="564"/>
      <c r="L107" s="567"/>
      <c r="M107" s="567"/>
      <c r="N107" s="569"/>
      <c r="O107" s="567"/>
      <c r="P107" s="567"/>
      <c r="Q107" s="567"/>
    </row>
    <row r="108" spans="5:17" s="388" customFormat="1" x14ac:dyDescent="0.25">
      <c r="E108" s="711"/>
      <c r="F108" s="714"/>
      <c r="G108" s="711"/>
      <c r="H108" s="711"/>
      <c r="I108" s="711"/>
      <c r="J108" s="674" t="e">
        <f t="shared" si="1"/>
        <v>#DIV/0!</v>
      </c>
      <c r="K108" s="564"/>
      <c r="L108" s="567"/>
      <c r="M108" s="567"/>
      <c r="N108" s="569"/>
      <c r="O108" s="567"/>
      <c r="P108" s="567"/>
      <c r="Q108" s="567"/>
    </row>
    <row r="109" spans="5:17" s="388" customFormat="1" x14ac:dyDescent="0.25">
      <c r="E109" s="711"/>
      <c r="F109" s="714"/>
      <c r="G109" s="711"/>
      <c r="H109" s="711"/>
      <c r="I109" s="711"/>
      <c r="J109" s="674" t="e">
        <f t="shared" si="1"/>
        <v>#DIV/0!</v>
      </c>
      <c r="K109" s="564"/>
      <c r="L109" s="567"/>
      <c r="M109" s="567"/>
      <c r="N109" s="569"/>
      <c r="O109" s="567"/>
      <c r="P109" s="567"/>
      <c r="Q109" s="567"/>
    </row>
    <row r="110" spans="5:17" s="388" customFormat="1" x14ac:dyDescent="0.25">
      <c r="E110" s="711"/>
      <c r="F110" s="714"/>
      <c r="G110" s="711"/>
      <c r="H110" s="711"/>
      <c r="I110" s="711"/>
      <c r="J110" s="674" t="e">
        <f t="shared" si="1"/>
        <v>#DIV/0!</v>
      </c>
      <c r="K110" s="564"/>
      <c r="L110" s="567"/>
      <c r="M110" s="567"/>
      <c r="N110" s="569"/>
      <c r="O110" s="567"/>
      <c r="P110" s="567"/>
      <c r="Q110" s="567"/>
    </row>
    <row r="111" spans="5:17" s="388" customFormat="1" x14ac:dyDescent="0.25">
      <c r="E111" s="711"/>
      <c r="F111" s="714"/>
      <c r="G111" s="711"/>
      <c r="H111" s="711"/>
      <c r="I111" s="711"/>
      <c r="J111" s="674" t="e">
        <f t="shared" si="1"/>
        <v>#DIV/0!</v>
      </c>
      <c r="K111" s="564"/>
      <c r="L111" s="567"/>
      <c r="M111" s="567"/>
      <c r="N111" s="569"/>
      <c r="O111" s="567"/>
      <c r="P111" s="567"/>
      <c r="Q111" s="567"/>
    </row>
    <row r="112" spans="5:17" s="388" customFormat="1" x14ac:dyDescent="0.25">
      <c r="E112" s="711"/>
      <c r="F112" s="714"/>
      <c r="G112" s="711"/>
      <c r="H112" s="711"/>
      <c r="I112" s="711"/>
      <c r="J112" s="674" t="e">
        <f t="shared" si="1"/>
        <v>#DIV/0!</v>
      </c>
      <c r="K112" s="564"/>
      <c r="L112" s="567"/>
      <c r="M112" s="567"/>
      <c r="N112" s="569"/>
      <c r="O112" s="567"/>
      <c r="P112" s="567"/>
      <c r="Q112" s="567"/>
    </row>
    <row r="113" spans="5:17" s="388" customFormat="1" x14ac:dyDescent="0.25">
      <c r="E113" s="711"/>
      <c r="F113" s="714"/>
      <c r="G113" s="711"/>
      <c r="H113" s="711"/>
      <c r="I113" s="711"/>
      <c r="J113" s="674" t="e">
        <f t="shared" si="1"/>
        <v>#DIV/0!</v>
      </c>
      <c r="K113" s="564"/>
      <c r="L113" s="567"/>
      <c r="M113" s="567"/>
      <c r="N113" s="569"/>
      <c r="O113" s="567"/>
      <c r="P113" s="567"/>
      <c r="Q113" s="567"/>
    </row>
    <row r="114" spans="5:17" s="388" customFormat="1" x14ac:dyDescent="0.25">
      <c r="E114" s="711"/>
      <c r="F114" s="714"/>
      <c r="G114" s="711"/>
      <c r="H114" s="711"/>
      <c r="I114" s="711"/>
      <c r="J114" s="674" t="e">
        <f t="shared" si="1"/>
        <v>#DIV/0!</v>
      </c>
      <c r="K114" s="564"/>
      <c r="L114" s="567"/>
      <c r="M114" s="567"/>
      <c r="N114" s="569"/>
      <c r="O114" s="567"/>
      <c r="P114" s="567"/>
      <c r="Q114" s="567"/>
    </row>
    <row r="115" spans="5:17" s="388" customFormat="1" x14ac:dyDescent="0.25">
      <c r="E115" s="711"/>
      <c r="F115" s="714"/>
      <c r="G115" s="711"/>
      <c r="H115" s="711"/>
      <c r="I115" s="711"/>
      <c r="J115" s="674" t="e">
        <f t="shared" si="1"/>
        <v>#DIV/0!</v>
      </c>
      <c r="K115" s="564"/>
      <c r="L115" s="567"/>
      <c r="M115" s="567"/>
      <c r="N115" s="569"/>
      <c r="O115" s="567"/>
      <c r="P115" s="567"/>
      <c r="Q115" s="567"/>
    </row>
    <row r="116" spans="5:17" s="388" customFormat="1" x14ac:dyDescent="0.25">
      <c r="E116" s="711"/>
      <c r="F116" s="714"/>
      <c r="G116" s="711"/>
      <c r="H116" s="711"/>
      <c r="I116" s="711"/>
      <c r="J116" s="674" t="e">
        <f t="shared" si="1"/>
        <v>#DIV/0!</v>
      </c>
      <c r="K116" s="564"/>
      <c r="L116" s="567"/>
      <c r="M116" s="567"/>
      <c r="N116" s="569"/>
      <c r="O116" s="567"/>
      <c r="P116" s="567"/>
      <c r="Q116" s="567"/>
    </row>
    <row r="117" spans="5:17" s="388" customFormat="1" x14ac:dyDescent="0.25">
      <c r="E117" s="711"/>
      <c r="F117" s="714"/>
      <c r="G117" s="711"/>
      <c r="H117" s="711"/>
      <c r="I117" s="711"/>
      <c r="J117" s="674" t="e">
        <f t="shared" si="1"/>
        <v>#DIV/0!</v>
      </c>
      <c r="K117" s="564"/>
      <c r="L117" s="567"/>
      <c r="M117" s="567"/>
      <c r="N117" s="569"/>
      <c r="O117" s="567"/>
      <c r="P117" s="567"/>
      <c r="Q117" s="567"/>
    </row>
    <row r="118" spans="5:17" s="388" customFormat="1" x14ac:dyDescent="0.25">
      <c r="E118" s="711"/>
      <c r="F118" s="714"/>
      <c r="G118" s="711"/>
      <c r="H118" s="711"/>
      <c r="I118" s="711"/>
      <c r="J118" s="674" t="e">
        <f t="shared" si="1"/>
        <v>#DIV/0!</v>
      </c>
      <c r="K118" s="564"/>
      <c r="L118" s="567"/>
      <c r="M118" s="567"/>
      <c r="N118" s="569"/>
      <c r="O118" s="567"/>
      <c r="P118" s="567"/>
      <c r="Q118" s="567"/>
    </row>
    <row r="119" spans="5:17" s="388" customFormat="1" x14ac:dyDescent="0.25">
      <c r="E119" s="711"/>
      <c r="F119" s="714"/>
      <c r="G119" s="711"/>
      <c r="H119" s="711"/>
      <c r="I119" s="711"/>
      <c r="J119" s="674" t="e">
        <f t="shared" si="1"/>
        <v>#DIV/0!</v>
      </c>
      <c r="K119" s="564"/>
      <c r="L119" s="567"/>
      <c r="M119" s="567"/>
      <c r="N119" s="569"/>
      <c r="O119" s="567"/>
      <c r="P119" s="567"/>
      <c r="Q119" s="567"/>
    </row>
    <row r="120" spans="5:17" s="388" customFormat="1" x14ac:dyDescent="0.25">
      <c r="E120" s="711"/>
      <c r="F120" s="714"/>
      <c r="G120" s="711"/>
      <c r="H120" s="711"/>
      <c r="I120" s="711"/>
      <c r="J120" s="674" t="e">
        <f t="shared" si="1"/>
        <v>#DIV/0!</v>
      </c>
      <c r="K120" s="564"/>
      <c r="L120" s="567"/>
      <c r="M120" s="567"/>
      <c r="N120" s="569"/>
      <c r="O120" s="567"/>
      <c r="P120" s="567"/>
      <c r="Q120" s="567"/>
    </row>
    <row r="121" spans="5:17" s="388" customFormat="1" x14ac:dyDescent="0.25">
      <c r="E121" s="711"/>
      <c r="F121" s="714"/>
      <c r="G121" s="711"/>
      <c r="H121" s="711"/>
      <c r="I121" s="711"/>
      <c r="J121" s="674" t="e">
        <f t="shared" si="1"/>
        <v>#DIV/0!</v>
      </c>
      <c r="K121" s="564"/>
      <c r="L121" s="567"/>
      <c r="M121" s="567"/>
      <c r="N121" s="569"/>
      <c r="O121" s="567"/>
      <c r="P121" s="567"/>
      <c r="Q121" s="567"/>
    </row>
    <row r="122" spans="5:17" s="388" customFormat="1" x14ac:dyDescent="0.25">
      <c r="E122" s="711"/>
      <c r="F122" s="714"/>
      <c r="G122" s="711"/>
      <c r="H122" s="711"/>
      <c r="I122" s="711"/>
      <c r="J122" s="674" t="e">
        <f t="shared" si="1"/>
        <v>#DIV/0!</v>
      </c>
      <c r="K122" s="564"/>
      <c r="L122" s="567"/>
      <c r="M122" s="567"/>
      <c r="N122" s="569"/>
      <c r="O122" s="567"/>
      <c r="P122" s="567"/>
      <c r="Q122" s="567"/>
    </row>
    <row r="123" spans="5:17" s="388" customFormat="1" x14ac:dyDescent="0.25">
      <c r="E123" s="711"/>
      <c r="F123" s="714"/>
      <c r="G123" s="711"/>
      <c r="H123" s="711"/>
      <c r="I123" s="711"/>
      <c r="J123" s="674" t="e">
        <f t="shared" si="1"/>
        <v>#DIV/0!</v>
      </c>
      <c r="K123" s="564"/>
      <c r="L123" s="567"/>
      <c r="M123" s="567"/>
      <c r="N123" s="569"/>
      <c r="O123" s="567"/>
      <c r="P123" s="567"/>
      <c r="Q123" s="567"/>
    </row>
    <row r="124" spans="5:17" s="388" customFormat="1" x14ac:dyDescent="0.25">
      <c r="E124" s="711"/>
      <c r="F124" s="714"/>
      <c r="G124" s="711"/>
      <c r="H124" s="711"/>
      <c r="I124" s="711"/>
      <c r="J124" s="674" t="e">
        <f t="shared" si="1"/>
        <v>#DIV/0!</v>
      </c>
      <c r="K124" s="564"/>
      <c r="L124" s="567"/>
      <c r="M124" s="567"/>
      <c r="N124" s="569"/>
      <c r="O124" s="567"/>
      <c r="P124" s="567"/>
      <c r="Q124" s="567"/>
    </row>
    <row r="125" spans="5:17" s="388" customFormat="1" x14ac:dyDescent="0.25">
      <c r="E125" s="711"/>
      <c r="F125" s="714"/>
      <c r="G125" s="711"/>
      <c r="H125" s="711"/>
      <c r="I125" s="711"/>
      <c r="J125" s="674" t="e">
        <f t="shared" si="1"/>
        <v>#DIV/0!</v>
      </c>
      <c r="K125" s="564"/>
      <c r="L125" s="567"/>
      <c r="M125" s="567"/>
      <c r="N125" s="569"/>
      <c r="O125" s="567"/>
      <c r="P125" s="567"/>
      <c r="Q125" s="567"/>
    </row>
    <row r="126" spans="5:17" s="388" customFormat="1" x14ac:dyDescent="0.25">
      <c r="E126" s="711"/>
      <c r="F126" s="714"/>
      <c r="G126" s="711"/>
      <c r="H126" s="711"/>
      <c r="I126" s="711"/>
      <c r="J126" s="674" t="e">
        <f t="shared" si="1"/>
        <v>#DIV/0!</v>
      </c>
      <c r="K126" s="564"/>
      <c r="L126" s="567"/>
      <c r="M126" s="567"/>
      <c r="N126" s="569"/>
      <c r="O126" s="567"/>
      <c r="P126" s="567"/>
      <c r="Q126" s="567"/>
    </row>
    <row r="127" spans="5:17" s="388" customFormat="1" x14ac:dyDescent="0.25">
      <c r="E127" s="711"/>
      <c r="F127" s="714"/>
      <c r="G127" s="711"/>
      <c r="H127" s="711"/>
      <c r="I127" s="711"/>
      <c r="J127" s="674" t="e">
        <f t="shared" si="1"/>
        <v>#DIV/0!</v>
      </c>
      <c r="K127" s="564"/>
      <c r="L127" s="567"/>
      <c r="M127" s="567"/>
      <c r="N127" s="569"/>
      <c r="O127" s="567"/>
      <c r="P127" s="567"/>
      <c r="Q127" s="567"/>
    </row>
    <row r="128" spans="5:17" s="388" customFormat="1" x14ac:dyDescent="0.25">
      <c r="E128" s="711"/>
      <c r="F128" s="714"/>
      <c r="G128" s="711"/>
      <c r="H128" s="711"/>
      <c r="I128" s="711"/>
      <c r="J128" s="674" t="e">
        <f t="shared" si="1"/>
        <v>#DIV/0!</v>
      </c>
      <c r="K128" s="564"/>
      <c r="L128" s="567"/>
      <c r="M128" s="567"/>
      <c r="N128" s="569"/>
      <c r="O128" s="567"/>
      <c r="P128" s="567"/>
      <c r="Q128" s="567"/>
    </row>
    <row r="129" spans="5:17" s="388" customFormat="1" x14ac:dyDescent="0.25">
      <c r="E129" s="711"/>
      <c r="F129" s="714"/>
      <c r="G129" s="711"/>
      <c r="H129" s="711"/>
      <c r="I129" s="711"/>
      <c r="J129" s="674" t="e">
        <f t="shared" si="1"/>
        <v>#DIV/0!</v>
      </c>
      <c r="K129" s="564"/>
      <c r="L129" s="567"/>
      <c r="M129" s="567"/>
      <c r="N129" s="569"/>
      <c r="O129" s="567"/>
      <c r="P129" s="567"/>
      <c r="Q129" s="567"/>
    </row>
    <row r="130" spans="5:17" s="388" customFormat="1" x14ac:dyDescent="0.25">
      <c r="E130" s="711"/>
      <c r="F130" s="714"/>
      <c r="G130" s="711"/>
      <c r="H130" s="711"/>
      <c r="I130" s="711"/>
      <c r="J130" s="674" t="e">
        <f t="shared" si="1"/>
        <v>#DIV/0!</v>
      </c>
      <c r="K130" s="564"/>
      <c r="L130" s="567"/>
      <c r="M130" s="567"/>
      <c r="N130" s="569"/>
      <c r="O130" s="567"/>
      <c r="P130" s="567"/>
      <c r="Q130" s="567"/>
    </row>
    <row r="131" spans="5:17" s="388" customFormat="1" x14ac:dyDescent="0.25">
      <c r="E131" s="711"/>
      <c r="F131" s="714"/>
      <c r="G131" s="711"/>
      <c r="H131" s="711"/>
      <c r="I131" s="711"/>
      <c r="J131" s="674" t="e">
        <f t="shared" si="1"/>
        <v>#DIV/0!</v>
      </c>
      <c r="K131" s="564"/>
      <c r="L131" s="567"/>
      <c r="M131" s="567"/>
      <c r="N131" s="569"/>
      <c r="O131" s="567"/>
      <c r="P131" s="567"/>
      <c r="Q131" s="567"/>
    </row>
    <row r="132" spans="5:17" s="388" customFormat="1" x14ac:dyDescent="0.25">
      <c r="E132" s="711"/>
      <c r="F132" s="714"/>
      <c r="G132" s="711"/>
      <c r="H132" s="711"/>
      <c r="I132" s="711"/>
      <c r="J132" s="674" t="e">
        <f t="shared" ref="J132:J195" si="2">(I132*K132/100)/(H132*G132)*1000</f>
        <v>#DIV/0!</v>
      </c>
      <c r="K132" s="564"/>
      <c r="L132" s="567"/>
      <c r="M132" s="567"/>
      <c r="N132" s="569"/>
      <c r="O132" s="567"/>
      <c r="P132" s="567"/>
      <c r="Q132" s="567"/>
    </row>
    <row r="133" spans="5:17" s="388" customFormat="1" x14ac:dyDescent="0.25">
      <c r="E133" s="711"/>
      <c r="F133" s="714"/>
      <c r="G133" s="711"/>
      <c r="H133" s="711"/>
      <c r="I133" s="711"/>
      <c r="J133" s="674" t="e">
        <f t="shared" si="2"/>
        <v>#DIV/0!</v>
      </c>
      <c r="K133" s="564"/>
      <c r="L133" s="567"/>
      <c r="M133" s="567"/>
      <c r="N133" s="569"/>
      <c r="O133" s="567"/>
      <c r="P133" s="567"/>
      <c r="Q133" s="567"/>
    </row>
    <row r="134" spans="5:17" s="388" customFormat="1" x14ac:dyDescent="0.25">
      <c r="E134" s="711"/>
      <c r="F134" s="714"/>
      <c r="G134" s="711"/>
      <c r="H134" s="711"/>
      <c r="I134" s="711"/>
      <c r="J134" s="674" t="e">
        <f t="shared" si="2"/>
        <v>#DIV/0!</v>
      </c>
      <c r="K134" s="564"/>
      <c r="L134" s="567"/>
      <c r="M134" s="567"/>
      <c r="N134" s="569"/>
      <c r="O134" s="567"/>
      <c r="P134" s="567"/>
      <c r="Q134" s="567"/>
    </row>
    <row r="135" spans="5:17" s="388" customFormat="1" x14ac:dyDescent="0.25">
      <c r="E135" s="711"/>
      <c r="F135" s="714"/>
      <c r="G135" s="711"/>
      <c r="H135" s="711"/>
      <c r="I135" s="711"/>
      <c r="J135" s="674" t="e">
        <f t="shared" si="2"/>
        <v>#DIV/0!</v>
      </c>
      <c r="K135" s="564"/>
      <c r="L135" s="567"/>
      <c r="M135" s="567"/>
      <c r="N135" s="569"/>
      <c r="O135" s="567"/>
      <c r="P135" s="567"/>
      <c r="Q135" s="567"/>
    </row>
    <row r="136" spans="5:17" s="388" customFormat="1" x14ac:dyDescent="0.25">
      <c r="E136" s="711"/>
      <c r="F136" s="714"/>
      <c r="G136" s="711"/>
      <c r="H136" s="711"/>
      <c r="I136" s="711"/>
      <c r="J136" s="674" t="e">
        <f t="shared" si="2"/>
        <v>#DIV/0!</v>
      </c>
      <c r="K136" s="564"/>
      <c r="L136" s="567"/>
      <c r="M136" s="567"/>
      <c r="N136" s="569"/>
      <c r="O136" s="567"/>
      <c r="P136" s="567"/>
      <c r="Q136" s="567"/>
    </row>
    <row r="137" spans="5:17" s="388" customFormat="1" x14ac:dyDescent="0.25">
      <c r="E137" s="711"/>
      <c r="F137" s="714"/>
      <c r="G137" s="711"/>
      <c r="H137" s="711"/>
      <c r="I137" s="711"/>
      <c r="J137" s="674" t="e">
        <f t="shared" si="2"/>
        <v>#DIV/0!</v>
      </c>
      <c r="K137" s="564"/>
      <c r="L137" s="567"/>
      <c r="M137" s="567"/>
      <c r="N137" s="569"/>
      <c r="O137" s="567"/>
      <c r="P137" s="567"/>
      <c r="Q137" s="567"/>
    </row>
    <row r="138" spans="5:17" s="388" customFormat="1" x14ac:dyDescent="0.25">
      <c r="E138" s="711"/>
      <c r="F138" s="714"/>
      <c r="G138" s="711"/>
      <c r="H138" s="711"/>
      <c r="I138" s="711"/>
      <c r="J138" s="674" t="e">
        <f t="shared" si="2"/>
        <v>#DIV/0!</v>
      </c>
      <c r="K138" s="564"/>
      <c r="L138" s="567"/>
      <c r="M138" s="567"/>
      <c r="N138" s="569"/>
      <c r="O138" s="567"/>
      <c r="P138" s="567"/>
      <c r="Q138" s="567"/>
    </row>
    <row r="139" spans="5:17" s="388" customFormat="1" x14ac:dyDescent="0.25">
      <c r="E139" s="711"/>
      <c r="F139" s="714"/>
      <c r="G139" s="711"/>
      <c r="H139" s="711"/>
      <c r="I139" s="711"/>
      <c r="J139" s="674" t="e">
        <f t="shared" si="2"/>
        <v>#DIV/0!</v>
      </c>
      <c r="K139" s="564"/>
      <c r="L139" s="567"/>
      <c r="M139" s="567"/>
      <c r="N139" s="569"/>
      <c r="O139" s="567"/>
      <c r="P139" s="567"/>
      <c r="Q139" s="567"/>
    </row>
    <row r="140" spans="5:17" s="388" customFormat="1" x14ac:dyDescent="0.25">
      <c r="E140" s="711"/>
      <c r="F140" s="714"/>
      <c r="G140" s="711"/>
      <c r="H140" s="711"/>
      <c r="I140" s="711"/>
      <c r="J140" s="674" t="e">
        <f t="shared" si="2"/>
        <v>#DIV/0!</v>
      </c>
      <c r="K140" s="564"/>
      <c r="L140" s="567"/>
      <c r="M140" s="567"/>
      <c r="N140" s="569"/>
      <c r="O140" s="567"/>
      <c r="P140" s="567"/>
      <c r="Q140" s="567"/>
    </row>
    <row r="141" spans="5:17" s="388" customFormat="1" x14ac:dyDescent="0.25">
      <c r="E141" s="711"/>
      <c r="F141" s="714"/>
      <c r="G141" s="711"/>
      <c r="H141" s="711"/>
      <c r="I141" s="711"/>
      <c r="J141" s="674" t="e">
        <f t="shared" si="2"/>
        <v>#DIV/0!</v>
      </c>
      <c r="K141" s="564"/>
      <c r="L141" s="567"/>
      <c r="M141" s="567"/>
      <c r="N141" s="569"/>
      <c r="O141" s="567"/>
      <c r="P141" s="567"/>
      <c r="Q141" s="567"/>
    </row>
    <row r="142" spans="5:17" s="388" customFormat="1" x14ac:dyDescent="0.25">
      <c r="E142" s="711"/>
      <c r="F142" s="714"/>
      <c r="G142" s="711"/>
      <c r="H142" s="711"/>
      <c r="I142" s="711"/>
      <c r="J142" s="674" t="e">
        <f t="shared" si="2"/>
        <v>#DIV/0!</v>
      </c>
      <c r="K142" s="564"/>
      <c r="L142" s="567"/>
      <c r="M142" s="567"/>
      <c r="N142" s="569"/>
      <c r="O142" s="567"/>
      <c r="P142" s="567"/>
      <c r="Q142" s="567"/>
    </row>
    <row r="143" spans="5:17" s="388" customFormat="1" x14ac:dyDescent="0.25">
      <c r="E143" s="711"/>
      <c r="F143" s="714"/>
      <c r="G143" s="711"/>
      <c r="H143" s="711"/>
      <c r="I143" s="711"/>
      <c r="J143" s="674" t="e">
        <f t="shared" si="2"/>
        <v>#DIV/0!</v>
      </c>
      <c r="K143" s="564"/>
      <c r="L143" s="567"/>
      <c r="M143" s="567"/>
      <c r="N143" s="569"/>
      <c r="O143" s="567"/>
      <c r="P143" s="567"/>
      <c r="Q143" s="567"/>
    </row>
    <row r="144" spans="5:17" s="388" customFormat="1" x14ac:dyDescent="0.25">
      <c r="E144" s="711"/>
      <c r="F144" s="714"/>
      <c r="G144" s="711"/>
      <c r="H144" s="711"/>
      <c r="I144" s="711"/>
      <c r="J144" s="674" t="e">
        <f t="shared" si="2"/>
        <v>#DIV/0!</v>
      </c>
      <c r="K144" s="564"/>
      <c r="L144" s="567"/>
      <c r="M144" s="567"/>
      <c r="N144" s="569"/>
      <c r="O144" s="567"/>
      <c r="P144" s="567"/>
      <c r="Q144" s="567"/>
    </row>
    <row r="145" spans="5:17" s="388" customFormat="1" x14ac:dyDescent="0.25">
      <c r="E145" s="711"/>
      <c r="F145" s="714"/>
      <c r="G145" s="711"/>
      <c r="H145" s="711"/>
      <c r="I145" s="711"/>
      <c r="J145" s="674" t="e">
        <f t="shared" si="2"/>
        <v>#DIV/0!</v>
      </c>
      <c r="K145" s="564"/>
      <c r="L145" s="567"/>
      <c r="M145" s="567"/>
      <c r="N145" s="569"/>
      <c r="O145" s="567"/>
      <c r="P145" s="567"/>
      <c r="Q145" s="567"/>
    </row>
    <row r="146" spans="5:17" s="388" customFormat="1" x14ac:dyDescent="0.25">
      <c r="E146" s="711"/>
      <c r="F146" s="714"/>
      <c r="G146" s="711"/>
      <c r="H146" s="711"/>
      <c r="I146" s="711"/>
      <c r="J146" s="674" t="e">
        <f t="shared" si="2"/>
        <v>#DIV/0!</v>
      </c>
      <c r="K146" s="564"/>
      <c r="L146" s="567"/>
      <c r="M146" s="567"/>
      <c r="N146" s="569"/>
      <c r="O146" s="567"/>
      <c r="P146" s="567"/>
      <c r="Q146" s="567"/>
    </row>
    <row r="147" spans="5:17" s="388" customFormat="1" x14ac:dyDescent="0.25">
      <c r="E147" s="711"/>
      <c r="F147" s="714"/>
      <c r="G147" s="711"/>
      <c r="H147" s="711"/>
      <c r="I147" s="711"/>
      <c r="J147" s="674" t="e">
        <f t="shared" si="2"/>
        <v>#DIV/0!</v>
      </c>
      <c r="K147" s="564"/>
      <c r="L147" s="567"/>
      <c r="M147" s="567"/>
      <c r="N147" s="569"/>
      <c r="O147" s="567"/>
      <c r="P147" s="567"/>
      <c r="Q147" s="567"/>
    </row>
    <row r="148" spans="5:17" s="388" customFormat="1" x14ac:dyDescent="0.25">
      <c r="E148" s="711"/>
      <c r="F148" s="714"/>
      <c r="G148" s="711"/>
      <c r="H148" s="711"/>
      <c r="I148" s="711"/>
      <c r="J148" s="674" t="e">
        <f t="shared" si="2"/>
        <v>#DIV/0!</v>
      </c>
      <c r="K148" s="564"/>
      <c r="L148" s="567"/>
      <c r="M148" s="567"/>
      <c r="N148" s="569"/>
      <c r="O148" s="567"/>
      <c r="P148" s="567"/>
      <c r="Q148" s="567"/>
    </row>
    <row r="149" spans="5:17" s="388" customFormat="1" x14ac:dyDescent="0.25">
      <c r="E149" s="711"/>
      <c r="F149" s="714"/>
      <c r="G149" s="711"/>
      <c r="H149" s="711"/>
      <c r="I149" s="711"/>
      <c r="J149" s="674" t="e">
        <f t="shared" si="2"/>
        <v>#DIV/0!</v>
      </c>
      <c r="K149" s="564"/>
      <c r="L149" s="567"/>
      <c r="M149" s="567"/>
      <c r="N149" s="569"/>
      <c r="O149" s="567"/>
      <c r="P149" s="567"/>
      <c r="Q149" s="567"/>
    </row>
    <row r="150" spans="5:17" s="388" customFormat="1" x14ac:dyDescent="0.25">
      <c r="E150" s="711"/>
      <c r="F150" s="714"/>
      <c r="G150" s="711"/>
      <c r="H150" s="711"/>
      <c r="I150" s="711"/>
      <c r="J150" s="674" t="e">
        <f t="shared" si="2"/>
        <v>#DIV/0!</v>
      </c>
      <c r="K150" s="564"/>
      <c r="L150" s="567"/>
      <c r="M150" s="567"/>
      <c r="N150" s="569"/>
      <c r="O150" s="567"/>
      <c r="P150" s="567"/>
      <c r="Q150" s="567"/>
    </row>
    <row r="151" spans="5:17" s="388" customFormat="1" x14ac:dyDescent="0.25">
      <c r="E151" s="711"/>
      <c r="F151" s="714"/>
      <c r="G151" s="711"/>
      <c r="H151" s="711"/>
      <c r="I151" s="711"/>
      <c r="J151" s="674" t="e">
        <f t="shared" si="2"/>
        <v>#DIV/0!</v>
      </c>
      <c r="K151" s="564"/>
      <c r="L151" s="567"/>
      <c r="M151" s="567"/>
      <c r="N151" s="569"/>
      <c r="O151" s="567"/>
      <c r="P151" s="567"/>
      <c r="Q151" s="567"/>
    </row>
    <row r="152" spans="5:17" s="388" customFormat="1" x14ac:dyDescent="0.25">
      <c r="E152" s="711"/>
      <c r="F152" s="714"/>
      <c r="G152" s="711"/>
      <c r="H152" s="711"/>
      <c r="I152" s="711"/>
      <c r="J152" s="674" t="e">
        <f t="shared" si="2"/>
        <v>#DIV/0!</v>
      </c>
      <c r="K152" s="564"/>
      <c r="L152" s="567"/>
      <c r="M152" s="567"/>
      <c r="N152" s="569"/>
      <c r="O152" s="567"/>
      <c r="P152" s="567"/>
      <c r="Q152" s="567"/>
    </row>
    <row r="153" spans="5:17" s="388" customFormat="1" x14ac:dyDescent="0.25">
      <c r="E153" s="711"/>
      <c r="F153" s="714"/>
      <c r="G153" s="711"/>
      <c r="H153" s="711"/>
      <c r="I153" s="711"/>
      <c r="J153" s="674" t="e">
        <f t="shared" si="2"/>
        <v>#DIV/0!</v>
      </c>
      <c r="K153" s="564"/>
      <c r="L153" s="567"/>
      <c r="M153" s="567"/>
      <c r="N153" s="569"/>
      <c r="O153" s="567"/>
      <c r="P153" s="567"/>
      <c r="Q153" s="567"/>
    </row>
    <row r="154" spans="5:17" s="388" customFormat="1" x14ac:dyDescent="0.25">
      <c r="E154" s="711"/>
      <c r="F154" s="714"/>
      <c r="G154" s="711"/>
      <c r="H154" s="711"/>
      <c r="I154" s="711"/>
      <c r="J154" s="674" t="e">
        <f t="shared" si="2"/>
        <v>#DIV/0!</v>
      </c>
      <c r="K154" s="564"/>
      <c r="L154" s="567"/>
      <c r="M154" s="567"/>
      <c r="N154" s="569"/>
      <c r="O154" s="567"/>
      <c r="P154" s="567"/>
      <c r="Q154" s="567"/>
    </row>
    <row r="155" spans="5:17" s="388" customFormat="1" x14ac:dyDescent="0.25">
      <c r="E155" s="711"/>
      <c r="F155" s="714"/>
      <c r="G155" s="711"/>
      <c r="H155" s="711"/>
      <c r="I155" s="711"/>
      <c r="J155" s="674" t="e">
        <f t="shared" si="2"/>
        <v>#DIV/0!</v>
      </c>
      <c r="K155" s="564"/>
      <c r="L155" s="567"/>
      <c r="M155" s="567"/>
      <c r="N155" s="569"/>
      <c r="O155" s="567"/>
      <c r="P155" s="567"/>
      <c r="Q155" s="567"/>
    </row>
    <row r="156" spans="5:17" s="388" customFormat="1" x14ac:dyDescent="0.25">
      <c r="E156" s="711"/>
      <c r="F156" s="714"/>
      <c r="G156" s="711"/>
      <c r="H156" s="711"/>
      <c r="I156" s="711"/>
      <c r="J156" s="674" t="e">
        <f t="shared" si="2"/>
        <v>#DIV/0!</v>
      </c>
      <c r="K156" s="564"/>
      <c r="L156" s="567"/>
      <c r="M156" s="567"/>
      <c r="N156" s="569"/>
      <c r="O156" s="567"/>
      <c r="P156" s="567"/>
      <c r="Q156" s="567"/>
    </row>
    <row r="157" spans="5:17" s="388" customFormat="1" x14ac:dyDescent="0.25">
      <c r="E157" s="711"/>
      <c r="F157" s="714"/>
      <c r="G157" s="711"/>
      <c r="H157" s="711"/>
      <c r="I157" s="711"/>
      <c r="J157" s="674" t="e">
        <f t="shared" si="2"/>
        <v>#DIV/0!</v>
      </c>
      <c r="K157" s="564"/>
      <c r="L157" s="567"/>
      <c r="M157" s="567"/>
      <c r="N157" s="569"/>
      <c r="O157" s="567"/>
      <c r="P157" s="567"/>
      <c r="Q157" s="567"/>
    </row>
    <row r="158" spans="5:17" s="388" customFormat="1" x14ac:dyDescent="0.25">
      <c r="E158" s="711"/>
      <c r="F158" s="714"/>
      <c r="G158" s="711"/>
      <c r="H158" s="711"/>
      <c r="I158" s="711"/>
      <c r="J158" s="674" t="e">
        <f t="shared" si="2"/>
        <v>#DIV/0!</v>
      </c>
      <c r="K158" s="564"/>
      <c r="L158" s="567"/>
      <c r="M158" s="567"/>
      <c r="N158" s="569"/>
      <c r="O158" s="567"/>
      <c r="P158" s="567"/>
      <c r="Q158" s="567"/>
    </row>
    <row r="159" spans="5:17" s="388" customFormat="1" x14ac:dyDescent="0.25">
      <c r="E159" s="711"/>
      <c r="F159" s="714"/>
      <c r="G159" s="711"/>
      <c r="H159" s="711"/>
      <c r="I159" s="711"/>
      <c r="J159" s="674" t="e">
        <f t="shared" si="2"/>
        <v>#DIV/0!</v>
      </c>
      <c r="K159" s="564"/>
      <c r="L159" s="567"/>
      <c r="M159" s="567"/>
      <c r="N159" s="569"/>
      <c r="O159" s="567"/>
      <c r="P159" s="567"/>
      <c r="Q159" s="567"/>
    </row>
    <row r="160" spans="5:17" s="388" customFormat="1" x14ac:dyDescent="0.25">
      <c r="E160" s="711"/>
      <c r="F160" s="714"/>
      <c r="G160" s="711"/>
      <c r="H160" s="711"/>
      <c r="I160" s="711"/>
      <c r="J160" s="674" t="e">
        <f t="shared" si="2"/>
        <v>#DIV/0!</v>
      </c>
      <c r="K160" s="564"/>
      <c r="L160" s="567"/>
      <c r="M160" s="567"/>
      <c r="N160" s="569"/>
      <c r="O160" s="567"/>
      <c r="P160" s="567"/>
      <c r="Q160" s="567"/>
    </row>
    <row r="161" spans="5:17" s="388" customFormat="1" x14ac:dyDescent="0.25">
      <c r="E161" s="711"/>
      <c r="F161" s="714"/>
      <c r="G161" s="711"/>
      <c r="H161" s="711"/>
      <c r="I161" s="711"/>
      <c r="J161" s="674" t="e">
        <f t="shared" si="2"/>
        <v>#DIV/0!</v>
      </c>
      <c r="K161" s="564"/>
      <c r="L161" s="567"/>
      <c r="M161" s="567"/>
      <c r="N161" s="569"/>
      <c r="O161" s="567"/>
      <c r="P161" s="567"/>
      <c r="Q161" s="567"/>
    </row>
    <row r="162" spans="5:17" s="388" customFormat="1" x14ac:dyDescent="0.25">
      <c r="E162" s="711"/>
      <c r="F162" s="714"/>
      <c r="G162" s="711"/>
      <c r="H162" s="711"/>
      <c r="I162" s="711"/>
      <c r="J162" s="674" t="e">
        <f t="shared" si="2"/>
        <v>#DIV/0!</v>
      </c>
      <c r="K162" s="564"/>
      <c r="L162" s="567"/>
      <c r="M162" s="567"/>
      <c r="N162" s="569"/>
      <c r="O162" s="567"/>
      <c r="P162" s="567"/>
      <c r="Q162" s="567"/>
    </row>
    <row r="163" spans="5:17" s="388" customFormat="1" x14ac:dyDescent="0.25">
      <c r="E163" s="711"/>
      <c r="F163" s="714"/>
      <c r="G163" s="711"/>
      <c r="H163" s="711"/>
      <c r="I163" s="711"/>
      <c r="J163" s="674" t="e">
        <f t="shared" si="2"/>
        <v>#DIV/0!</v>
      </c>
      <c r="K163" s="564"/>
      <c r="L163" s="567"/>
      <c r="M163" s="567"/>
      <c r="N163" s="569"/>
      <c r="O163" s="567"/>
      <c r="P163" s="567"/>
      <c r="Q163" s="567"/>
    </row>
    <row r="164" spans="5:17" s="388" customFormat="1" x14ac:dyDescent="0.25">
      <c r="E164" s="711"/>
      <c r="F164" s="714"/>
      <c r="G164" s="711"/>
      <c r="H164" s="711"/>
      <c r="I164" s="711"/>
      <c r="J164" s="674" t="e">
        <f t="shared" si="2"/>
        <v>#DIV/0!</v>
      </c>
      <c r="K164" s="564"/>
      <c r="L164" s="567"/>
      <c r="M164" s="567"/>
      <c r="N164" s="569"/>
      <c r="O164" s="567"/>
      <c r="P164" s="567"/>
      <c r="Q164" s="567"/>
    </row>
    <row r="165" spans="5:17" s="388" customFormat="1" x14ac:dyDescent="0.25">
      <c r="E165" s="711"/>
      <c r="F165" s="714"/>
      <c r="G165" s="711"/>
      <c r="H165" s="711"/>
      <c r="I165" s="711"/>
      <c r="J165" s="674" t="e">
        <f t="shared" si="2"/>
        <v>#DIV/0!</v>
      </c>
      <c r="K165" s="564"/>
      <c r="L165" s="567"/>
      <c r="M165" s="567"/>
      <c r="N165" s="569"/>
      <c r="O165" s="567"/>
      <c r="P165" s="567"/>
      <c r="Q165" s="567"/>
    </row>
    <row r="166" spans="5:17" s="388" customFormat="1" x14ac:dyDescent="0.25">
      <c r="E166" s="711"/>
      <c r="F166" s="714"/>
      <c r="G166" s="711"/>
      <c r="H166" s="711"/>
      <c r="I166" s="711"/>
      <c r="J166" s="674" t="e">
        <f t="shared" si="2"/>
        <v>#DIV/0!</v>
      </c>
      <c r="K166" s="564"/>
      <c r="L166" s="567"/>
      <c r="M166" s="567"/>
      <c r="N166" s="569"/>
      <c r="O166" s="567"/>
      <c r="P166" s="567"/>
      <c r="Q166" s="567"/>
    </row>
    <row r="167" spans="5:17" s="388" customFormat="1" x14ac:dyDescent="0.25">
      <c r="E167" s="711"/>
      <c r="F167" s="714"/>
      <c r="G167" s="711"/>
      <c r="H167" s="711"/>
      <c r="I167" s="711"/>
      <c r="J167" s="674" t="e">
        <f t="shared" si="2"/>
        <v>#DIV/0!</v>
      </c>
      <c r="K167" s="564"/>
      <c r="L167" s="567"/>
      <c r="M167" s="567"/>
      <c r="N167" s="569"/>
      <c r="O167" s="567"/>
      <c r="P167" s="567"/>
      <c r="Q167" s="567"/>
    </row>
    <row r="168" spans="5:17" s="388" customFormat="1" x14ac:dyDescent="0.25">
      <c r="E168" s="711"/>
      <c r="F168" s="714"/>
      <c r="G168" s="711"/>
      <c r="H168" s="711"/>
      <c r="I168" s="711"/>
      <c r="J168" s="674" t="e">
        <f t="shared" si="2"/>
        <v>#DIV/0!</v>
      </c>
      <c r="K168" s="564"/>
      <c r="L168" s="567"/>
      <c r="M168" s="567"/>
      <c r="N168" s="569"/>
      <c r="O168" s="567"/>
      <c r="P168" s="567"/>
      <c r="Q168" s="567"/>
    </row>
    <row r="169" spans="5:17" s="388" customFormat="1" x14ac:dyDescent="0.25">
      <c r="E169" s="711"/>
      <c r="F169" s="714"/>
      <c r="G169" s="711"/>
      <c r="H169" s="711"/>
      <c r="I169" s="711"/>
      <c r="J169" s="674" t="e">
        <f t="shared" si="2"/>
        <v>#DIV/0!</v>
      </c>
      <c r="K169" s="564"/>
      <c r="L169" s="567"/>
      <c r="M169" s="567"/>
      <c r="N169" s="569"/>
      <c r="O169" s="567"/>
      <c r="P169" s="567"/>
      <c r="Q169" s="567"/>
    </row>
    <row r="170" spans="5:17" s="388" customFormat="1" x14ac:dyDescent="0.25">
      <c r="E170" s="711"/>
      <c r="F170" s="714"/>
      <c r="G170" s="711"/>
      <c r="H170" s="711"/>
      <c r="I170" s="711"/>
      <c r="J170" s="674" t="e">
        <f t="shared" si="2"/>
        <v>#DIV/0!</v>
      </c>
      <c r="K170" s="564"/>
      <c r="L170" s="567"/>
      <c r="M170" s="567"/>
      <c r="N170" s="569"/>
      <c r="O170" s="567"/>
      <c r="P170" s="567"/>
      <c r="Q170" s="567"/>
    </row>
    <row r="171" spans="5:17" s="388" customFormat="1" x14ac:dyDescent="0.25">
      <c r="E171" s="711"/>
      <c r="F171" s="714"/>
      <c r="G171" s="711"/>
      <c r="H171" s="711"/>
      <c r="I171" s="711"/>
      <c r="J171" s="674" t="e">
        <f t="shared" si="2"/>
        <v>#DIV/0!</v>
      </c>
      <c r="K171" s="564"/>
      <c r="L171" s="567"/>
      <c r="M171" s="567"/>
      <c r="N171" s="569"/>
      <c r="O171" s="567"/>
      <c r="P171" s="567"/>
      <c r="Q171" s="567"/>
    </row>
    <row r="172" spans="5:17" s="388" customFormat="1" x14ac:dyDescent="0.25">
      <c r="E172" s="711"/>
      <c r="F172" s="714"/>
      <c r="G172" s="711"/>
      <c r="H172" s="711"/>
      <c r="I172" s="711"/>
      <c r="J172" s="674" t="e">
        <f t="shared" si="2"/>
        <v>#DIV/0!</v>
      </c>
      <c r="K172" s="564"/>
      <c r="L172" s="567"/>
      <c r="M172" s="567"/>
      <c r="N172" s="569"/>
      <c r="O172" s="567"/>
      <c r="P172" s="567"/>
      <c r="Q172" s="567"/>
    </row>
    <row r="173" spans="5:17" s="388" customFormat="1" x14ac:dyDescent="0.25">
      <c r="E173" s="711"/>
      <c r="F173" s="714"/>
      <c r="G173" s="711"/>
      <c r="H173" s="711"/>
      <c r="I173" s="711"/>
      <c r="J173" s="674" t="e">
        <f t="shared" si="2"/>
        <v>#DIV/0!</v>
      </c>
      <c r="K173" s="564"/>
      <c r="L173" s="567"/>
      <c r="M173" s="567"/>
      <c r="N173" s="569"/>
      <c r="O173" s="567"/>
      <c r="P173" s="567"/>
      <c r="Q173" s="567"/>
    </row>
    <row r="174" spans="5:17" s="388" customFormat="1" x14ac:dyDescent="0.25">
      <c r="E174" s="711"/>
      <c r="F174" s="714"/>
      <c r="G174" s="711"/>
      <c r="H174" s="711"/>
      <c r="I174" s="711"/>
      <c r="J174" s="674" t="e">
        <f t="shared" si="2"/>
        <v>#DIV/0!</v>
      </c>
      <c r="K174" s="564"/>
      <c r="L174" s="567"/>
      <c r="M174" s="567"/>
      <c r="N174" s="569"/>
      <c r="O174" s="567"/>
      <c r="P174" s="567"/>
      <c r="Q174" s="567"/>
    </row>
    <row r="175" spans="5:17" s="388" customFormat="1" x14ac:dyDescent="0.25">
      <c r="E175" s="711"/>
      <c r="F175" s="714"/>
      <c r="G175" s="711"/>
      <c r="H175" s="711"/>
      <c r="I175" s="711"/>
      <c r="J175" s="674" t="e">
        <f t="shared" si="2"/>
        <v>#DIV/0!</v>
      </c>
      <c r="K175" s="564"/>
      <c r="L175" s="567"/>
      <c r="M175" s="567"/>
      <c r="N175" s="569"/>
      <c r="O175" s="567"/>
      <c r="P175" s="567"/>
      <c r="Q175" s="567"/>
    </row>
    <row r="176" spans="5:17" s="388" customFormat="1" x14ac:dyDescent="0.25">
      <c r="E176" s="711"/>
      <c r="F176" s="714"/>
      <c r="G176" s="711"/>
      <c r="H176" s="711"/>
      <c r="I176" s="711"/>
      <c r="J176" s="674" t="e">
        <f t="shared" si="2"/>
        <v>#DIV/0!</v>
      </c>
      <c r="K176" s="564"/>
      <c r="L176" s="567"/>
      <c r="M176" s="567"/>
      <c r="N176" s="569"/>
      <c r="O176" s="567"/>
      <c r="P176" s="567"/>
      <c r="Q176" s="567"/>
    </row>
    <row r="177" spans="5:17" s="388" customFormat="1" x14ac:dyDescent="0.25">
      <c r="E177" s="711"/>
      <c r="F177" s="714"/>
      <c r="G177" s="711"/>
      <c r="H177" s="711"/>
      <c r="I177" s="711"/>
      <c r="J177" s="674" t="e">
        <f t="shared" si="2"/>
        <v>#DIV/0!</v>
      </c>
      <c r="K177" s="564"/>
      <c r="L177" s="567"/>
      <c r="M177" s="567"/>
      <c r="N177" s="569"/>
      <c r="O177" s="567"/>
      <c r="P177" s="567"/>
      <c r="Q177" s="567"/>
    </row>
    <row r="178" spans="5:17" s="388" customFormat="1" x14ac:dyDescent="0.25">
      <c r="E178" s="711"/>
      <c r="F178" s="714"/>
      <c r="G178" s="711"/>
      <c r="H178" s="711"/>
      <c r="I178" s="711"/>
      <c r="J178" s="674" t="e">
        <f t="shared" si="2"/>
        <v>#DIV/0!</v>
      </c>
      <c r="K178" s="564"/>
      <c r="L178" s="567"/>
      <c r="M178" s="567"/>
      <c r="N178" s="569"/>
      <c r="O178" s="567"/>
      <c r="P178" s="567"/>
      <c r="Q178" s="567"/>
    </row>
    <row r="179" spans="5:17" s="388" customFormat="1" x14ac:dyDescent="0.25">
      <c r="E179" s="711"/>
      <c r="F179" s="714"/>
      <c r="G179" s="711"/>
      <c r="H179" s="711"/>
      <c r="I179" s="711"/>
      <c r="J179" s="674" t="e">
        <f t="shared" si="2"/>
        <v>#DIV/0!</v>
      </c>
      <c r="K179" s="564"/>
      <c r="L179" s="567"/>
      <c r="M179" s="567"/>
      <c r="N179" s="569"/>
      <c r="O179" s="567"/>
      <c r="P179" s="567"/>
      <c r="Q179" s="567"/>
    </row>
    <row r="180" spans="5:17" s="388" customFormat="1" x14ac:dyDescent="0.25">
      <c r="E180" s="711"/>
      <c r="F180" s="714"/>
      <c r="G180" s="711"/>
      <c r="H180" s="711"/>
      <c r="I180" s="711"/>
      <c r="J180" s="674" t="e">
        <f t="shared" si="2"/>
        <v>#DIV/0!</v>
      </c>
      <c r="K180" s="564"/>
      <c r="L180" s="567"/>
      <c r="M180" s="567"/>
      <c r="N180" s="569"/>
      <c r="O180" s="567"/>
      <c r="P180" s="567"/>
      <c r="Q180" s="567"/>
    </row>
    <row r="181" spans="5:17" s="388" customFormat="1" x14ac:dyDescent="0.25">
      <c r="E181" s="711"/>
      <c r="F181" s="714"/>
      <c r="G181" s="711"/>
      <c r="H181" s="711"/>
      <c r="I181" s="711"/>
      <c r="J181" s="674" t="e">
        <f t="shared" si="2"/>
        <v>#DIV/0!</v>
      </c>
      <c r="K181" s="564"/>
      <c r="L181" s="567"/>
      <c r="M181" s="567"/>
      <c r="N181" s="569"/>
      <c r="O181" s="567"/>
      <c r="P181" s="567"/>
      <c r="Q181" s="567"/>
    </row>
    <row r="182" spans="5:17" s="388" customFormat="1" x14ac:dyDescent="0.25">
      <c r="E182" s="711"/>
      <c r="F182" s="714"/>
      <c r="G182" s="711"/>
      <c r="H182" s="711"/>
      <c r="I182" s="711"/>
      <c r="J182" s="674" t="e">
        <f t="shared" si="2"/>
        <v>#DIV/0!</v>
      </c>
      <c r="K182" s="564"/>
      <c r="L182" s="567"/>
      <c r="M182" s="567"/>
      <c r="N182" s="569"/>
      <c r="O182" s="567"/>
      <c r="P182" s="567"/>
      <c r="Q182" s="567"/>
    </row>
    <row r="183" spans="5:17" s="388" customFormat="1" x14ac:dyDescent="0.25">
      <c r="E183" s="711"/>
      <c r="F183" s="714"/>
      <c r="G183" s="711"/>
      <c r="H183" s="711"/>
      <c r="I183" s="711"/>
      <c r="J183" s="674" t="e">
        <f t="shared" si="2"/>
        <v>#DIV/0!</v>
      </c>
      <c r="K183" s="564"/>
      <c r="L183" s="567"/>
      <c r="M183" s="567"/>
      <c r="N183" s="569"/>
      <c r="O183" s="567"/>
      <c r="P183" s="567"/>
      <c r="Q183" s="567"/>
    </row>
    <row r="184" spans="5:17" s="388" customFormat="1" x14ac:dyDescent="0.25">
      <c r="E184" s="711"/>
      <c r="F184" s="714"/>
      <c r="G184" s="711"/>
      <c r="H184" s="711"/>
      <c r="I184" s="711"/>
      <c r="J184" s="674" t="e">
        <f t="shared" si="2"/>
        <v>#DIV/0!</v>
      </c>
      <c r="K184" s="564"/>
      <c r="L184" s="567"/>
      <c r="M184" s="567"/>
      <c r="N184" s="569"/>
      <c r="O184" s="567"/>
      <c r="P184" s="567"/>
      <c r="Q184" s="567"/>
    </row>
    <row r="185" spans="5:17" s="388" customFormat="1" x14ac:dyDescent="0.25">
      <c r="E185" s="711"/>
      <c r="F185" s="714"/>
      <c r="G185" s="711"/>
      <c r="H185" s="711"/>
      <c r="I185" s="711"/>
      <c r="J185" s="674" t="e">
        <f t="shared" si="2"/>
        <v>#DIV/0!</v>
      </c>
      <c r="K185" s="564"/>
      <c r="L185" s="567"/>
      <c r="M185" s="567"/>
      <c r="N185" s="569"/>
      <c r="O185" s="567"/>
      <c r="P185" s="567"/>
      <c r="Q185" s="567"/>
    </row>
    <row r="186" spans="5:17" s="388" customFormat="1" x14ac:dyDescent="0.25">
      <c r="E186" s="711"/>
      <c r="F186" s="714"/>
      <c r="G186" s="711"/>
      <c r="H186" s="711"/>
      <c r="I186" s="711"/>
      <c r="J186" s="674" t="e">
        <f t="shared" si="2"/>
        <v>#DIV/0!</v>
      </c>
      <c r="K186" s="564"/>
      <c r="L186" s="567"/>
      <c r="M186" s="567"/>
      <c r="N186" s="569"/>
      <c r="O186" s="567"/>
      <c r="P186" s="567"/>
      <c r="Q186" s="567"/>
    </row>
    <row r="187" spans="5:17" s="388" customFormat="1" x14ac:dyDescent="0.25">
      <c r="E187" s="711"/>
      <c r="F187" s="714"/>
      <c r="G187" s="711"/>
      <c r="H187" s="711"/>
      <c r="I187" s="711"/>
      <c r="J187" s="674" t="e">
        <f t="shared" si="2"/>
        <v>#DIV/0!</v>
      </c>
      <c r="K187" s="564"/>
      <c r="L187" s="567"/>
      <c r="M187" s="567"/>
      <c r="N187" s="569"/>
      <c r="O187" s="567"/>
      <c r="P187" s="567"/>
      <c r="Q187" s="567"/>
    </row>
    <row r="188" spans="5:17" s="388" customFormat="1" x14ac:dyDescent="0.25">
      <c r="E188" s="711"/>
      <c r="F188" s="714"/>
      <c r="G188" s="711"/>
      <c r="H188" s="711"/>
      <c r="I188" s="711"/>
      <c r="J188" s="674" t="e">
        <f t="shared" si="2"/>
        <v>#DIV/0!</v>
      </c>
      <c r="K188" s="564"/>
      <c r="L188" s="567"/>
      <c r="M188" s="567"/>
      <c r="N188" s="569"/>
      <c r="O188" s="567"/>
      <c r="P188" s="567"/>
      <c r="Q188" s="567"/>
    </row>
    <row r="189" spans="5:17" s="388" customFormat="1" x14ac:dyDescent="0.25">
      <c r="E189" s="711"/>
      <c r="F189" s="714"/>
      <c r="G189" s="711"/>
      <c r="H189" s="711"/>
      <c r="I189" s="711"/>
      <c r="J189" s="674" t="e">
        <f t="shared" si="2"/>
        <v>#DIV/0!</v>
      </c>
      <c r="K189" s="564"/>
      <c r="L189" s="567"/>
      <c r="M189" s="567"/>
      <c r="N189" s="569"/>
      <c r="O189" s="567"/>
      <c r="P189" s="567"/>
      <c r="Q189" s="567"/>
    </row>
    <row r="190" spans="5:17" s="388" customFormat="1" x14ac:dyDescent="0.25">
      <c r="E190" s="711"/>
      <c r="F190" s="714"/>
      <c r="G190" s="711"/>
      <c r="H190" s="711"/>
      <c r="I190" s="711"/>
      <c r="J190" s="674" t="e">
        <f t="shared" si="2"/>
        <v>#DIV/0!</v>
      </c>
      <c r="K190" s="564"/>
      <c r="L190" s="567"/>
      <c r="M190" s="567"/>
      <c r="N190" s="569"/>
      <c r="O190" s="567"/>
      <c r="P190" s="567"/>
      <c r="Q190" s="567"/>
    </row>
    <row r="191" spans="5:17" s="388" customFormat="1" x14ac:dyDescent="0.25">
      <c r="E191" s="711"/>
      <c r="F191" s="714"/>
      <c r="G191" s="711"/>
      <c r="H191" s="711"/>
      <c r="I191" s="711"/>
      <c r="J191" s="674" t="e">
        <f t="shared" si="2"/>
        <v>#DIV/0!</v>
      </c>
      <c r="K191" s="564"/>
      <c r="L191" s="567"/>
      <c r="M191" s="567"/>
      <c r="N191" s="569"/>
      <c r="O191" s="567"/>
      <c r="P191" s="567"/>
      <c r="Q191" s="567"/>
    </row>
    <row r="192" spans="5:17" s="388" customFormat="1" x14ac:dyDescent="0.25">
      <c r="E192" s="711"/>
      <c r="F192" s="714"/>
      <c r="G192" s="711"/>
      <c r="H192" s="711"/>
      <c r="I192" s="711"/>
      <c r="J192" s="674" t="e">
        <f t="shared" si="2"/>
        <v>#DIV/0!</v>
      </c>
      <c r="K192" s="564"/>
      <c r="L192" s="567"/>
      <c r="M192" s="567"/>
      <c r="N192" s="569"/>
      <c r="O192" s="567"/>
      <c r="P192" s="567"/>
      <c r="Q192" s="567"/>
    </row>
    <row r="193" spans="5:17" s="388" customFormat="1" x14ac:dyDescent="0.25">
      <c r="E193" s="711"/>
      <c r="F193" s="714"/>
      <c r="G193" s="711"/>
      <c r="H193" s="711"/>
      <c r="I193" s="711"/>
      <c r="J193" s="674" t="e">
        <f t="shared" si="2"/>
        <v>#DIV/0!</v>
      </c>
      <c r="K193" s="564"/>
      <c r="L193" s="567"/>
      <c r="M193" s="567"/>
      <c r="N193" s="569"/>
      <c r="O193" s="567"/>
      <c r="P193" s="567"/>
      <c r="Q193" s="567"/>
    </row>
    <row r="194" spans="5:17" s="388" customFormat="1" x14ac:dyDescent="0.25">
      <c r="E194" s="711"/>
      <c r="F194" s="714"/>
      <c r="G194" s="711"/>
      <c r="H194" s="711"/>
      <c r="I194" s="711"/>
      <c r="J194" s="674" t="e">
        <f t="shared" si="2"/>
        <v>#DIV/0!</v>
      </c>
      <c r="K194" s="564"/>
      <c r="L194" s="567"/>
      <c r="M194" s="567"/>
      <c r="N194" s="569"/>
      <c r="O194" s="567"/>
      <c r="P194" s="567"/>
      <c r="Q194" s="567"/>
    </row>
    <row r="195" spans="5:17" s="388" customFormat="1" x14ac:dyDescent="0.25">
      <c r="E195" s="711"/>
      <c r="F195" s="714"/>
      <c r="G195" s="711"/>
      <c r="H195" s="711"/>
      <c r="I195" s="711"/>
      <c r="J195" s="674" t="e">
        <f t="shared" si="2"/>
        <v>#DIV/0!</v>
      </c>
      <c r="K195" s="564"/>
      <c r="L195" s="567"/>
      <c r="M195" s="567"/>
      <c r="N195" s="569"/>
      <c r="O195" s="567"/>
      <c r="P195" s="567"/>
      <c r="Q195" s="567"/>
    </row>
    <row r="196" spans="5:17" s="388" customFormat="1" x14ac:dyDescent="0.25">
      <c r="E196" s="711"/>
      <c r="F196" s="714"/>
      <c r="G196" s="711"/>
      <c r="H196" s="711"/>
      <c r="I196" s="711"/>
      <c r="J196" s="674" t="e">
        <f t="shared" ref="J196:J259" si="3">(I196*K196/100)/(H196*G196)*1000</f>
        <v>#DIV/0!</v>
      </c>
      <c r="K196" s="564"/>
      <c r="L196" s="567"/>
      <c r="M196" s="567"/>
      <c r="N196" s="569"/>
      <c r="O196" s="567"/>
      <c r="P196" s="567"/>
      <c r="Q196" s="567"/>
    </row>
    <row r="197" spans="5:17" s="388" customFormat="1" x14ac:dyDescent="0.25">
      <c r="E197" s="711"/>
      <c r="F197" s="714"/>
      <c r="G197" s="711"/>
      <c r="H197" s="711"/>
      <c r="I197" s="711"/>
      <c r="J197" s="674" t="e">
        <f t="shared" si="3"/>
        <v>#DIV/0!</v>
      </c>
      <c r="K197" s="564"/>
      <c r="L197" s="567"/>
      <c r="M197" s="567"/>
      <c r="N197" s="569"/>
      <c r="O197" s="567"/>
      <c r="P197" s="567"/>
      <c r="Q197" s="567"/>
    </row>
    <row r="198" spans="5:17" s="388" customFormat="1" x14ac:dyDescent="0.25">
      <c r="E198" s="711"/>
      <c r="F198" s="714"/>
      <c r="G198" s="711"/>
      <c r="H198" s="711"/>
      <c r="I198" s="711"/>
      <c r="J198" s="674" t="e">
        <f t="shared" si="3"/>
        <v>#DIV/0!</v>
      </c>
      <c r="K198" s="564"/>
      <c r="L198" s="567"/>
      <c r="M198" s="567"/>
      <c r="N198" s="569"/>
      <c r="O198" s="567"/>
      <c r="P198" s="567"/>
      <c r="Q198" s="567"/>
    </row>
    <row r="199" spans="5:17" s="388" customFormat="1" x14ac:dyDescent="0.25">
      <c r="E199" s="711"/>
      <c r="F199" s="714"/>
      <c r="G199" s="711"/>
      <c r="H199" s="711"/>
      <c r="I199" s="711"/>
      <c r="J199" s="674" t="e">
        <f t="shared" si="3"/>
        <v>#DIV/0!</v>
      </c>
      <c r="K199" s="564"/>
      <c r="L199" s="567"/>
      <c r="M199" s="567"/>
      <c r="N199" s="569"/>
      <c r="O199" s="567"/>
      <c r="P199" s="567"/>
      <c r="Q199" s="567"/>
    </row>
    <row r="200" spans="5:17" s="388" customFormat="1" x14ac:dyDescent="0.25">
      <c r="E200" s="711"/>
      <c r="F200" s="714"/>
      <c r="G200" s="711"/>
      <c r="H200" s="711"/>
      <c r="I200" s="711"/>
      <c r="J200" s="674" t="e">
        <f t="shared" si="3"/>
        <v>#DIV/0!</v>
      </c>
      <c r="K200" s="564"/>
      <c r="L200" s="567"/>
      <c r="M200" s="567"/>
      <c r="N200" s="569"/>
      <c r="O200" s="567"/>
      <c r="P200" s="567"/>
      <c r="Q200" s="567"/>
    </row>
    <row r="201" spans="5:17" s="388" customFormat="1" x14ac:dyDescent="0.25">
      <c r="E201" s="711"/>
      <c r="F201" s="714"/>
      <c r="G201" s="711"/>
      <c r="H201" s="711"/>
      <c r="I201" s="711"/>
      <c r="J201" s="674" t="e">
        <f t="shared" si="3"/>
        <v>#DIV/0!</v>
      </c>
      <c r="K201" s="564"/>
      <c r="L201" s="567"/>
      <c r="M201" s="567"/>
      <c r="N201" s="569"/>
      <c r="O201" s="567"/>
      <c r="P201" s="567"/>
      <c r="Q201" s="567"/>
    </row>
    <row r="202" spans="5:17" s="388" customFormat="1" x14ac:dyDescent="0.25">
      <c r="E202" s="711"/>
      <c r="F202" s="714"/>
      <c r="G202" s="711"/>
      <c r="H202" s="711"/>
      <c r="I202" s="711"/>
      <c r="J202" s="674" t="e">
        <f t="shared" si="3"/>
        <v>#DIV/0!</v>
      </c>
      <c r="K202" s="564"/>
      <c r="L202" s="567"/>
      <c r="M202" s="567"/>
      <c r="N202" s="569"/>
      <c r="O202" s="567"/>
      <c r="P202" s="567"/>
      <c r="Q202" s="567"/>
    </row>
    <row r="203" spans="5:17" s="388" customFormat="1" x14ac:dyDescent="0.25">
      <c r="E203" s="711"/>
      <c r="F203" s="714"/>
      <c r="G203" s="711"/>
      <c r="H203" s="711"/>
      <c r="I203" s="711"/>
      <c r="J203" s="674" t="e">
        <f t="shared" si="3"/>
        <v>#DIV/0!</v>
      </c>
      <c r="K203" s="564"/>
      <c r="L203" s="567"/>
      <c r="M203" s="567"/>
      <c r="N203" s="569"/>
      <c r="O203" s="567"/>
      <c r="P203" s="567"/>
      <c r="Q203" s="567"/>
    </row>
    <row r="204" spans="5:17" s="388" customFormat="1" x14ac:dyDescent="0.25">
      <c r="E204" s="711"/>
      <c r="F204" s="714"/>
      <c r="G204" s="711"/>
      <c r="H204" s="711"/>
      <c r="I204" s="711"/>
      <c r="J204" s="674" t="e">
        <f t="shared" si="3"/>
        <v>#DIV/0!</v>
      </c>
      <c r="K204" s="564"/>
      <c r="L204" s="567"/>
      <c r="M204" s="567"/>
      <c r="N204" s="569"/>
      <c r="O204" s="567"/>
      <c r="P204" s="567"/>
      <c r="Q204" s="567"/>
    </row>
    <row r="205" spans="5:17" s="388" customFormat="1" x14ac:dyDescent="0.25">
      <c r="E205" s="711"/>
      <c r="F205" s="714"/>
      <c r="G205" s="711"/>
      <c r="H205" s="711"/>
      <c r="I205" s="711"/>
      <c r="J205" s="674" t="e">
        <f t="shared" si="3"/>
        <v>#DIV/0!</v>
      </c>
      <c r="K205" s="564"/>
      <c r="L205" s="567"/>
      <c r="M205" s="567"/>
      <c r="N205" s="569"/>
      <c r="O205" s="567"/>
      <c r="P205" s="567"/>
      <c r="Q205" s="567"/>
    </row>
    <row r="206" spans="5:17" s="388" customFormat="1" x14ac:dyDescent="0.25">
      <c r="E206" s="711"/>
      <c r="F206" s="714"/>
      <c r="G206" s="711"/>
      <c r="H206" s="711"/>
      <c r="I206" s="711"/>
      <c r="J206" s="674" t="e">
        <f t="shared" si="3"/>
        <v>#DIV/0!</v>
      </c>
      <c r="K206" s="564"/>
      <c r="L206" s="567"/>
      <c r="M206" s="567"/>
      <c r="N206" s="569"/>
      <c r="O206" s="567"/>
      <c r="P206" s="567"/>
      <c r="Q206" s="567"/>
    </row>
    <row r="207" spans="5:17" s="388" customFormat="1" x14ac:dyDescent="0.25">
      <c r="E207" s="711"/>
      <c r="F207" s="714"/>
      <c r="G207" s="711"/>
      <c r="H207" s="711"/>
      <c r="I207" s="711"/>
      <c r="J207" s="674" t="e">
        <f t="shared" si="3"/>
        <v>#DIV/0!</v>
      </c>
      <c r="K207" s="564"/>
      <c r="L207" s="567"/>
      <c r="M207" s="567"/>
      <c r="N207" s="569"/>
      <c r="O207" s="567"/>
      <c r="P207" s="567"/>
      <c r="Q207" s="567"/>
    </row>
    <row r="208" spans="5:17" s="388" customFormat="1" x14ac:dyDescent="0.25">
      <c r="E208" s="711"/>
      <c r="F208" s="714"/>
      <c r="G208" s="711"/>
      <c r="H208" s="711"/>
      <c r="I208" s="711"/>
      <c r="J208" s="674" t="e">
        <f t="shared" si="3"/>
        <v>#DIV/0!</v>
      </c>
      <c r="K208" s="564"/>
      <c r="L208" s="567"/>
      <c r="M208" s="567"/>
      <c r="N208" s="569"/>
      <c r="O208" s="567"/>
      <c r="P208" s="567"/>
      <c r="Q208" s="567"/>
    </row>
    <row r="209" spans="5:17" s="388" customFormat="1" x14ac:dyDescent="0.25">
      <c r="E209" s="711"/>
      <c r="F209" s="714"/>
      <c r="G209" s="711"/>
      <c r="H209" s="711"/>
      <c r="I209" s="711"/>
      <c r="J209" s="674" t="e">
        <f t="shared" si="3"/>
        <v>#DIV/0!</v>
      </c>
      <c r="K209" s="564"/>
      <c r="L209" s="567"/>
      <c r="M209" s="567"/>
      <c r="N209" s="569"/>
      <c r="O209" s="567"/>
      <c r="P209" s="567"/>
      <c r="Q209" s="567"/>
    </row>
    <row r="210" spans="5:17" s="388" customFormat="1" x14ac:dyDescent="0.25">
      <c r="E210" s="711"/>
      <c r="F210" s="714"/>
      <c r="G210" s="711"/>
      <c r="H210" s="711"/>
      <c r="I210" s="711"/>
      <c r="J210" s="674" t="e">
        <f t="shared" si="3"/>
        <v>#DIV/0!</v>
      </c>
      <c r="K210" s="564"/>
      <c r="L210" s="567"/>
      <c r="M210" s="567"/>
      <c r="N210" s="569"/>
      <c r="O210" s="567"/>
      <c r="P210" s="567"/>
      <c r="Q210" s="567"/>
    </row>
    <row r="211" spans="5:17" s="388" customFormat="1" x14ac:dyDescent="0.25">
      <c r="E211" s="711"/>
      <c r="F211" s="714"/>
      <c r="G211" s="711"/>
      <c r="H211" s="711"/>
      <c r="I211" s="711"/>
      <c r="J211" s="674" t="e">
        <f t="shared" si="3"/>
        <v>#DIV/0!</v>
      </c>
      <c r="K211" s="564"/>
      <c r="L211" s="567"/>
      <c r="M211" s="567"/>
      <c r="N211" s="569"/>
      <c r="O211" s="567"/>
      <c r="P211" s="567"/>
      <c r="Q211" s="567"/>
    </row>
    <row r="212" spans="5:17" s="388" customFormat="1" x14ac:dyDescent="0.25">
      <c r="E212" s="711"/>
      <c r="F212" s="714"/>
      <c r="G212" s="711"/>
      <c r="H212" s="711"/>
      <c r="I212" s="711"/>
      <c r="J212" s="674" t="e">
        <f t="shared" si="3"/>
        <v>#DIV/0!</v>
      </c>
      <c r="K212" s="564"/>
      <c r="L212" s="567"/>
      <c r="M212" s="567"/>
      <c r="N212" s="569"/>
      <c r="O212" s="567"/>
      <c r="P212" s="567"/>
      <c r="Q212" s="567"/>
    </row>
    <row r="213" spans="5:17" s="388" customFormat="1" x14ac:dyDescent="0.25">
      <c r="E213" s="711"/>
      <c r="F213" s="714"/>
      <c r="G213" s="711"/>
      <c r="H213" s="711"/>
      <c r="I213" s="711"/>
      <c r="J213" s="674" t="e">
        <f t="shared" si="3"/>
        <v>#DIV/0!</v>
      </c>
      <c r="K213" s="564"/>
      <c r="L213" s="567"/>
      <c r="M213" s="567"/>
      <c r="N213" s="569"/>
      <c r="O213" s="567"/>
      <c r="P213" s="567"/>
      <c r="Q213" s="567"/>
    </row>
    <row r="214" spans="5:17" s="388" customFormat="1" x14ac:dyDescent="0.25">
      <c r="E214" s="711"/>
      <c r="F214" s="714"/>
      <c r="G214" s="711"/>
      <c r="H214" s="711"/>
      <c r="I214" s="711"/>
      <c r="J214" s="674" t="e">
        <f t="shared" si="3"/>
        <v>#DIV/0!</v>
      </c>
      <c r="K214" s="564"/>
      <c r="L214" s="567"/>
      <c r="M214" s="567"/>
      <c r="N214" s="569"/>
      <c r="O214" s="567"/>
      <c r="P214" s="567"/>
      <c r="Q214" s="567"/>
    </row>
    <row r="215" spans="5:17" s="388" customFormat="1" x14ac:dyDescent="0.25">
      <c r="E215" s="711"/>
      <c r="F215" s="714"/>
      <c r="G215" s="711"/>
      <c r="H215" s="711"/>
      <c r="I215" s="711"/>
      <c r="J215" s="674" t="e">
        <f t="shared" si="3"/>
        <v>#DIV/0!</v>
      </c>
      <c r="K215" s="564"/>
      <c r="L215" s="567"/>
      <c r="M215" s="567"/>
      <c r="N215" s="569"/>
      <c r="O215" s="567"/>
      <c r="P215" s="567"/>
      <c r="Q215" s="567"/>
    </row>
    <row r="216" spans="5:17" s="388" customFormat="1" x14ac:dyDescent="0.25">
      <c r="E216" s="711"/>
      <c r="F216" s="714"/>
      <c r="G216" s="711"/>
      <c r="H216" s="711"/>
      <c r="I216" s="711"/>
      <c r="J216" s="674" t="e">
        <f t="shared" si="3"/>
        <v>#DIV/0!</v>
      </c>
      <c r="K216" s="564"/>
      <c r="L216" s="567"/>
      <c r="M216" s="567"/>
      <c r="N216" s="569"/>
      <c r="O216" s="567"/>
      <c r="P216" s="567"/>
      <c r="Q216" s="567"/>
    </row>
    <row r="217" spans="5:17" s="388" customFormat="1" x14ac:dyDescent="0.25">
      <c r="E217" s="711"/>
      <c r="F217" s="714"/>
      <c r="G217" s="711"/>
      <c r="H217" s="711"/>
      <c r="I217" s="711"/>
      <c r="J217" s="674" t="e">
        <f t="shared" si="3"/>
        <v>#DIV/0!</v>
      </c>
      <c r="K217" s="564"/>
      <c r="L217" s="567"/>
      <c r="M217" s="567"/>
      <c r="N217" s="569"/>
      <c r="O217" s="567"/>
      <c r="P217" s="567"/>
      <c r="Q217" s="567"/>
    </row>
    <row r="218" spans="5:17" s="388" customFormat="1" x14ac:dyDescent="0.25">
      <c r="E218" s="711"/>
      <c r="F218" s="714"/>
      <c r="G218" s="711"/>
      <c r="H218" s="711"/>
      <c r="I218" s="711"/>
      <c r="J218" s="674" t="e">
        <f t="shared" si="3"/>
        <v>#DIV/0!</v>
      </c>
      <c r="K218" s="564"/>
      <c r="L218" s="567"/>
      <c r="M218" s="567"/>
      <c r="N218" s="569"/>
      <c r="O218" s="567"/>
      <c r="P218" s="567"/>
      <c r="Q218" s="567"/>
    </row>
    <row r="219" spans="5:17" s="388" customFormat="1" x14ac:dyDescent="0.25">
      <c r="E219" s="711"/>
      <c r="F219" s="714"/>
      <c r="G219" s="711"/>
      <c r="H219" s="711"/>
      <c r="I219" s="711"/>
      <c r="J219" s="674" t="e">
        <f t="shared" si="3"/>
        <v>#DIV/0!</v>
      </c>
      <c r="K219" s="564"/>
      <c r="L219" s="567"/>
      <c r="M219" s="567"/>
      <c r="N219" s="569"/>
      <c r="O219" s="567"/>
      <c r="P219" s="567"/>
      <c r="Q219" s="567"/>
    </row>
    <row r="220" spans="5:17" s="388" customFormat="1" x14ac:dyDescent="0.25">
      <c r="E220" s="712"/>
      <c r="F220" s="715"/>
      <c r="G220" s="712"/>
      <c r="H220" s="712"/>
      <c r="I220" s="712"/>
      <c r="J220" s="675" t="e">
        <f t="shared" si="3"/>
        <v>#DIV/0!</v>
      </c>
      <c r="K220" s="573"/>
      <c r="L220" s="571"/>
      <c r="M220" s="571"/>
      <c r="N220" s="574"/>
      <c r="O220" s="571"/>
      <c r="P220" s="571"/>
      <c r="Q220" s="571"/>
    </row>
    <row r="221" spans="5:17" s="388" customFormat="1" x14ac:dyDescent="0.25">
      <c r="E221" s="713"/>
      <c r="F221" s="460"/>
      <c r="G221" s="710"/>
      <c r="H221" s="710"/>
      <c r="I221" s="710"/>
      <c r="J221" s="676" t="e">
        <f t="shared" si="3"/>
        <v>#DIV/0!</v>
      </c>
      <c r="K221" s="706"/>
      <c r="N221" s="533"/>
    </row>
    <row r="222" spans="5:17" s="388" customFormat="1" x14ac:dyDescent="0.25">
      <c r="E222" s="713"/>
      <c r="F222" s="460"/>
      <c r="G222" s="710"/>
      <c r="H222" s="710"/>
      <c r="I222" s="710"/>
      <c r="J222" s="676" t="e">
        <f t="shared" si="3"/>
        <v>#DIV/0!</v>
      </c>
      <c r="K222" s="706"/>
      <c r="N222" s="533"/>
    </row>
    <row r="223" spans="5:17" s="388" customFormat="1" x14ac:dyDescent="0.25">
      <c r="E223" s="713"/>
      <c r="F223" s="460"/>
      <c r="G223" s="710"/>
      <c r="H223" s="710"/>
      <c r="I223" s="710"/>
      <c r="J223" s="676" t="e">
        <f t="shared" si="3"/>
        <v>#DIV/0!</v>
      </c>
      <c r="K223" s="706"/>
      <c r="N223" s="533"/>
    </row>
    <row r="224" spans="5:17" s="388" customFormat="1" x14ac:dyDescent="0.25">
      <c r="E224" s="713"/>
      <c r="F224" s="460"/>
      <c r="G224" s="710"/>
      <c r="H224" s="710"/>
      <c r="I224" s="710"/>
      <c r="J224" s="676" t="e">
        <f t="shared" si="3"/>
        <v>#DIV/0!</v>
      </c>
      <c r="K224" s="706"/>
      <c r="N224" s="533"/>
    </row>
    <row r="225" spans="5:10" s="388" customFormat="1" x14ac:dyDescent="0.25">
      <c r="E225" s="713"/>
      <c r="F225" s="713"/>
      <c r="G225" s="710"/>
      <c r="H225" s="710"/>
      <c r="I225" s="710"/>
      <c r="J225" s="676" t="e">
        <f t="shared" si="3"/>
        <v>#DIV/0!</v>
      </c>
    </row>
    <row r="226" spans="5:10" s="388" customFormat="1" x14ac:dyDescent="0.25">
      <c r="E226" s="713"/>
      <c r="F226" s="713"/>
      <c r="G226" s="710"/>
      <c r="H226" s="710"/>
      <c r="I226" s="710"/>
      <c r="J226" s="676" t="e">
        <f t="shared" si="3"/>
        <v>#DIV/0!</v>
      </c>
    </row>
    <row r="227" spans="5:10" s="388" customFormat="1" x14ac:dyDescent="0.25">
      <c r="E227" s="713"/>
      <c r="F227" s="713"/>
      <c r="G227" s="710"/>
      <c r="H227" s="710"/>
      <c r="I227" s="710"/>
      <c r="J227" s="676" t="e">
        <f t="shared" si="3"/>
        <v>#DIV/0!</v>
      </c>
    </row>
    <row r="228" spans="5:10" s="388" customFormat="1" x14ac:dyDescent="0.25">
      <c r="E228" s="713"/>
      <c r="F228" s="713"/>
      <c r="G228" s="710"/>
      <c r="H228" s="710"/>
      <c r="I228" s="710"/>
      <c r="J228" s="676" t="e">
        <f t="shared" si="3"/>
        <v>#DIV/0!</v>
      </c>
    </row>
    <row r="229" spans="5:10" s="388" customFormat="1" x14ac:dyDescent="0.25">
      <c r="E229" s="713"/>
      <c r="F229" s="713"/>
      <c r="G229" s="710"/>
      <c r="H229" s="710"/>
      <c r="I229" s="710"/>
      <c r="J229" s="676" t="e">
        <f t="shared" si="3"/>
        <v>#DIV/0!</v>
      </c>
    </row>
    <row r="230" spans="5:10" s="388" customFormat="1" x14ac:dyDescent="0.25">
      <c r="E230" s="713"/>
      <c r="F230" s="713"/>
      <c r="G230" s="710"/>
      <c r="H230" s="710"/>
      <c r="I230" s="710"/>
      <c r="J230" s="676" t="e">
        <f t="shared" si="3"/>
        <v>#DIV/0!</v>
      </c>
    </row>
    <row r="231" spans="5:10" s="388" customFormat="1" x14ac:dyDescent="0.25">
      <c r="E231" s="713"/>
      <c r="F231" s="713"/>
      <c r="G231" s="710"/>
      <c r="H231" s="710"/>
      <c r="I231" s="710"/>
      <c r="J231" s="676" t="e">
        <f t="shared" si="3"/>
        <v>#DIV/0!</v>
      </c>
    </row>
    <row r="232" spans="5:10" s="388" customFormat="1" x14ac:dyDescent="0.25">
      <c r="E232" s="713"/>
      <c r="F232" s="713"/>
      <c r="G232" s="710"/>
      <c r="H232" s="710"/>
      <c r="I232" s="710"/>
      <c r="J232" s="676" t="e">
        <f t="shared" si="3"/>
        <v>#DIV/0!</v>
      </c>
    </row>
    <row r="233" spans="5:10" s="388" customFormat="1" x14ac:dyDescent="0.25">
      <c r="E233" s="713"/>
      <c r="F233" s="713"/>
      <c r="G233" s="710"/>
      <c r="H233" s="710"/>
      <c r="I233" s="710"/>
      <c r="J233" s="676" t="e">
        <f t="shared" si="3"/>
        <v>#DIV/0!</v>
      </c>
    </row>
    <row r="234" spans="5:10" s="388" customFormat="1" x14ac:dyDescent="0.25">
      <c r="E234" s="713"/>
      <c r="F234" s="713"/>
      <c r="G234" s="710"/>
      <c r="H234" s="710"/>
      <c r="I234" s="710"/>
      <c r="J234" s="676" t="e">
        <f t="shared" si="3"/>
        <v>#DIV/0!</v>
      </c>
    </row>
    <row r="235" spans="5:10" s="388" customFormat="1" x14ac:dyDescent="0.25">
      <c r="E235" s="713"/>
      <c r="F235" s="713"/>
      <c r="G235" s="710"/>
      <c r="H235" s="710"/>
      <c r="I235" s="710"/>
      <c r="J235" s="676" t="e">
        <f t="shared" si="3"/>
        <v>#DIV/0!</v>
      </c>
    </row>
    <row r="236" spans="5:10" s="388" customFormat="1" x14ac:dyDescent="0.25">
      <c r="E236" s="713"/>
      <c r="F236" s="713"/>
      <c r="G236" s="710"/>
      <c r="H236" s="710"/>
      <c r="I236" s="710"/>
      <c r="J236" s="676" t="e">
        <f t="shared" si="3"/>
        <v>#DIV/0!</v>
      </c>
    </row>
    <row r="237" spans="5:10" s="388" customFormat="1" x14ac:dyDescent="0.25">
      <c r="E237" s="713"/>
      <c r="F237" s="713"/>
      <c r="G237" s="710"/>
      <c r="H237" s="710"/>
      <c r="I237" s="710"/>
      <c r="J237" s="676" t="e">
        <f t="shared" si="3"/>
        <v>#DIV/0!</v>
      </c>
    </row>
    <row r="238" spans="5:10" s="388" customFormat="1" x14ac:dyDescent="0.25">
      <c r="E238" s="713"/>
      <c r="F238" s="713"/>
      <c r="G238" s="710"/>
      <c r="H238" s="710"/>
      <c r="I238" s="710"/>
      <c r="J238" s="676" t="e">
        <f t="shared" si="3"/>
        <v>#DIV/0!</v>
      </c>
    </row>
    <row r="239" spans="5:10" s="388" customFormat="1" x14ac:dyDescent="0.25">
      <c r="E239" s="713"/>
      <c r="F239" s="713"/>
      <c r="G239" s="710"/>
      <c r="H239" s="710"/>
      <c r="I239" s="710"/>
      <c r="J239" s="676" t="e">
        <f t="shared" si="3"/>
        <v>#DIV/0!</v>
      </c>
    </row>
    <row r="240" spans="5:10" s="388" customFormat="1" x14ac:dyDescent="0.25">
      <c r="E240" s="713"/>
      <c r="F240" s="713"/>
      <c r="G240" s="710"/>
      <c r="H240" s="710"/>
      <c r="I240" s="710"/>
      <c r="J240" s="676" t="e">
        <f t="shared" si="3"/>
        <v>#DIV/0!</v>
      </c>
    </row>
    <row r="241" spans="5:10" s="388" customFormat="1" x14ac:dyDescent="0.25">
      <c r="E241" s="713"/>
      <c r="F241" s="713"/>
      <c r="G241" s="710"/>
      <c r="H241" s="710"/>
      <c r="I241" s="710"/>
      <c r="J241" s="676" t="e">
        <f t="shared" si="3"/>
        <v>#DIV/0!</v>
      </c>
    </row>
    <row r="242" spans="5:10" s="388" customFormat="1" x14ac:dyDescent="0.25">
      <c r="E242" s="713"/>
      <c r="F242" s="713"/>
      <c r="G242" s="710"/>
      <c r="H242" s="710"/>
      <c r="I242" s="710"/>
      <c r="J242" s="676" t="e">
        <f t="shared" si="3"/>
        <v>#DIV/0!</v>
      </c>
    </row>
    <row r="243" spans="5:10" s="388" customFormat="1" x14ac:dyDescent="0.25">
      <c r="E243" s="713"/>
      <c r="F243" s="713"/>
      <c r="G243" s="710"/>
      <c r="H243" s="710"/>
      <c r="I243" s="710"/>
      <c r="J243" s="676" t="e">
        <f t="shared" si="3"/>
        <v>#DIV/0!</v>
      </c>
    </row>
    <row r="244" spans="5:10" s="388" customFormat="1" x14ac:dyDescent="0.25">
      <c r="E244" s="713"/>
      <c r="F244" s="713"/>
      <c r="G244" s="710"/>
      <c r="H244" s="710"/>
      <c r="I244" s="710"/>
      <c r="J244" s="676" t="e">
        <f t="shared" si="3"/>
        <v>#DIV/0!</v>
      </c>
    </row>
    <row r="245" spans="5:10" s="388" customFormat="1" x14ac:dyDescent="0.25">
      <c r="E245" s="713"/>
      <c r="F245" s="713"/>
      <c r="G245" s="710"/>
      <c r="H245" s="710"/>
      <c r="I245" s="710"/>
      <c r="J245" s="676" t="e">
        <f t="shared" si="3"/>
        <v>#DIV/0!</v>
      </c>
    </row>
    <row r="246" spans="5:10" s="388" customFormat="1" x14ac:dyDescent="0.25">
      <c r="E246" s="713"/>
      <c r="F246" s="713"/>
      <c r="G246" s="710"/>
      <c r="H246" s="710"/>
      <c r="I246" s="710"/>
      <c r="J246" s="676" t="e">
        <f t="shared" si="3"/>
        <v>#DIV/0!</v>
      </c>
    </row>
    <row r="247" spans="5:10" s="388" customFormat="1" x14ac:dyDescent="0.25">
      <c r="E247" s="713"/>
      <c r="F247" s="713"/>
      <c r="G247" s="710"/>
      <c r="H247" s="710"/>
      <c r="I247" s="710"/>
      <c r="J247" s="676" t="e">
        <f t="shared" si="3"/>
        <v>#DIV/0!</v>
      </c>
    </row>
    <row r="248" spans="5:10" s="388" customFormat="1" x14ac:dyDescent="0.25">
      <c r="E248" s="713"/>
      <c r="F248" s="713"/>
      <c r="G248" s="710"/>
      <c r="H248" s="710"/>
      <c r="I248" s="710"/>
      <c r="J248" s="676" t="e">
        <f t="shared" si="3"/>
        <v>#DIV/0!</v>
      </c>
    </row>
    <row r="249" spans="5:10" s="388" customFormat="1" x14ac:dyDescent="0.25">
      <c r="E249" s="713"/>
      <c r="F249" s="713"/>
      <c r="G249" s="710"/>
      <c r="H249" s="710"/>
      <c r="I249" s="710"/>
      <c r="J249" s="676" t="e">
        <f t="shared" si="3"/>
        <v>#DIV/0!</v>
      </c>
    </row>
    <row r="250" spans="5:10" s="388" customFormat="1" x14ac:dyDescent="0.25">
      <c r="E250" s="713"/>
      <c r="F250" s="713"/>
      <c r="G250" s="710"/>
      <c r="H250" s="710"/>
      <c r="I250" s="710"/>
      <c r="J250" s="676" t="e">
        <f t="shared" si="3"/>
        <v>#DIV/0!</v>
      </c>
    </row>
    <row r="251" spans="5:10" s="388" customFormat="1" x14ac:dyDescent="0.25">
      <c r="E251" s="713"/>
      <c r="F251" s="713"/>
      <c r="G251" s="710"/>
      <c r="H251" s="710"/>
      <c r="I251" s="710"/>
      <c r="J251" s="676" t="e">
        <f t="shared" si="3"/>
        <v>#DIV/0!</v>
      </c>
    </row>
    <row r="252" spans="5:10" s="388" customFormat="1" x14ac:dyDescent="0.25">
      <c r="E252" s="713"/>
      <c r="F252" s="713"/>
      <c r="G252" s="710"/>
      <c r="H252" s="710"/>
      <c r="I252" s="710"/>
      <c r="J252" s="676" t="e">
        <f t="shared" si="3"/>
        <v>#DIV/0!</v>
      </c>
    </row>
    <row r="253" spans="5:10" s="388" customFormat="1" x14ac:dyDescent="0.25">
      <c r="E253" s="713"/>
      <c r="F253" s="713"/>
      <c r="G253" s="710"/>
      <c r="H253" s="710"/>
      <c r="I253" s="710"/>
      <c r="J253" s="676" t="e">
        <f t="shared" si="3"/>
        <v>#DIV/0!</v>
      </c>
    </row>
    <row r="254" spans="5:10" s="388" customFormat="1" x14ac:dyDescent="0.25">
      <c r="E254" s="713"/>
      <c r="F254" s="713"/>
      <c r="G254" s="710"/>
      <c r="H254" s="710"/>
      <c r="I254" s="710"/>
      <c r="J254" s="676" t="e">
        <f t="shared" si="3"/>
        <v>#DIV/0!</v>
      </c>
    </row>
    <row r="255" spans="5:10" s="388" customFormat="1" x14ac:dyDescent="0.25">
      <c r="E255" s="713"/>
      <c r="F255" s="713"/>
      <c r="G255" s="710"/>
      <c r="H255" s="710"/>
      <c r="I255" s="710"/>
      <c r="J255" s="676" t="e">
        <f t="shared" si="3"/>
        <v>#DIV/0!</v>
      </c>
    </row>
    <row r="256" spans="5:10" s="388" customFormat="1" x14ac:dyDescent="0.25">
      <c r="E256" s="713"/>
      <c r="F256" s="713"/>
      <c r="G256" s="710"/>
      <c r="H256" s="710"/>
      <c r="I256" s="710"/>
      <c r="J256" s="676" t="e">
        <f t="shared" si="3"/>
        <v>#DIV/0!</v>
      </c>
    </row>
    <row r="257" spans="5:10" s="388" customFormat="1" x14ac:dyDescent="0.25">
      <c r="E257" s="713"/>
      <c r="F257" s="713"/>
      <c r="G257" s="710"/>
      <c r="H257" s="710"/>
      <c r="I257" s="710"/>
      <c r="J257" s="676" t="e">
        <f t="shared" si="3"/>
        <v>#DIV/0!</v>
      </c>
    </row>
    <row r="258" spans="5:10" s="388" customFormat="1" x14ac:dyDescent="0.25">
      <c r="E258" s="713"/>
      <c r="F258" s="713"/>
      <c r="G258" s="710"/>
      <c r="H258" s="710"/>
      <c r="I258" s="710"/>
      <c r="J258" s="676" t="e">
        <f t="shared" si="3"/>
        <v>#DIV/0!</v>
      </c>
    </row>
    <row r="259" spans="5:10" s="388" customFormat="1" x14ac:dyDescent="0.25">
      <c r="E259" s="713"/>
      <c r="F259" s="713"/>
      <c r="G259" s="710"/>
      <c r="H259" s="710"/>
      <c r="I259" s="710"/>
      <c r="J259" s="676" t="e">
        <f t="shared" si="3"/>
        <v>#DIV/0!</v>
      </c>
    </row>
    <row r="260" spans="5:10" s="388" customFormat="1" x14ac:dyDescent="0.25">
      <c r="E260" s="713"/>
      <c r="F260" s="713"/>
      <c r="G260" s="710"/>
      <c r="H260" s="710"/>
      <c r="I260" s="710"/>
      <c r="J260" s="676" t="e">
        <f t="shared" ref="J260:J323" si="4">(I260*K260/100)/(H260*G260)*1000</f>
        <v>#DIV/0!</v>
      </c>
    </row>
    <row r="261" spans="5:10" s="388" customFormat="1" x14ac:dyDescent="0.25">
      <c r="E261" s="713"/>
      <c r="F261" s="713"/>
      <c r="G261" s="710"/>
      <c r="H261" s="710"/>
      <c r="I261" s="710"/>
      <c r="J261" s="676" t="e">
        <f t="shared" si="4"/>
        <v>#DIV/0!</v>
      </c>
    </row>
    <row r="262" spans="5:10" s="388" customFormat="1" x14ac:dyDescent="0.25">
      <c r="E262" s="713"/>
      <c r="F262" s="713"/>
      <c r="G262" s="710"/>
      <c r="H262" s="710"/>
      <c r="I262" s="710"/>
      <c r="J262" s="676" t="e">
        <f t="shared" si="4"/>
        <v>#DIV/0!</v>
      </c>
    </row>
    <row r="263" spans="5:10" s="388" customFormat="1" x14ac:dyDescent="0.25">
      <c r="E263" s="713"/>
      <c r="F263" s="713"/>
      <c r="G263" s="710"/>
      <c r="H263" s="710"/>
      <c r="I263" s="710"/>
      <c r="J263" s="676" t="e">
        <f t="shared" si="4"/>
        <v>#DIV/0!</v>
      </c>
    </row>
    <row r="264" spans="5:10" s="388" customFormat="1" x14ac:dyDescent="0.25">
      <c r="E264" s="713"/>
      <c r="F264" s="713"/>
      <c r="G264" s="710"/>
      <c r="H264" s="710"/>
      <c r="I264" s="710"/>
      <c r="J264" s="676" t="e">
        <f t="shared" si="4"/>
        <v>#DIV/0!</v>
      </c>
    </row>
    <row r="265" spans="5:10" s="388" customFormat="1" x14ac:dyDescent="0.25">
      <c r="E265" s="713"/>
      <c r="F265" s="713"/>
      <c r="G265" s="710"/>
      <c r="H265" s="710"/>
      <c r="I265" s="710"/>
      <c r="J265" s="676" t="e">
        <f t="shared" si="4"/>
        <v>#DIV/0!</v>
      </c>
    </row>
    <row r="266" spans="5:10" s="388" customFormat="1" x14ac:dyDescent="0.25">
      <c r="E266" s="713"/>
      <c r="F266" s="713"/>
      <c r="G266" s="710"/>
      <c r="H266" s="710"/>
      <c r="I266" s="710"/>
      <c r="J266" s="676" t="e">
        <f t="shared" si="4"/>
        <v>#DIV/0!</v>
      </c>
    </row>
    <row r="267" spans="5:10" s="388" customFormat="1" x14ac:dyDescent="0.25">
      <c r="E267" s="713"/>
      <c r="F267" s="713"/>
      <c r="G267" s="710"/>
      <c r="H267" s="710"/>
      <c r="I267" s="710"/>
      <c r="J267" s="676" t="e">
        <f t="shared" si="4"/>
        <v>#DIV/0!</v>
      </c>
    </row>
    <row r="268" spans="5:10" s="388" customFormat="1" x14ac:dyDescent="0.25">
      <c r="E268" s="713"/>
      <c r="F268" s="713"/>
      <c r="G268" s="710"/>
      <c r="H268" s="710"/>
      <c r="I268" s="710"/>
      <c r="J268" s="676" t="e">
        <f t="shared" si="4"/>
        <v>#DIV/0!</v>
      </c>
    </row>
    <row r="269" spans="5:10" s="388" customFormat="1" x14ac:dyDescent="0.25">
      <c r="E269" s="713"/>
      <c r="F269" s="713"/>
      <c r="G269" s="710"/>
      <c r="H269" s="710"/>
      <c r="I269" s="710"/>
      <c r="J269" s="676" t="e">
        <f t="shared" si="4"/>
        <v>#DIV/0!</v>
      </c>
    </row>
    <row r="270" spans="5:10" s="388" customFormat="1" x14ac:dyDescent="0.25">
      <c r="E270" s="713"/>
      <c r="F270" s="713"/>
      <c r="G270" s="710"/>
      <c r="H270" s="710"/>
      <c r="I270" s="710"/>
      <c r="J270" s="676" t="e">
        <f t="shared" si="4"/>
        <v>#DIV/0!</v>
      </c>
    </row>
    <row r="271" spans="5:10" s="388" customFormat="1" x14ac:dyDescent="0.25">
      <c r="E271" s="713"/>
      <c r="F271" s="713"/>
      <c r="G271" s="710"/>
      <c r="H271" s="710"/>
      <c r="I271" s="710"/>
      <c r="J271" s="676" t="e">
        <f t="shared" si="4"/>
        <v>#DIV/0!</v>
      </c>
    </row>
    <row r="272" spans="5:10" s="388" customFormat="1" x14ac:dyDescent="0.25">
      <c r="E272" s="713"/>
      <c r="F272" s="713"/>
      <c r="G272" s="710"/>
      <c r="H272" s="710"/>
      <c r="I272" s="710"/>
      <c r="J272" s="676" t="e">
        <f t="shared" si="4"/>
        <v>#DIV/0!</v>
      </c>
    </row>
    <row r="273" spans="5:10" s="388" customFormat="1" x14ac:dyDescent="0.25">
      <c r="E273" s="713"/>
      <c r="F273" s="713"/>
      <c r="G273" s="710"/>
      <c r="H273" s="710"/>
      <c r="I273" s="710"/>
      <c r="J273" s="676" t="e">
        <f t="shared" si="4"/>
        <v>#DIV/0!</v>
      </c>
    </row>
    <row r="274" spans="5:10" s="388" customFormat="1" x14ac:dyDescent="0.25">
      <c r="E274" s="713"/>
      <c r="F274" s="713"/>
      <c r="G274" s="710"/>
      <c r="H274" s="710"/>
      <c r="I274" s="710"/>
      <c r="J274" s="676" t="e">
        <f t="shared" si="4"/>
        <v>#DIV/0!</v>
      </c>
    </row>
    <row r="275" spans="5:10" s="388" customFormat="1" x14ac:dyDescent="0.25">
      <c r="E275" s="713"/>
      <c r="F275" s="713"/>
      <c r="G275" s="710"/>
      <c r="H275" s="710"/>
      <c r="I275" s="710"/>
      <c r="J275" s="676" t="e">
        <f t="shared" si="4"/>
        <v>#DIV/0!</v>
      </c>
    </row>
    <row r="276" spans="5:10" s="388" customFormat="1" x14ac:dyDescent="0.25">
      <c r="E276" s="713"/>
      <c r="F276" s="713"/>
      <c r="G276" s="710"/>
      <c r="H276" s="710"/>
      <c r="I276" s="710"/>
      <c r="J276" s="676" t="e">
        <f t="shared" si="4"/>
        <v>#DIV/0!</v>
      </c>
    </row>
    <row r="277" spans="5:10" s="388" customFormat="1" x14ac:dyDescent="0.25">
      <c r="E277" s="713"/>
      <c r="F277" s="713"/>
      <c r="G277" s="710"/>
      <c r="H277" s="710"/>
      <c r="I277" s="710"/>
      <c r="J277" s="676" t="e">
        <f t="shared" si="4"/>
        <v>#DIV/0!</v>
      </c>
    </row>
    <row r="278" spans="5:10" s="388" customFormat="1" x14ac:dyDescent="0.25">
      <c r="E278" s="713"/>
      <c r="F278" s="713"/>
      <c r="G278" s="710"/>
      <c r="H278" s="710"/>
      <c r="I278" s="710"/>
      <c r="J278" s="676" t="e">
        <f t="shared" si="4"/>
        <v>#DIV/0!</v>
      </c>
    </row>
    <row r="279" spans="5:10" s="388" customFormat="1" x14ac:dyDescent="0.25">
      <c r="E279" s="713"/>
      <c r="F279" s="713"/>
      <c r="G279" s="710"/>
      <c r="H279" s="710"/>
      <c r="I279" s="710"/>
      <c r="J279" s="676" t="e">
        <f t="shared" si="4"/>
        <v>#DIV/0!</v>
      </c>
    </row>
    <row r="280" spans="5:10" s="388" customFormat="1" x14ac:dyDescent="0.25">
      <c r="E280" s="713"/>
      <c r="F280" s="713"/>
      <c r="G280" s="710"/>
      <c r="H280" s="710"/>
      <c r="I280" s="710"/>
      <c r="J280" s="676" t="e">
        <f t="shared" si="4"/>
        <v>#DIV/0!</v>
      </c>
    </row>
    <row r="281" spans="5:10" s="388" customFormat="1" x14ac:dyDescent="0.25">
      <c r="E281" s="713"/>
      <c r="F281" s="713"/>
      <c r="G281" s="710"/>
      <c r="H281" s="710"/>
      <c r="I281" s="710"/>
      <c r="J281" s="676" t="e">
        <f t="shared" si="4"/>
        <v>#DIV/0!</v>
      </c>
    </row>
    <row r="282" spans="5:10" s="388" customFormat="1" x14ac:dyDescent="0.25">
      <c r="E282" s="713"/>
      <c r="F282" s="713"/>
      <c r="G282" s="710"/>
      <c r="H282" s="710"/>
      <c r="I282" s="710"/>
      <c r="J282" s="676" t="e">
        <f t="shared" si="4"/>
        <v>#DIV/0!</v>
      </c>
    </row>
    <row r="283" spans="5:10" s="388" customFormat="1" x14ac:dyDescent="0.25">
      <c r="E283" s="713"/>
      <c r="F283" s="713"/>
      <c r="G283" s="710"/>
      <c r="H283" s="710"/>
      <c r="I283" s="710"/>
      <c r="J283" s="676" t="e">
        <f t="shared" si="4"/>
        <v>#DIV/0!</v>
      </c>
    </row>
    <row r="284" spans="5:10" s="388" customFormat="1" x14ac:dyDescent="0.25">
      <c r="E284" s="713"/>
      <c r="F284" s="713"/>
      <c r="G284" s="710"/>
      <c r="H284" s="710"/>
      <c r="I284" s="710"/>
      <c r="J284" s="676" t="e">
        <f t="shared" si="4"/>
        <v>#DIV/0!</v>
      </c>
    </row>
    <row r="285" spans="5:10" s="388" customFormat="1" x14ac:dyDescent="0.25">
      <c r="E285" s="713"/>
      <c r="F285" s="713"/>
      <c r="G285" s="710"/>
      <c r="H285" s="710"/>
      <c r="I285" s="710"/>
      <c r="J285" s="676" t="e">
        <f t="shared" si="4"/>
        <v>#DIV/0!</v>
      </c>
    </row>
    <row r="286" spans="5:10" s="388" customFormat="1" x14ac:dyDescent="0.25">
      <c r="E286" s="713"/>
      <c r="F286" s="713"/>
      <c r="G286" s="710"/>
      <c r="H286" s="710"/>
      <c r="I286" s="710"/>
      <c r="J286" s="676" t="e">
        <f t="shared" si="4"/>
        <v>#DIV/0!</v>
      </c>
    </row>
    <row r="287" spans="5:10" s="388" customFormat="1" x14ac:dyDescent="0.25">
      <c r="E287" s="713"/>
      <c r="F287" s="713"/>
      <c r="G287" s="710"/>
      <c r="H287" s="710"/>
      <c r="I287" s="710"/>
      <c r="J287" s="676" t="e">
        <f t="shared" si="4"/>
        <v>#DIV/0!</v>
      </c>
    </row>
    <row r="288" spans="5:10" s="388" customFormat="1" x14ac:dyDescent="0.25">
      <c r="E288" s="713"/>
      <c r="F288" s="713"/>
      <c r="G288" s="710"/>
      <c r="H288" s="710"/>
      <c r="I288" s="710"/>
      <c r="J288" s="676" t="e">
        <f t="shared" si="4"/>
        <v>#DIV/0!</v>
      </c>
    </row>
    <row r="289" spans="5:10" s="388" customFormat="1" x14ac:dyDescent="0.25">
      <c r="E289" s="713"/>
      <c r="F289" s="713"/>
      <c r="G289" s="710"/>
      <c r="H289" s="710"/>
      <c r="I289" s="710"/>
      <c r="J289" s="676" t="e">
        <f t="shared" si="4"/>
        <v>#DIV/0!</v>
      </c>
    </row>
    <row r="290" spans="5:10" s="388" customFormat="1" x14ac:dyDescent="0.25">
      <c r="E290" s="713"/>
      <c r="F290" s="713"/>
      <c r="G290" s="710"/>
      <c r="H290" s="710"/>
      <c r="I290" s="710"/>
      <c r="J290" s="676" t="e">
        <f t="shared" si="4"/>
        <v>#DIV/0!</v>
      </c>
    </row>
    <row r="291" spans="5:10" s="388" customFormat="1" x14ac:dyDescent="0.25">
      <c r="E291" s="713"/>
      <c r="F291" s="713"/>
      <c r="G291" s="710"/>
      <c r="H291" s="710"/>
      <c r="I291" s="710"/>
      <c r="J291" s="676" t="e">
        <f t="shared" si="4"/>
        <v>#DIV/0!</v>
      </c>
    </row>
    <row r="292" spans="5:10" s="388" customFormat="1" x14ac:dyDescent="0.25">
      <c r="E292" s="713"/>
      <c r="F292" s="713"/>
      <c r="G292" s="710"/>
      <c r="H292" s="710"/>
      <c r="I292" s="710"/>
      <c r="J292" s="676" t="e">
        <f t="shared" si="4"/>
        <v>#DIV/0!</v>
      </c>
    </row>
    <row r="293" spans="5:10" s="388" customFormat="1" x14ac:dyDescent="0.25">
      <c r="E293" s="713"/>
      <c r="F293" s="713"/>
      <c r="G293" s="710"/>
      <c r="H293" s="710"/>
      <c r="I293" s="710"/>
      <c r="J293" s="676" t="e">
        <f t="shared" si="4"/>
        <v>#DIV/0!</v>
      </c>
    </row>
    <row r="294" spans="5:10" s="388" customFormat="1" x14ac:dyDescent="0.25">
      <c r="E294" s="713"/>
      <c r="F294" s="713"/>
      <c r="G294" s="710"/>
      <c r="H294" s="710"/>
      <c r="I294" s="710"/>
      <c r="J294" s="676" t="e">
        <f t="shared" si="4"/>
        <v>#DIV/0!</v>
      </c>
    </row>
    <row r="295" spans="5:10" s="388" customFormat="1" x14ac:dyDescent="0.25">
      <c r="E295" s="713"/>
      <c r="F295" s="713"/>
      <c r="G295" s="710"/>
      <c r="H295" s="710"/>
      <c r="I295" s="710"/>
      <c r="J295" s="676" t="e">
        <f t="shared" si="4"/>
        <v>#DIV/0!</v>
      </c>
    </row>
    <row r="296" spans="5:10" s="388" customFormat="1" x14ac:dyDescent="0.25">
      <c r="E296" s="713"/>
      <c r="F296" s="713"/>
      <c r="G296" s="710"/>
      <c r="H296" s="710"/>
      <c r="I296" s="710"/>
      <c r="J296" s="676" t="e">
        <f t="shared" si="4"/>
        <v>#DIV/0!</v>
      </c>
    </row>
    <row r="297" spans="5:10" s="388" customFormat="1" x14ac:dyDescent="0.25">
      <c r="E297" s="713"/>
      <c r="F297" s="713"/>
      <c r="G297" s="710"/>
      <c r="H297" s="710"/>
      <c r="I297" s="710"/>
      <c r="J297" s="676" t="e">
        <f t="shared" si="4"/>
        <v>#DIV/0!</v>
      </c>
    </row>
    <row r="298" spans="5:10" s="388" customFormat="1" x14ac:dyDescent="0.25">
      <c r="E298" s="713"/>
      <c r="F298" s="713"/>
      <c r="G298" s="710"/>
      <c r="H298" s="710"/>
      <c r="I298" s="710"/>
      <c r="J298" s="676" t="e">
        <f t="shared" si="4"/>
        <v>#DIV/0!</v>
      </c>
    </row>
    <row r="299" spans="5:10" s="388" customFormat="1" x14ac:dyDescent="0.25">
      <c r="E299" s="713"/>
      <c r="F299" s="713"/>
      <c r="G299" s="710"/>
      <c r="H299" s="710"/>
      <c r="I299" s="710"/>
      <c r="J299" s="676" t="e">
        <f t="shared" si="4"/>
        <v>#DIV/0!</v>
      </c>
    </row>
    <row r="300" spans="5:10" s="388" customFormat="1" x14ac:dyDescent="0.25">
      <c r="E300" s="713"/>
      <c r="F300" s="713"/>
      <c r="G300" s="710"/>
      <c r="H300" s="710"/>
      <c r="I300" s="710"/>
      <c r="J300" s="676" t="e">
        <f t="shared" si="4"/>
        <v>#DIV/0!</v>
      </c>
    </row>
    <row r="301" spans="5:10" s="388" customFormat="1" x14ac:dyDescent="0.25">
      <c r="E301" s="713"/>
      <c r="F301" s="713"/>
      <c r="G301" s="710"/>
      <c r="H301" s="710"/>
      <c r="I301" s="710"/>
      <c r="J301" s="676" t="e">
        <f t="shared" si="4"/>
        <v>#DIV/0!</v>
      </c>
    </row>
    <row r="302" spans="5:10" s="388" customFormat="1" x14ac:dyDescent="0.25">
      <c r="E302" s="713"/>
      <c r="F302" s="713"/>
      <c r="G302" s="710"/>
      <c r="H302" s="710"/>
      <c r="I302" s="710"/>
      <c r="J302" s="676" t="e">
        <f t="shared" si="4"/>
        <v>#DIV/0!</v>
      </c>
    </row>
    <row r="303" spans="5:10" s="388" customFormat="1" x14ac:dyDescent="0.25">
      <c r="E303" s="713"/>
      <c r="F303" s="713"/>
      <c r="G303" s="710"/>
      <c r="H303" s="710"/>
      <c r="I303" s="710"/>
      <c r="J303" s="676" t="e">
        <f t="shared" si="4"/>
        <v>#DIV/0!</v>
      </c>
    </row>
    <row r="304" spans="5:10" s="388" customFormat="1" x14ac:dyDescent="0.25">
      <c r="E304" s="713"/>
      <c r="F304" s="713"/>
      <c r="G304" s="710"/>
      <c r="H304" s="710"/>
      <c r="I304" s="710"/>
      <c r="J304" s="676" t="e">
        <f t="shared" si="4"/>
        <v>#DIV/0!</v>
      </c>
    </row>
    <row r="305" spans="5:10" s="388" customFormat="1" x14ac:dyDescent="0.25">
      <c r="E305" s="713"/>
      <c r="F305" s="713"/>
      <c r="G305" s="710"/>
      <c r="H305" s="710"/>
      <c r="I305" s="710"/>
      <c r="J305" s="676" t="e">
        <f t="shared" si="4"/>
        <v>#DIV/0!</v>
      </c>
    </row>
    <row r="306" spans="5:10" s="388" customFormat="1" x14ac:dyDescent="0.25">
      <c r="E306" s="713"/>
      <c r="F306" s="713"/>
      <c r="G306" s="710"/>
      <c r="H306" s="710"/>
      <c r="I306" s="710"/>
      <c r="J306" s="676" t="e">
        <f t="shared" si="4"/>
        <v>#DIV/0!</v>
      </c>
    </row>
    <row r="307" spans="5:10" s="388" customFormat="1" x14ac:dyDescent="0.25">
      <c r="E307" s="713"/>
      <c r="F307" s="713"/>
      <c r="G307" s="710"/>
      <c r="H307" s="710"/>
      <c r="I307" s="710"/>
      <c r="J307" s="676" t="e">
        <f t="shared" si="4"/>
        <v>#DIV/0!</v>
      </c>
    </row>
    <row r="308" spans="5:10" s="388" customFormat="1" x14ac:dyDescent="0.25">
      <c r="E308" s="713"/>
      <c r="F308" s="713"/>
      <c r="G308" s="710"/>
      <c r="H308" s="710"/>
      <c r="I308" s="710"/>
      <c r="J308" s="676" t="e">
        <f t="shared" si="4"/>
        <v>#DIV/0!</v>
      </c>
    </row>
    <row r="309" spans="5:10" s="388" customFormat="1" x14ac:dyDescent="0.25">
      <c r="E309" s="713"/>
      <c r="F309" s="713"/>
      <c r="G309" s="710"/>
      <c r="H309" s="710"/>
      <c r="I309" s="710"/>
      <c r="J309" s="676" t="e">
        <f t="shared" si="4"/>
        <v>#DIV/0!</v>
      </c>
    </row>
    <row r="310" spans="5:10" s="388" customFormat="1" x14ac:dyDescent="0.25">
      <c r="E310" s="713"/>
      <c r="F310" s="713"/>
      <c r="G310" s="710"/>
      <c r="H310" s="710"/>
      <c r="I310" s="710"/>
      <c r="J310" s="676" t="e">
        <f t="shared" si="4"/>
        <v>#DIV/0!</v>
      </c>
    </row>
    <row r="311" spans="5:10" s="388" customFormat="1" x14ac:dyDescent="0.25">
      <c r="E311" s="713"/>
      <c r="F311" s="713"/>
      <c r="G311" s="710"/>
      <c r="H311" s="710"/>
      <c r="I311" s="710"/>
      <c r="J311" s="676" t="e">
        <f t="shared" si="4"/>
        <v>#DIV/0!</v>
      </c>
    </row>
    <row r="312" spans="5:10" s="388" customFormat="1" x14ac:dyDescent="0.25">
      <c r="E312" s="713"/>
      <c r="F312" s="713"/>
      <c r="G312" s="710"/>
      <c r="H312" s="710"/>
      <c r="I312" s="710"/>
      <c r="J312" s="676" t="e">
        <f t="shared" si="4"/>
        <v>#DIV/0!</v>
      </c>
    </row>
    <row r="313" spans="5:10" s="388" customFormat="1" x14ac:dyDescent="0.25">
      <c r="E313" s="713"/>
      <c r="F313" s="713"/>
      <c r="G313" s="710"/>
      <c r="H313" s="710"/>
      <c r="I313" s="710"/>
      <c r="J313" s="676" t="e">
        <f t="shared" si="4"/>
        <v>#DIV/0!</v>
      </c>
    </row>
    <row r="314" spans="5:10" s="388" customFormat="1" x14ac:dyDescent="0.25">
      <c r="E314" s="713"/>
      <c r="F314" s="713"/>
      <c r="G314" s="710"/>
      <c r="H314" s="710"/>
      <c r="I314" s="710"/>
      <c r="J314" s="676" t="e">
        <f t="shared" si="4"/>
        <v>#DIV/0!</v>
      </c>
    </row>
    <row r="315" spans="5:10" s="388" customFormat="1" x14ac:dyDescent="0.25">
      <c r="E315" s="713"/>
      <c r="F315" s="713"/>
      <c r="G315" s="710"/>
      <c r="H315" s="710"/>
      <c r="I315" s="710"/>
      <c r="J315" s="676" t="e">
        <f t="shared" si="4"/>
        <v>#DIV/0!</v>
      </c>
    </row>
    <row r="316" spans="5:10" s="388" customFormat="1" x14ac:dyDescent="0.25">
      <c r="E316" s="713"/>
      <c r="F316" s="713"/>
      <c r="G316" s="710"/>
      <c r="H316" s="710"/>
      <c r="I316" s="710"/>
      <c r="J316" s="676" t="e">
        <f t="shared" si="4"/>
        <v>#DIV/0!</v>
      </c>
    </row>
    <row r="317" spans="5:10" s="388" customFormat="1" x14ac:dyDescent="0.25">
      <c r="E317" s="713"/>
      <c r="F317" s="713"/>
      <c r="G317" s="710"/>
      <c r="H317" s="710"/>
      <c r="I317" s="710"/>
      <c r="J317" s="676" t="e">
        <f t="shared" si="4"/>
        <v>#DIV/0!</v>
      </c>
    </row>
    <row r="318" spans="5:10" s="388" customFormat="1" x14ac:dyDescent="0.25">
      <c r="E318" s="713"/>
      <c r="F318" s="713"/>
      <c r="G318" s="710"/>
      <c r="H318" s="710"/>
      <c r="I318" s="710"/>
      <c r="J318" s="676" t="e">
        <f t="shared" si="4"/>
        <v>#DIV/0!</v>
      </c>
    </row>
    <row r="319" spans="5:10" s="388" customFormat="1" x14ac:dyDescent="0.25">
      <c r="E319" s="713"/>
      <c r="F319" s="713"/>
      <c r="G319" s="710"/>
      <c r="H319" s="710"/>
      <c r="I319" s="710"/>
      <c r="J319" s="676" t="e">
        <f t="shared" si="4"/>
        <v>#DIV/0!</v>
      </c>
    </row>
    <row r="320" spans="5:10" s="388" customFormat="1" x14ac:dyDescent="0.25">
      <c r="E320" s="713"/>
      <c r="F320" s="713"/>
      <c r="G320" s="710"/>
      <c r="H320" s="710"/>
      <c r="I320" s="710"/>
      <c r="J320" s="676" t="e">
        <f t="shared" si="4"/>
        <v>#DIV/0!</v>
      </c>
    </row>
    <row r="321" spans="5:10" s="388" customFormat="1" x14ac:dyDescent="0.25">
      <c r="E321" s="713"/>
      <c r="F321" s="713"/>
      <c r="G321" s="710"/>
      <c r="H321" s="710"/>
      <c r="I321" s="710"/>
      <c r="J321" s="676" t="e">
        <f t="shared" si="4"/>
        <v>#DIV/0!</v>
      </c>
    </row>
    <row r="322" spans="5:10" s="388" customFormat="1" x14ac:dyDescent="0.25">
      <c r="E322" s="713"/>
      <c r="F322" s="713"/>
      <c r="G322" s="710"/>
      <c r="H322" s="710"/>
      <c r="I322" s="710"/>
      <c r="J322" s="676" t="e">
        <f t="shared" si="4"/>
        <v>#DIV/0!</v>
      </c>
    </row>
    <row r="323" spans="5:10" s="388" customFormat="1" x14ac:dyDescent="0.25">
      <c r="E323" s="713"/>
      <c r="F323" s="713"/>
      <c r="G323" s="710"/>
      <c r="H323" s="710"/>
      <c r="I323" s="710"/>
      <c r="J323" s="676" t="e">
        <f t="shared" si="4"/>
        <v>#DIV/0!</v>
      </c>
    </row>
    <row r="324" spans="5:10" s="388" customFormat="1" x14ac:dyDescent="0.25">
      <c r="E324" s="713"/>
      <c r="F324" s="713"/>
      <c r="G324" s="710"/>
      <c r="H324" s="710"/>
      <c r="I324" s="710"/>
      <c r="J324" s="676" t="e">
        <f t="shared" ref="J324:J387" si="5">(I324*K324/100)/(H324*G324)*1000</f>
        <v>#DIV/0!</v>
      </c>
    </row>
    <row r="325" spans="5:10" s="388" customFormat="1" x14ac:dyDescent="0.25">
      <c r="E325" s="713"/>
      <c r="F325" s="713"/>
      <c r="G325" s="710"/>
      <c r="H325" s="710"/>
      <c r="I325" s="710"/>
      <c r="J325" s="676" t="e">
        <f t="shared" si="5"/>
        <v>#DIV/0!</v>
      </c>
    </row>
    <row r="326" spans="5:10" s="388" customFormat="1" x14ac:dyDescent="0.25">
      <c r="E326" s="713"/>
      <c r="F326" s="713"/>
      <c r="G326" s="710"/>
      <c r="H326" s="710"/>
      <c r="I326" s="710"/>
      <c r="J326" s="676" t="e">
        <f t="shared" si="5"/>
        <v>#DIV/0!</v>
      </c>
    </row>
    <row r="327" spans="5:10" s="388" customFormat="1" x14ac:dyDescent="0.25">
      <c r="E327" s="713"/>
      <c r="F327" s="713"/>
      <c r="G327" s="710"/>
      <c r="H327" s="710"/>
      <c r="I327" s="710"/>
      <c r="J327" s="676" t="e">
        <f t="shared" si="5"/>
        <v>#DIV/0!</v>
      </c>
    </row>
    <row r="328" spans="5:10" s="388" customFormat="1" x14ac:dyDescent="0.25">
      <c r="E328" s="713"/>
      <c r="F328" s="713"/>
      <c r="G328" s="710"/>
      <c r="H328" s="710"/>
      <c r="I328" s="710"/>
      <c r="J328" s="676" t="e">
        <f t="shared" si="5"/>
        <v>#DIV/0!</v>
      </c>
    </row>
    <row r="329" spans="5:10" s="388" customFormat="1" x14ac:dyDescent="0.25">
      <c r="E329" s="713"/>
      <c r="F329" s="713"/>
      <c r="G329" s="710"/>
      <c r="H329" s="710"/>
      <c r="I329" s="710"/>
      <c r="J329" s="676" t="e">
        <f t="shared" si="5"/>
        <v>#DIV/0!</v>
      </c>
    </row>
    <row r="330" spans="5:10" s="388" customFormat="1" x14ac:dyDescent="0.25">
      <c r="E330" s="713"/>
      <c r="F330" s="713"/>
      <c r="G330" s="710"/>
      <c r="H330" s="710"/>
      <c r="I330" s="710"/>
      <c r="J330" s="676" t="e">
        <f t="shared" si="5"/>
        <v>#DIV/0!</v>
      </c>
    </row>
    <row r="331" spans="5:10" s="388" customFormat="1" x14ac:dyDescent="0.25">
      <c r="E331" s="713"/>
      <c r="F331" s="713"/>
      <c r="G331" s="710"/>
      <c r="H331" s="710"/>
      <c r="I331" s="710"/>
      <c r="J331" s="676" t="e">
        <f t="shared" si="5"/>
        <v>#DIV/0!</v>
      </c>
    </row>
    <row r="332" spans="5:10" s="388" customFormat="1" x14ac:dyDescent="0.25">
      <c r="E332" s="713"/>
      <c r="F332" s="713"/>
      <c r="G332" s="710"/>
      <c r="H332" s="710"/>
      <c r="I332" s="710"/>
      <c r="J332" s="676" t="e">
        <f t="shared" si="5"/>
        <v>#DIV/0!</v>
      </c>
    </row>
    <row r="333" spans="5:10" s="388" customFormat="1" x14ac:dyDescent="0.25">
      <c r="E333" s="713"/>
      <c r="F333" s="713"/>
      <c r="G333" s="710"/>
      <c r="H333" s="710"/>
      <c r="I333" s="710"/>
      <c r="J333" s="676" t="e">
        <f t="shared" si="5"/>
        <v>#DIV/0!</v>
      </c>
    </row>
    <row r="334" spans="5:10" s="388" customFormat="1" x14ac:dyDescent="0.25">
      <c r="E334" s="713"/>
      <c r="F334" s="713"/>
      <c r="G334" s="710"/>
      <c r="H334" s="710"/>
      <c r="I334" s="710"/>
      <c r="J334" s="676" t="e">
        <f t="shared" si="5"/>
        <v>#DIV/0!</v>
      </c>
    </row>
    <row r="335" spans="5:10" s="388" customFormat="1" x14ac:dyDescent="0.25">
      <c r="E335" s="713"/>
      <c r="F335" s="713"/>
      <c r="G335" s="710"/>
      <c r="H335" s="710"/>
      <c r="I335" s="710"/>
      <c r="J335" s="676" t="e">
        <f t="shared" si="5"/>
        <v>#DIV/0!</v>
      </c>
    </row>
    <row r="336" spans="5:10" s="388" customFormat="1" x14ac:dyDescent="0.25">
      <c r="E336" s="713"/>
      <c r="F336" s="713"/>
      <c r="G336" s="710"/>
      <c r="H336" s="710"/>
      <c r="I336" s="710"/>
      <c r="J336" s="676" t="e">
        <f t="shared" si="5"/>
        <v>#DIV/0!</v>
      </c>
    </row>
    <row r="337" spans="5:10" s="388" customFormat="1" x14ac:dyDescent="0.25">
      <c r="E337" s="713"/>
      <c r="F337" s="713"/>
      <c r="G337" s="710"/>
      <c r="H337" s="710"/>
      <c r="I337" s="710"/>
      <c r="J337" s="676" t="e">
        <f t="shared" si="5"/>
        <v>#DIV/0!</v>
      </c>
    </row>
    <row r="338" spans="5:10" s="388" customFormat="1" x14ac:dyDescent="0.25">
      <c r="E338" s="713"/>
      <c r="F338" s="713"/>
      <c r="G338" s="710"/>
      <c r="H338" s="710"/>
      <c r="I338" s="710"/>
      <c r="J338" s="676" t="e">
        <f t="shared" si="5"/>
        <v>#DIV/0!</v>
      </c>
    </row>
    <row r="339" spans="5:10" s="388" customFormat="1" x14ac:dyDescent="0.25">
      <c r="E339" s="713"/>
      <c r="F339" s="713"/>
      <c r="G339" s="710"/>
      <c r="H339" s="710"/>
      <c r="I339" s="710"/>
      <c r="J339" s="676" t="e">
        <f t="shared" si="5"/>
        <v>#DIV/0!</v>
      </c>
    </row>
    <row r="340" spans="5:10" s="388" customFormat="1" x14ac:dyDescent="0.25">
      <c r="E340" s="713"/>
      <c r="F340" s="713"/>
      <c r="G340" s="710"/>
      <c r="H340" s="710"/>
      <c r="I340" s="710"/>
      <c r="J340" s="676" t="e">
        <f t="shared" si="5"/>
        <v>#DIV/0!</v>
      </c>
    </row>
    <row r="341" spans="5:10" s="388" customFormat="1" x14ac:dyDescent="0.25">
      <c r="E341" s="713"/>
      <c r="F341" s="713"/>
      <c r="G341" s="710"/>
      <c r="H341" s="710"/>
      <c r="I341" s="710"/>
      <c r="J341" s="676" t="e">
        <f t="shared" si="5"/>
        <v>#DIV/0!</v>
      </c>
    </row>
    <row r="342" spans="5:10" s="388" customFormat="1" x14ac:dyDescent="0.25">
      <c r="E342" s="713"/>
      <c r="F342" s="713"/>
      <c r="G342" s="710"/>
      <c r="H342" s="710"/>
      <c r="I342" s="710"/>
      <c r="J342" s="676" t="e">
        <f t="shared" si="5"/>
        <v>#DIV/0!</v>
      </c>
    </row>
    <row r="343" spans="5:10" s="388" customFormat="1" x14ac:dyDescent="0.25">
      <c r="E343" s="713"/>
      <c r="F343" s="713"/>
      <c r="G343" s="710"/>
      <c r="H343" s="710"/>
      <c r="I343" s="710"/>
      <c r="J343" s="676" t="e">
        <f t="shared" si="5"/>
        <v>#DIV/0!</v>
      </c>
    </row>
    <row r="344" spans="5:10" s="388" customFormat="1" x14ac:dyDescent="0.25">
      <c r="E344" s="713"/>
      <c r="F344" s="713"/>
      <c r="G344" s="710"/>
      <c r="H344" s="710"/>
      <c r="I344" s="710"/>
      <c r="J344" s="676" t="e">
        <f t="shared" si="5"/>
        <v>#DIV/0!</v>
      </c>
    </row>
    <row r="345" spans="5:10" s="388" customFormat="1" x14ac:dyDescent="0.25">
      <c r="E345" s="713"/>
      <c r="F345" s="713"/>
      <c r="G345" s="710"/>
      <c r="H345" s="710"/>
      <c r="I345" s="710"/>
      <c r="J345" s="676" t="e">
        <f t="shared" si="5"/>
        <v>#DIV/0!</v>
      </c>
    </row>
    <row r="346" spans="5:10" s="388" customFormat="1" x14ac:dyDescent="0.25">
      <c r="E346" s="713"/>
      <c r="F346" s="713"/>
      <c r="G346" s="710"/>
      <c r="H346" s="710"/>
      <c r="I346" s="710"/>
      <c r="J346" s="676" t="e">
        <f t="shared" si="5"/>
        <v>#DIV/0!</v>
      </c>
    </row>
    <row r="347" spans="5:10" s="388" customFormat="1" x14ac:dyDescent="0.25">
      <c r="E347" s="713"/>
      <c r="F347" s="713"/>
      <c r="G347" s="710"/>
      <c r="H347" s="710"/>
      <c r="I347" s="710"/>
      <c r="J347" s="676" t="e">
        <f t="shared" si="5"/>
        <v>#DIV/0!</v>
      </c>
    </row>
    <row r="348" spans="5:10" s="388" customFormat="1" x14ac:dyDescent="0.25">
      <c r="E348" s="713"/>
      <c r="F348" s="713"/>
      <c r="G348" s="710"/>
      <c r="H348" s="710"/>
      <c r="I348" s="710"/>
      <c r="J348" s="676" t="e">
        <f t="shared" si="5"/>
        <v>#DIV/0!</v>
      </c>
    </row>
    <row r="349" spans="5:10" s="388" customFormat="1" x14ac:dyDescent="0.25">
      <c r="E349" s="713"/>
      <c r="F349" s="713"/>
      <c r="G349" s="710"/>
      <c r="H349" s="710"/>
      <c r="I349" s="710"/>
      <c r="J349" s="676" t="e">
        <f t="shared" si="5"/>
        <v>#DIV/0!</v>
      </c>
    </row>
    <row r="350" spans="5:10" s="388" customFormat="1" x14ac:dyDescent="0.25">
      <c r="E350" s="713"/>
      <c r="F350" s="713"/>
      <c r="G350" s="710"/>
      <c r="H350" s="710"/>
      <c r="I350" s="710"/>
      <c r="J350" s="676" t="e">
        <f t="shared" si="5"/>
        <v>#DIV/0!</v>
      </c>
    </row>
    <row r="351" spans="5:10" s="388" customFormat="1" x14ac:dyDescent="0.25">
      <c r="E351" s="713"/>
      <c r="F351" s="713"/>
      <c r="G351" s="710"/>
      <c r="H351" s="710"/>
      <c r="I351" s="710"/>
      <c r="J351" s="676" t="e">
        <f t="shared" si="5"/>
        <v>#DIV/0!</v>
      </c>
    </row>
    <row r="352" spans="5:10" s="388" customFormat="1" x14ac:dyDescent="0.25">
      <c r="E352" s="713"/>
      <c r="F352" s="713"/>
      <c r="G352" s="710"/>
      <c r="H352" s="710"/>
      <c r="I352" s="710"/>
      <c r="J352" s="676" t="e">
        <f t="shared" si="5"/>
        <v>#DIV/0!</v>
      </c>
    </row>
    <row r="353" spans="5:10" s="388" customFormat="1" x14ac:dyDescent="0.25">
      <c r="E353" s="713"/>
      <c r="F353" s="713"/>
      <c r="G353" s="710"/>
      <c r="H353" s="710"/>
      <c r="I353" s="710"/>
      <c r="J353" s="676" t="e">
        <f t="shared" si="5"/>
        <v>#DIV/0!</v>
      </c>
    </row>
    <row r="354" spans="5:10" s="388" customFormat="1" x14ac:dyDescent="0.25">
      <c r="E354" s="713"/>
      <c r="F354" s="713"/>
      <c r="G354" s="710"/>
      <c r="H354" s="710"/>
      <c r="I354" s="710"/>
      <c r="J354" s="676" t="e">
        <f t="shared" si="5"/>
        <v>#DIV/0!</v>
      </c>
    </row>
    <row r="355" spans="5:10" s="388" customFormat="1" x14ac:dyDescent="0.25">
      <c r="E355" s="713"/>
      <c r="F355" s="713"/>
      <c r="G355" s="710"/>
      <c r="H355" s="710"/>
      <c r="I355" s="710"/>
      <c r="J355" s="676" t="e">
        <f t="shared" si="5"/>
        <v>#DIV/0!</v>
      </c>
    </row>
    <row r="356" spans="5:10" s="388" customFormat="1" x14ac:dyDescent="0.25">
      <c r="E356" s="713"/>
      <c r="F356" s="713"/>
      <c r="G356" s="710"/>
      <c r="H356" s="710"/>
      <c r="I356" s="710"/>
      <c r="J356" s="676" t="e">
        <f t="shared" si="5"/>
        <v>#DIV/0!</v>
      </c>
    </row>
    <row r="357" spans="5:10" s="388" customFormat="1" x14ac:dyDescent="0.25">
      <c r="E357" s="713"/>
      <c r="F357" s="713"/>
      <c r="G357" s="710"/>
      <c r="H357" s="710"/>
      <c r="I357" s="710"/>
      <c r="J357" s="676" t="e">
        <f t="shared" si="5"/>
        <v>#DIV/0!</v>
      </c>
    </row>
    <row r="358" spans="5:10" s="388" customFormat="1" x14ac:dyDescent="0.25">
      <c r="E358" s="713"/>
      <c r="F358" s="713"/>
      <c r="G358" s="710"/>
      <c r="H358" s="710"/>
      <c r="I358" s="710"/>
      <c r="J358" s="676" t="e">
        <f t="shared" si="5"/>
        <v>#DIV/0!</v>
      </c>
    </row>
    <row r="359" spans="5:10" s="388" customFormat="1" x14ac:dyDescent="0.25">
      <c r="E359" s="713"/>
      <c r="F359" s="713"/>
      <c r="G359" s="710"/>
      <c r="H359" s="710"/>
      <c r="I359" s="710"/>
      <c r="J359" s="676" t="e">
        <f t="shared" si="5"/>
        <v>#DIV/0!</v>
      </c>
    </row>
    <row r="360" spans="5:10" s="388" customFormat="1" x14ac:dyDescent="0.25">
      <c r="E360" s="713"/>
      <c r="F360" s="713"/>
      <c r="G360" s="710"/>
      <c r="H360" s="710"/>
      <c r="I360" s="710"/>
      <c r="J360" s="676" t="e">
        <f t="shared" si="5"/>
        <v>#DIV/0!</v>
      </c>
    </row>
    <row r="361" spans="5:10" s="388" customFormat="1" x14ac:dyDescent="0.25">
      <c r="E361" s="713"/>
      <c r="F361" s="713"/>
      <c r="G361" s="710"/>
      <c r="H361" s="710"/>
      <c r="I361" s="710"/>
      <c r="J361" s="676" t="e">
        <f t="shared" si="5"/>
        <v>#DIV/0!</v>
      </c>
    </row>
    <row r="362" spans="5:10" s="388" customFormat="1" x14ac:dyDescent="0.25">
      <c r="E362" s="713"/>
      <c r="F362" s="713"/>
      <c r="G362" s="710"/>
      <c r="H362" s="710"/>
      <c r="I362" s="710"/>
      <c r="J362" s="676" t="e">
        <f t="shared" si="5"/>
        <v>#DIV/0!</v>
      </c>
    </row>
    <row r="363" spans="5:10" s="388" customFormat="1" x14ac:dyDescent="0.25">
      <c r="E363" s="713"/>
      <c r="F363" s="713"/>
      <c r="G363" s="710"/>
      <c r="H363" s="710"/>
      <c r="I363" s="710"/>
      <c r="J363" s="676" t="e">
        <f t="shared" si="5"/>
        <v>#DIV/0!</v>
      </c>
    </row>
    <row r="364" spans="5:10" s="388" customFormat="1" x14ac:dyDescent="0.25">
      <c r="E364" s="713"/>
      <c r="F364" s="713"/>
      <c r="G364" s="710"/>
      <c r="H364" s="710"/>
      <c r="I364" s="710"/>
      <c r="J364" s="676" t="e">
        <f t="shared" si="5"/>
        <v>#DIV/0!</v>
      </c>
    </row>
    <row r="365" spans="5:10" s="388" customFormat="1" x14ac:dyDescent="0.25">
      <c r="E365" s="713"/>
      <c r="F365" s="713"/>
      <c r="G365" s="710"/>
      <c r="H365" s="710"/>
      <c r="I365" s="710"/>
      <c r="J365" s="676" t="e">
        <f t="shared" si="5"/>
        <v>#DIV/0!</v>
      </c>
    </row>
    <row r="366" spans="5:10" s="388" customFormat="1" x14ac:dyDescent="0.25">
      <c r="E366" s="713"/>
      <c r="F366" s="713"/>
      <c r="G366" s="710"/>
      <c r="H366" s="710"/>
      <c r="I366" s="710"/>
      <c r="J366" s="676" t="e">
        <f t="shared" si="5"/>
        <v>#DIV/0!</v>
      </c>
    </row>
    <row r="367" spans="5:10" s="388" customFormat="1" x14ac:dyDescent="0.25">
      <c r="E367" s="713"/>
      <c r="F367" s="713"/>
      <c r="G367" s="710"/>
      <c r="H367" s="710"/>
      <c r="I367" s="710"/>
      <c r="J367" s="676" t="e">
        <f t="shared" si="5"/>
        <v>#DIV/0!</v>
      </c>
    </row>
    <row r="368" spans="5:10" s="388" customFormat="1" x14ac:dyDescent="0.25">
      <c r="E368" s="713"/>
      <c r="F368" s="713"/>
      <c r="G368" s="710"/>
      <c r="H368" s="710"/>
      <c r="I368" s="710"/>
      <c r="J368" s="676" t="e">
        <f t="shared" si="5"/>
        <v>#DIV/0!</v>
      </c>
    </row>
    <row r="369" spans="5:10" s="388" customFormat="1" x14ac:dyDescent="0.25">
      <c r="E369" s="713"/>
      <c r="F369" s="713"/>
      <c r="G369" s="710"/>
      <c r="H369" s="710"/>
      <c r="I369" s="710"/>
      <c r="J369" s="676" t="e">
        <f t="shared" si="5"/>
        <v>#DIV/0!</v>
      </c>
    </row>
    <row r="370" spans="5:10" s="388" customFormat="1" x14ac:dyDescent="0.25">
      <c r="E370" s="713"/>
      <c r="F370" s="713"/>
      <c r="G370" s="710"/>
      <c r="H370" s="710"/>
      <c r="I370" s="710"/>
      <c r="J370" s="676" t="e">
        <f t="shared" si="5"/>
        <v>#DIV/0!</v>
      </c>
    </row>
    <row r="371" spans="5:10" s="388" customFormat="1" x14ac:dyDescent="0.25">
      <c r="E371" s="713"/>
      <c r="F371" s="713"/>
      <c r="G371" s="710"/>
      <c r="H371" s="710"/>
      <c r="I371" s="710"/>
      <c r="J371" s="676" t="e">
        <f t="shared" si="5"/>
        <v>#DIV/0!</v>
      </c>
    </row>
    <row r="372" spans="5:10" s="388" customFormat="1" x14ac:dyDescent="0.25">
      <c r="E372" s="713"/>
      <c r="F372" s="713"/>
      <c r="G372" s="710"/>
      <c r="H372" s="710"/>
      <c r="I372" s="710"/>
      <c r="J372" s="676" t="e">
        <f t="shared" si="5"/>
        <v>#DIV/0!</v>
      </c>
    </row>
    <row r="373" spans="5:10" s="388" customFormat="1" x14ac:dyDescent="0.25">
      <c r="E373" s="713"/>
      <c r="F373" s="713"/>
      <c r="G373" s="710"/>
      <c r="H373" s="710"/>
      <c r="I373" s="710"/>
      <c r="J373" s="676" t="e">
        <f t="shared" si="5"/>
        <v>#DIV/0!</v>
      </c>
    </row>
    <row r="374" spans="5:10" s="388" customFormat="1" x14ac:dyDescent="0.25">
      <c r="E374" s="713"/>
      <c r="F374" s="713"/>
      <c r="G374" s="710"/>
      <c r="H374" s="710"/>
      <c r="I374" s="710"/>
      <c r="J374" s="676" t="e">
        <f t="shared" si="5"/>
        <v>#DIV/0!</v>
      </c>
    </row>
    <row r="375" spans="5:10" s="388" customFormat="1" x14ac:dyDescent="0.25">
      <c r="E375" s="713"/>
      <c r="F375" s="713"/>
      <c r="G375" s="710"/>
      <c r="H375" s="710"/>
      <c r="I375" s="710"/>
      <c r="J375" s="676" t="e">
        <f t="shared" si="5"/>
        <v>#DIV/0!</v>
      </c>
    </row>
    <row r="376" spans="5:10" s="388" customFormat="1" x14ac:dyDescent="0.25">
      <c r="E376" s="713"/>
      <c r="F376" s="713"/>
      <c r="G376" s="710"/>
      <c r="H376" s="710"/>
      <c r="I376" s="710"/>
      <c r="J376" s="676" t="e">
        <f t="shared" si="5"/>
        <v>#DIV/0!</v>
      </c>
    </row>
    <row r="377" spans="5:10" s="388" customFormat="1" x14ac:dyDescent="0.25">
      <c r="E377" s="713"/>
      <c r="F377" s="713"/>
      <c r="G377" s="710"/>
      <c r="H377" s="710"/>
      <c r="I377" s="710"/>
      <c r="J377" s="676" t="e">
        <f t="shared" si="5"/>
        <v>#DIV/0!</v>
      </c>
    </row>
    <row r="378" spans="5:10" s="388" customFormat="1" x14ac:dyDescent="0.25">
      <c r="E378" s="713"/>
      <c r="F378" s="713"/>
      <c r="G378" s="710"/>
      <c r="H378" s="710"/>
      <c r="I378" s="710"/>
      <c r="J378" s="676" t="e">
        <f t="shared" si="5"/>
        <v>#DIV/0!</v>
      </c>
    </row>
    <row r="379" spans="5:10" s="388" customFormat="1" x14ac:dyDescent="0.25">
      <c r="E379" s="713"/>
      <c r="F379" s="713"/>
      <c r="G379" s="710"/>
      <c r="H379" s="710"/>
      <c r="I379" s="710"/>
      <c r="J379" s="676" t="e">
        <f t="shared" si="5"/>
        <v>#DIV/0!</v>
      </c>
    </row>
    <row r="380" spans="5:10" s="388" customFormat="1" x14ac:dyDescent="0.25">
      <c r="E380" s="713"/>
      <c r="F380" s="713"/>
      <c r="G380" s="710"/>
      <c r="H380" s="710"/>
      <c r="I380" s="710"/>
      <c r="J380" s="676" t="e">
        <f t="shared" si="5"/>
        <v>#DIV/0!</v>
      </c>
    </row>
    <row r="381" spans="5:10" s="388" customFormat="1" x14ac:dyDescent="0.25">
      <c r="E381" s="713"/>
      <c r="F381" s="713"/>
      <c r="G381" s="710"/>
      <c r="H381" s="710"/>
      <c r="I381" s="710"/>
      <c r="J381" s="676" t="e">
        <f t="shared" si="5"/>
        <v>#DIV/0!</v>
      </c>
    </row>
    <row r="382" spans="5:10" s="388" customFormat="1" x14ac:dyDescent="0.25">
      <c r="E382" s="713"/>
      <c r="F382" s="713"/>
      <c r="G382" s="710"/>
      <c r="H382" s="710"/>
      <c r="I382" s="710"/>
      <c r="J382" s="676" t="e">
        <f t="shared" si="5"/>
        <v>#DIV/0!</v>
      </c>
    </row>
    <row r="383" spans="5:10" s="388" customFormat="1" x14ac:dyDescent="0.25">
      <c r="E383" s="713"/>
      <c r="F383" s="713"/>
      <c r="G383" s="710"/>
      <c r="H383" s="710"/>
      <c r="I383" s="710"/>
      <c r="J383" s="676" t="e">
        <f t="shared" si="5"/>
        <v>#DIV/0!</v>
      </c>
    </row>
    <row r="384" spans="5:10" s="388" customFormat="1" x14ac:dyDescent="0.25">
      <c r="E384" s="713"/>
      <c r="F384" s="713"/>
      <c r="G384" s="710"/>
      <c r="H384" s="710"/>
      <c r="I384" s="710"/>
      <c r="J384" s="676" t="e">
        <f t="shared" si="5"/>
        <v>#DIV/0!</v>
      </c>
    </row>
    <row r="385" spans="5:10" s="388" customFormat="1" x14ac:dyDescent="0.25">
      <c r="E385" s="713"/>
      <c r="F385" s="713"/>
      <c r="G385" s="710"/>
      <c r="H385" s="710"/>
      <c r="I385" s="710"/>
      <c r="J385" s="676" t="e">
        <f t="shared" si="5"/>
        <v>#DIV/0!</v>
      </c>
    </row>
    <row r="386" spans="5:10" s="388" customFormat="1" x14ac:dyDescent="0.25">
      <c r="E386" s="713"/>
      <c r="F386" s="713"/>
      <c r="G386" s="710"/>
      <c r="H386" s="710"/>
      <c r="I386" s="710"/>
      <c r="J386" s="676" t="e">
        <f t="shared" si="5"/>
        <v>#DIV/0!</v>
      </c>
    </row>
    <row r="387" spans="5:10" s="388" customFormat="1" x14ac:dyDescent="0.25">
      <c r="E387" s="713"/>
      <c r="F387" s="713"/>
      <c r="G387" s="710"/>
      <c r="H387" s="710"/>
      <c r="I387" s="710"/>
      <c r="J387" s="676" t="e">
        <f t="shared" si="5"/>
        <v>#DIV/0!</v>
      </c>
    </row>
    <row r="388" spans="5:10" s="388" customFormat="1" x14ac:dyDescent="0.25">
      <c r="E388" s="713"/>
      <c r="F388" s="713"/>
      <c r="G388" s="710"/>
      <c r="H388" s="710"/>
      <c r="I388" s="710"/>
      <c r="J388" s="676" t="e">
        <f t="shared" ref="J388:J451" si="6">(I388*K388/100)/(H388*G388)*1000</f>
        <v>#DIV/0!</v>
      </c>
    </row>
    <row r="389" spans="5:10" s="388" customFormat="1" x14ac:dyDescent="0.25">
      <c r="E389" s="713"/>
      <c r="F389" s="713"/>
      <c r="G389" s="710"/>
      <c r="H389" s="710"/>
      <c r="I389" s="710"/>
      <c r="J389" s="676" t="e">
        <f t="shared" si="6"/>
        <v>#DIV/0!</v>
      </c>
    </row>
    <row r="390" spans="5:10" s="388" customFormat="1" x14ac:dyDescent="0.25">
      <c r="E390" s="713"/>
      <c r="F390" s="713"/>
      <c r="G390" s="710"/>
      <c r="H390" s="710"/>
      <c r="I390" s="710"/>
      <c r="J390" s="676" t="e">
        <f t="shared" si="6"/>
        <v>#DIV/0!</v>
      </c>
    </row>
    <row r="391" spans="5:10" s="388" customFormat="1" x14ac:dyDescent="0.25">
      <c r="E391" s="713"/>
      <c r="F391" s="713"/>
      <c r="G391" s="710"/>
      <c r="H391" s="710"/>
      <c r="I391" s="710"/>
      <c r="J391" s="676" t="e">
        <f t="shared" si="6"/>
        <v>#DIV/0!</v>
      </c>
    </row>
    <row r="392" spans="5:10" s="388" customFormat="1" x14ac:dyDescent="0.25">
      <c r="E392" s="713"/>
      <c r="F392" s="713"/>
      <c r="G392" s="710"/>
      <c r="H392" s="710"/>
      <c r="I392" s="710"/>
      <c r="J392" s="676" t="e">
        <f t="shared" si="6"/>
        <v>#DIV/0!</v>
      </c>
    </row>
    <row r="393" spans="5:10" s="388" customFormat="1" x14ac:dyDescent="0.25">
      <c r="E393" s="713"/>
      <c r="F393" s="713"/>
      <c r="G393" s="710"/>
      <c r="H393" s="710"/>
      <c r="I393" s="710"/>
      <c r="J393" s="676" t="e">
        <f t="shared" si="6"/>
        <v>#DIV/0!</v>
      </c>
    </row>
    <row r="394" spans="5:10" s="388" customFormat="1" x14ac:dyDescent="0.25">
      <c r="E394" s="713"/>
      <c r="F394" s="713"/>
      <c r="G394" s="710"/>
      <c r="H394" s="710"/>
      <c r="I394" s="710"/>
      <c r="J394" s="676" t="e">
        <f t="shared" si="6"/>
        <v>#DIV/0!</v>
      </c>
    </row>
    <row r="395" spans="5:10" s="388" customFormat="1" x14ac:dyDescent="0.25">
      <c r="E395" s="713"/>
      <c r="F395" s="713"/>
      <c r="G395" s="710"/>
      <c r="H395" s="710"/>
      <c r="I395" s="710"/>
      <c r="J395" s="676" t="e">
        <f t="shared" si="6"/>
        <v>#DIV/0!</v>
      </c>
    </row>
    <row r="396" spans="5:10" s="388" customFormat="1" x14ac:dyDescent="0.25">
      <c r="E396" s="713"/>
      <c r="F396" s="713"/>
      <c r="G396" s="710"/>
      <c r="H396" s="710"/>
      <c r="I396" s="710"/>
      <c r="J396" s="676" t="e">
        <f t="shared" si="6"/>
        <v>#DIV/0!</v>
      </c>
    </row>
    <row r="397" spans="5:10" s="388" customFormat="1" x14ac:dyDescent="0.25">
      <c r="E397" s="713"/>
      <c r="F397" s="713"/>
      <c r="G397" s="710"/>
      <c r="H397" s="710"/>
      <c r="I397" s="710"/>
      <c r="J397" s="676" t="e">
        <f t="shared" si="6"/>
        <v>#DIV/0!</v>
      </c>
    </row>
    <row r="398" spans="5:10" s="388" customFormat="1" x14ac:dyDescent="0.25">
      <c r="E398" s="713"/>
      <c r="F398" s="713"/>
      <c r="G398" s="710"/>
      <c r="H398" s="710"/>
      <c r="I398" s="710"/>
      <c r="J398" s="676" t="e">
        <f t="shared" si="6"/>
        <v>#DIV/0!</v>
      </c>
    </row>
    <row r="399" spans="5:10" s="388" customFormat="1" x14ac:dyDescent="0.25">
      <c r="E399" s="713"/>
      <c r="F399" s="713"/>
      <c r="G399" s="710"/>
      <c r="H399" s="710"/>
      <c r="I399" s="710"/>
      <c r="J399" s="676" t="e">
        <f t="shared" si="6"/>
        <v>#DIV/0!</v>
      </c>
    </row>
    <row r="400" spans="5:10" s="388" customFormat="1" x14ac:dyDescent="0.25">
      <c r="E400" s="713"/>
      <c r="F400" s="713"/>
      <c r="G400" s="710"/>
      <c r="H400" s="710"/>
      <c r="I400" s="710"/>
      <c r="J400" s="676" t="e">
        <f t="shared" si="6"/>
        <v>#DIV/0!</v>
      </c>
    </row>
    <row r="401" spans="5:10" s="388" customFormat="1" x14ac:dyDescent="0.25">
      <c r="E401" s="713"/>
      <c r="F401" s="713"/>
      <c r="G401" s="710"/>
      <c r="H401" s="710"/>
      <c r="I401" s="710"/>
      <c r="J401" s="676" t="e">
        <f t="shared" si="6"/>
        <v>#DIV/0!</v>
      </c>
    </row>
    <row r="402" spans="5:10" s="388" customFormat="1" x14ac:dyDescent="0.25">
      <c r="E402" s="713"/>
      <c r="F402" s="713"/>
      <c r="G402" s="710"/>
      <c r="H402" s="710"/>
      <c r="I402" s="710"/>
      <c r="J402" s="676" t="e">
        <f t="shared" si="6"/>
        <v>#DIV/0!</v>
      </c>
    </row>
    <row r="403" spans="5:10" s="388" customFormat="1" x14ac:dyDescent="0.25">
      <c r="E403" s="713"/>
      <c r="F403" s="713"/>
      <c r="G403" s="710"/>
      <c r="H403" s="710"/>
      <c r="I403" s="710"/>
      <c r="J403" s="676" t="e">
        <f t="shared" si="6"/>
        <v>#DIV/0!</v>
      </c>
    </row>
    <row r="404" spans="5:10" s="388" customFormat="1" x14ac:dyDescent="0.25">
      <c r="E404" s="713"/>
      <c r="F404" s="713"/>
      <c r="G404" s="710"/>
      <c r="H404" s="710"/>
      <c r="I404" s="710"/>
      <c r="J404" s="676" t="e">
        <f t="shared" si="6"/>
        <v>#DIV/0!</v>
      </c>
    </row>
    <row r="405" spans="5:10" s="388" customFormat="1" x14ac:dyDescent="0.25">
      <c r="E405" s="713"/>
      <c r="F405" s="713"/>
      <c r="G405" s="710"/>
      <c r="H405" s="710"/>
      <c r="I405" s="710"/>
      <c r="J405" s="676" t="e">
        <f t="shared" si="6"/>
        <v>#DIV/0!</v>
      </c>
    </row>
    <row r="406" spans="5:10" s="388" customFormat="1" x14ac:dyDescent="0.25">
      <c r="E406" s="713"/>
      <c r="F406" s="713"/>
      <c r="G406" s="710"/>
      <c r="H406" s="710"/>
      <c r="I406" s="710"/>
      <c r="J406" s="676" t="e">
        <f t="shared" si="6"/>
        <v>#DIV/0!</v>
      </c>
    </row>
    <row r="407" spans="5:10" s="388" customFormat="1" x14ac:dyDescent="0.25">
      <c r="E407" s="713"/>
      <c r="F407" s="713"/>
      <c r="G407" s="710"/>
      <c r="H407" s="710"/>
      <c r="I407" s="710"/>
      <c r="J407" s="676" t="e">
        <f t="shared" si="6"/>
        <v>#DIV/0!</v>
      </c>
    </row>
    <row r="408" spans="5:10" s="388" customFormat="1" x14ac:dyDescent="0.25">
      <c r="E408" s="713"/>
      <c r="F408" s="713"/>
      <c r="G408" s="710"/>
      <c r="H408" s="710"/>
      <c r="I408" s="710"/>
      <c r="J408" s="676" t="e">
        <f t="shared" si="6"/>
        <v>#DIV/0!</v>
      </c>
    </row>
    <row r="409" spans="5:10" s="388" customFormat="1" x14ac:dyDescent="0.25">
      <c r="E409" s="713"/>
      <c r="F409" s="713"/>
      <c r="G409" s="710"/>
      <c r="H409" s="710"/>
      <c r="I409" s="710"/>
      <c r="J409" s="676" t="e">
        <f t="shared" si="6"/>
        <v>#DIV/0!</v>
      </c>
    </row>
    <row r="410" spans="5:10" s="388" customFormat="1" x14ac:dyDescent="0.25">
      <c r="E410" s="713"/>
      <c r="F410" s="713"/>
      <c r="G410" s="710"/>
      <c r="H410" s="710"/>
      <c r="I410" s="710"/>
      <c r="J410" s="676" t="e">
        <f t="shared" si="6"/>
        <v>#DIV/0!</v>
      </c>
    </row>
    <row r="411" spans="5:10" s="388" customFormat="1" x14ac:dyDescent="0.25">
      <c r="E411" s="713"/>
      <c r="F411" s="713"/>
      <c r="G411" s="710"/>
      <c r="H411" s="710"/>
      <c r="I411" s="710"/>
      <c r="J411" s="676" t="e">
        <f t="shared" si="6"/>
        <v>#DIV/0!</v>
      </c>
    </row>
    <row r="412" spans="5:10" s="388" customFormat="1" x14ac:dyDescent="0.25">
      <c r="E412" s="713"/>
      <c r="F412" s="713"/>
      <c r="G412" s="710"/>
      <c r="H412" s="710"/>
      <c r="I412" s="710"/>
      <c r="J412" s="676" t="e">
        <f t="shared" si="6"/>
        <v>#DIV/0!</v>
      </c>
    </row>
    <row r="413" spans="5:10" s="388" customFormat="1" x14ac:dyDescent="0.25">
      <c r="E413" s="713"/>
      <c r="F413" s="713"/>
      <c r="G413" s="710"/>
      <c r="H413" s="710"/>
      <c r="I413" s="710"/>
      <c r="J413" s="676" t="e">
        <f t="shared" si="6"/>
        <v>#DIV/0!</v>
      </c>
    </row>
    <row r="414" spans="5:10" s="388" customFormat="1" x14ac:dyDescent="0.25">
      <c r="E414" s="713"/>
      <c r="F414" s="713"/>
      <c r="G414" s="710"/>
      <c r="H414" s="710"/>
      <c r="I414" s="710"/>
      <c r="J414" s="676" t="e">
        <f t="shared" si="6"/>
        <v>#DIV/0!</v>
      </c>
    </row>
    <row r="415" spans="5:10" s="388" customFormat="1" x14ac:dyDescent="0.25">
      <c r="E415" s="713"/>
      <c r="F415" s="713"/>
      <c r="G415" s="710"/>
      <c r="H415" s="710"/>
      <c r="I415" s="710"/>
      <c r="J415" s="676" t="e">
        <f t="shared" si="6"/>
        <v>#DIV/0!</v>
      </c>
    </row>
    <row r="416" spans="5:10" s="388" customFormat="1" x14ac:dyDescent="0.25">
      <c r="E416" s="713"/>
      <c r="F416" s="713"/>
      <c r="G416" s="710"/>
      <c r="H416" s="710"/>
      <c r="I416" s="710"/>
      <c r="J416" s="676" t="e">
        <f t="shared" si="6"/>
        <v>#DIV/0!</v>
      </c>
    </row>
    <row r="417" spans="5:10" s="388" customFormat="1" x14ac:dyDescent="0.25">
      <c r="E417" s="713"/>
      <c r="F417" s="713"/>
      <c r="G417" s="710"/>
      <c r="H417" s="710"/>
      <c r="I417" s="710"/>
      <c r="J417" s="676" t="e">
        <f t="shared" si="6"/>
        <v>#DIV/0!</v>
      </c>
    </row>
    <row r="418" spans="5:10" s="388" customFormat="1" x14ac:dyDescent="0.25">
      <c r="E418" s="713"/>
      <c r="F418" s="713"/>
      <c r="G418" s="710"/>
      <c r="H418" s="710"/>
      <c r="I418" s="710"/>
      <c r="J418" s="676" t="e">
        <f t="shared" si="6"/>
        <v>#DIV/0!</v>
      </c>
    </row>
    <row r="419" spans="5:10" s="388" customFormat="1" x14ac:dyDescent="0.25">
      <c r="E419" s="713"/>
      <c r="F419" s="713"/>
      <c r="G419" s="710"/>
      <c r="H419" s="710"/>
      <c r="I419" s="710"/>
      <c r="J419" s="676" t="e">
        <f t="shared" si="6"/>
        <v>#DIV/0!</v>
      </c>
    </row>
    <row r="420" spans="5:10" s="388" customFormat="1" x14ac:dyDescent="0.25">
      <c r="E420" s="713"/>
      <c r="F420" s="713"/>
      <c r="G420" s="710"/>
      <c r="H420" s="710"/>
      <c r="I420" s="710"/>
      <c r="J420" s="676" t="e">
        <f t="shared" si="6"/>
        <v>#DIV/0!</v>
      </c>
    </row>
    <row r="421" spans="5:10" s="388" customFormat="1" x14ac:dyDescent="0.25">
      <c r="E421" s="713"/>
      <c r="F421" s="713"/>
      <c r="G421" s="710"/>
      <c r="H421" s="710"/>
      <c r="I421" s="710"/>
      <c r="J421" s="676" t="e">
        <f t="shared" si="6"/>
        <v>#DIV/0!</v>
      </c>
    </row>
    <row r="422" spans="5:10" s="388" customFormat="1" x14ac:dyDescent="0.25">
      <c r="E422" s="713"/>
      <c r="F422" s="713"/>
      <c r="G422" s="710"/>
      <c r="H422" s="710"/>
      <c r="I422" s="710"/>
      <c r="J422" s="676" t="e">
        <f t="shared" si="6"/>
        <v>#DIV/0!</v>
      </c>
    </row>
    <row r="423" spans="5:10" s="388" customFormat="1" x14ac:dyDescent="0.25">
      <c r="E423" s="713"/>
      <c r="F423" s="713"/>
      <c r="G423" s="710"/>
      <c r="H423" s="710"/>
      <c r="I423" s="710"/>
      <c r="J423" s="676" t="e">
        <f t="shared" si="6"/>
        <v>#DIV/0!</v>
      </c>
    </row>
    <row r="424" spans="5:10" s="388" customFormat="1" x14ac:dyDescent="0.25">
      <c r="E424" s="713"/>
      <c r="F424" s="713"/>
      <c r="G424" s="710"/>
      <c r="H424" s="710"/>
      <c r="I424" s="710"/>
      <c r="J424" s="676" t="e">
        <f t="shared" si="6"/>
        <v>#DIV/0!</v>
      </c>
    </row>
    <row r="425" spans="5:10" s="388" customFormat="1" x14ac:dyDescent="0.25">
      <c r="E425" s="713"/>
      <c r="F425" s="713"/>
      <c r="G425" s="710"/>
      <c r="H425" s="710"/>
      <c r="I425" s="710"/>
      <c r="J425" s="676" t="e">
        <f t="shared" si="6"/>
        <v>#DIV/0!</v>
      </c>
    </row>
    <row r="426" spans="5:10" s="388" customFormat="1" x14ac:dyDescent="0.25">
      <c r="E426" s="713"/>
      <c r="F426" s="713"/>
      <c r="G426" s="710"/>
      <c r="H426" s="710"/>
      <c r="I426" s="710"/>
      <c r="J426" s="676" t="e">
        <f t="shared" si="6"/>
        <v>#DIV/0!</v>
      </c>
    </row>
    <row r="427" spans="5:10" s="388" customFormat="1" x14ac:dyDescent="0.25">
      <c r="E427" s="713"/>
      <c r="F427" s="713"/>
      <c r="G427" s="710"/>
      <c r="H427" s="710"/>
      <c r="I427" s="710"/>
      <c r="J427" s="676" t="e">
        <f t="shared" si="6"/>
        <v>#DIV/0!</v>
      </c>
    </row>
    <row r="428" spans="5:10" s="388" customFormat="1" x14ac:dyDescent="0.25">
      <c r="E428" s="713"/>
      <c r="F428" s="713"/>
      <c r="G428" s="710"/>
      <c r="H428" s="710"/>
      <c r="I428" s="710"/>
      <c r="J428" s="676" t="e">
        <f t="shared" si="6"/>
        <v>#DIV/0!</v>
      </c>
    </row>
    <row r="429" spans="5:10" s="388" customFormat="1" x14ac:dyDescent="0.25">
      <c r="E429" s="713"/>
      <c r="F429" s="713"/>
      <c r="G429" s="710"/>
      <c r="H429" s="710"/>
      <c r="I429" s="710"/>
      <c r="J429" s="676" t="e">
        <f t="shared" si="6"/>
        <v>#DIV/0!</v>
      </c>
    </row>
    <row r="430" spans="5:10" s="388" customFormat="1" x14ac:dyDescent="0.25">
      <c r="E430" s="713"/>
      <c r="F430" s="713"/>
      <c r="G430" s="710"/>
      <c r="H430" s="710"/>
      <c r="I430" s="710"/>
      <c r="J430" s="676" t="e">
        <f t="shared" si="6"/>
        <v>#DIV/0!</v>
      </c>
    </row>
    <row r="431" spans="5:10" s="388" customFormat="1" x14ac:dyDescent="0.25">
      <c r="E431" s="713"/>
      <c r="F431" s="713"/>
      <c r="G431" s="710"/>
      <c r="H431" s="710"/>
      <c r="I431" s="710"/>
      <c r="J431" s="676" t="e">
        <f t="shared" si="6"/>
        <v>#DIV/0!</v>
      </c>
    </row>
    <row r="432" spans="5:10" s="388" customFormat="1" x14ac:dyDescent="0.25">
      <c r="E432" s="713"/>
      <c r="F432" s="713"/>
      <c r="G432" s="710"/>
      <c r="H432" s="710"/>
      <c r="I432" s="710"/>
      <c r="J432" s="676" t="e">
        <f t="shared" si="6"/>
        <v>#DIV/0!</v>
      </c>
    </row>
    <row r="433" spans="5:10" s="388" customFormat="1" x14ac:dyDescent="0.25">
      <c r="E433" s="713"/>
      <c r="F433" s="713"/>
      <c r="G433" s="710"/>
      <c r="H433" s="710"/>
      <c r="I433" s="710"/>
      <c r="J433" s="676" t="e">
        <f t="shared" si="6"/>
        <v>#DIV/0!</v>
      </c>
    </row>
    <row r="434" spans="5:10" s="388" customFormat="1" x14ac:dyDescent="0.25">
      <c r="E434" s="713"/>
      <c r="F434" s="713"/>
      <c r="G434" s="710"/>
      <c r="H434" s="710"/>
      <c r="I434" s="710"/>
      <c r="J434" s="676" t="e">
        <f t="shared" si="6"/>
        <v>#DIV/0!</v>
      </c>
    </row>
    <row r="435" spans="5:10" s="388" customFormat="1" x14ac:dyDescent="0.25">
      <c r="E435" s="713"/>
      <c r="F435" s="713"/>
      <c r="G435" s="710"/>
      <c r="H435" s="710"/>
      <c r="I435" s="710"/>
      <c r="J435" s="676" t="e">
        <f t="shared" si="6"/>
        <v>#DIV/0!</v>
      </c>
    </row>
    <row r="436" spans="5:10" s="388" customFormat="1" x14ac:dyDescent="0.25">
      <c r="E436" s="713"/>
      <c r="F436" s="713"/>
      <c r="G436" s="710"/>
      <c r="H436" s="710"/>
      <c r="I436" s="710"/>
      <c r="J436" s="676" t="e">
        <f t="shared" si="6"/>
        <v>#DIV/0!</v>
      </c>
    </row>
    <row r="437" spans="5:10" s="388" customFormat="1" x14ac:dyDescent="0.25">
      <c r="E437" s="713"/>
      <c r="F437" s="713"/>
      <c r="G437" s="710"/>
      <c r="H437" s="710"/>
      <c r="I437" s="710"/>
      <c r="J437" s="676" t="e">
        <f t="shared" si="6"/>
        <v>#DIV/0!</v>
      </c>
    </row>
    <row r="438" spans="5:10" s="388" customFormat="1" x14ac:dyDescent="0.25">
      <c r="E438" s="713"/>
      <c r="F438" s="713"/>
      <c r="G438" s="710"/>
      <c r="H438" s="710"/>
      <c r="I438" s="710"/>
      <c r="J438" s="676" t="e">
        <f t="shared" si="6"/>
        <v>#DIV/0!</v>
      </c>
    </row>
    <row r="439" spans="5:10" s="388" customFormat="1" x14ac:dyDescent="0.25">
      <c r="E439" s="713"/>
      <c r="F439" s="713"/>
      <c r="G439" s="710"/>
      <c r="H439" s="710"/>
      <c r="I439" s="710"/>
      <c r="J439" s="676" t="e">
        <f t="shared" si="6"/>
        <v>#DIV/0!</v>
      </c>
    </row>
    <row r="440" spans="5:10" s="388" customFormat="1" x14ac:dyDescent="0.25">
      <c r="E440" s="713"/>
      <c r="F440" s="713"/>
      <c r="G440" s="710"/>
      <c r="H440" s="710"/>
      <c r="I440" s="710"/>
      <c r="J440" s="676" t="e">
        <f t="shared" si="6"/>
        <v>#DIV/0!</v>
      </c>
    </row>
    <row r="441" spans="5:10" s="388" customFormat="1" x14ac:dyDescent="0.25">
      <c r="E441" s="713"/>
      <c r="F441" s="713"/>
      <c r="G441" s="710"/>
      <c r="H441" s="710"/>
      <c r="I441" s="710"/>
      <c r="J441" s="676" t="e">
        <f t="shared" si="6"/>
        <v>#DIV/0!</v>
      </c>
    </row>
    <row r="442" spans="5:10" s="388" customFormat="1" x14ac:dyDescent="0.25">
      <c r="E442" s="713"/>
      <c r="F442" s="713"/>
      <c r="G442" s="710"/>
      <c r="H442" s="710"/>
      <c r="I442" s="710"/>
      <c r="J442" s="676" t="e">
        <f t="shared" si="6"/>
        <v>#DIV/0!</v>
      </c>
    </row>
    <row r="443" spans="5:10" s="388" customFormat="1" x14ac:dyDescent="0.25">
      <c r="E443" s="713"/>
      <c r="F443" s="713"/>
      <c r="G443" s="710"/>
      <c r="H443" s="710"/>
      <c r="I443" s="710"/>
      <c r="J443" s="676" t="e">
        <f t="shared" si="6"/>
        <v>#DIV/0!</v>
      </c>
    </row>
    <row r="444" spans="5:10" s="388" customFormat="1" x14ac:dyDescent="0.25">
      <c r="E444" s="713"/>
      <c r="F444" s="713"/>
      <c r="G444" s="710"/>
      <c r="H444" s="710"/>
      <c r="I444" s="710"/>
      <c r="J444" s="676" t="e">
        <f t="shared" si="6"/>
        <v>#DIV/0!</v>
      </c>
    </row>
    <row r="445" spans="5:10" s="388" customFormat="1" x14ac:dyDescent="0.25">
      <c r="E445" s="713"/>
      <c r="F445" s="713"/>
      <c r="G445" s="710"/>
      <c r="H445" s="710"/>
      <c r="I445" s="710"/>
      <c r="J445" s="676" t="e">
        <f t="shared" si="6"/>
        <v>#DIV/0!</v>
      </c>
    </row>
    <row r="446" spans="5:10" s="388" customFormat="1" x14ac:dyDescent="0.25">
      <c r="E446" s="713"/>
      <c r="F446" s="713"/>
      <c r="G446" s="710"/>
      <c r="H446" s="710"/>
      <c r="I446" s="710"/>
      <c r="J446" s="676" t="e">
        <f t="shared" si="6"/>
        <v>#DIV/0!</v>
      </c>
    </row>
    <row r="447" spans="5:10" s="388" customFormat="1" x14ac:dyDescent="0.25">
      <c r="E447" s="713"/>
      <c r="F447" s="713"/>
      <c r="G447" s="710"/>
      <c r="H447" s="710"/>
      <c r="I447" s="710"/>
      <c r="J447" s="676" t="e">
        <f t="shared" si="6"/>
        <v>#DIV/0!</v>
      </c>
    </row>
    <row r="448" spans="5:10" s="388" customFormat="1" x14ac:dyDescent="0.25">
      <c r="E448" s="713"/>
      <c r="F448" s="713"/>
      <c r="G448" s="710"/>
      <c r="H448" s="710"/>
      <c r="I448" s="710"/>
      <c r="J448" s="676" t="e">
        <f t="shared" si="6"/>
        <v>#DIV/0!</v>
      </c>
    </row>
    <row r="449" spans="5:10" s="388" customFormat="1" x14ac:dyDescent="0.25">
      <c r="E449" s="713"/>
      <c r="F449" s="713"/>
      <c r="G449" s="710"/>
      <c r="H449" s="710"/>
      <c r="I449" s="710"/>
      <c r="J449" s="676" t="e">
        <f t="shared" si="6"/>
        <v>#DIV/0!</v>
      </c>
    </row>
    <row r="450" spans="5:10" s="388" customFormat="1" x14ac:dyDescent="0.25">
      <c r="E450" s="713"/>
      <c r="F450" s="713"/>
      <c r="G450" s="710"/>
      <c r="H450" s="710"/>
      <c r="I450" s="710"/>
      <c r="J450" s="676" t="e">
        <f t="shared" si="6"/>
        <v>#DIV/0!</v>
      </c>
    </row>
    <row r="451" spans="5:10" s="388" customFormat="1" x14ac:dyDescent="0.25">
      <c r="E451" s="713"/>
      <c r="F451" s="713"/>
      <c r="G451" s="710"/>
      <c r="H451" s="710"/>
      <c r="I451" s="710"/>
      <c r="J451" s="676" t="e">
        <f t="shared" si="6"/>
        <v>#DIV/0!</v>
      </c>
    </row>
    <row r="452" spans="5:10" s="388" customFormat="1" x14ac:dyDescent="0.25">
      <c r="E452" s="713"/>
      <c r="F452" s="713"/>
      <c r="G452" s="710"/>
      <c r="H452" s="710"/>
      <c r="I452" s="710"/>
      <c r="J452" s="676" t="e">
        <f t="shared" ref="J452" si="7">(I452*K452/100)/(H452*G452)*1000</f>
        <v>#DIV/0!</v>
      </c>
    </row>
  </sheetData>
  <mergeCells count="2">
    <mergeCell ref="A1:Q1"/>
    <mergeCell ref="A2:Q2"/>
  </mergeCells>
  <conditionalFormatting sqref="L3:Q3">
    <cfRule type="cellIs" dxfId="23" priority="22" operator="equal">
      <formula>"sous surveillance"</formula>
    </cfRule>
  </conditionalFormatting>
  <conditionalFormatting sqref="F12">
    <cfRule type="expression" dxfId="22" priority="19">
      <formula>AND($T12="Empty")</formula>
    </cfRule>
  </conditionalFormatting>
  <conditionalFormatting sqref="G12">
    <cfRule type="expression" dxfId="21" priority="18">
      <formula>AND($T12="Empty")</formula>
    </cfRule>
  </conditionalFormatting>
  <conditionalFormatting sqref="G13">
    <cfRule type="expression" dxfId="20" priority="17">
      <formula>AND($T13="Empty")</formula>
    </cfRule>
  </conditionalFormatting>
  <conditionalFormatting sqref="F13">
    <cfRule type="expression" dxfId="19" priority="16">
      <formula>AND($T13="Empty")</formula>
    </cfRule>
  </conditionalFormatting>
  <conditionalFormatting sqref="F14">
    <cfRule type="expression" dxfId="18" priority="13">
      <formula>AND($T14="Empty")</formula>
    </cfRule>
  </conditionalFormatting>
  <conditionalFormatting sqref="G21">
    <cfRule type="expression" dxfId="17" priority="12">
      <formula>AND($T21="Empty")</formula>
    </cfRule>
  </conditionalFormatting>
  <conditionalFormatting sqref="G5">
    <cfRule type="expression" dxfId="16" priority="11">
      <formula>AND($T5="Empty")</formula>
    </cfRule>
  </conditionalFormatting>
  <conditionalFormatting sqref="G7">
    <cfRule type="expression" dxfId="15" priority="10">
      <formula>AND($T7="Empty")</formula>
    </cfRule>
  </conditionalFormatting>
  <conditionalFormatting sqref="B9">
    <cfRule type="expression" dxfId="14" priority="9">
      <formula>AND($T9="Empty")</formula>
    </cfRule>
  </conditionalFormatting>
  <conditionalFormatting sqref="E9:E10">
    <cfRule type="expression" dxfId="13" priority="8">
      <formula>AND($T9="Empty")</formula>
    </cfRule>
  </conditionalFormatting>
  <conditionalFormatting sqref="G9:G10">
    <cfRule type="expression" dxfId="12" priority="7">
      <formula>AND($T9="Empty")</formula>
    </cfRule>
  </conditionalFormatting>
  <conditionalFormatting sqref="E14:E15">
    <cfRule type="expression" dxfId="11" priority="6">
      <formula>AND($T14="Empty")</formula>
    </cfRule>
  </conditionalFormatting>
  <conditionalFormatting sqref="G14:G15">
    <cfRule type="expression" dxfId="10" priority="5">
      <formula>AND($T14="Empty")</formula>
    </cfRule>
  </conditionalFormatting>
  <conditionalFormatting sqref="K14:K15">
    <cfRule type="cellIs" dxfId="9" priority="3" operator="equal">
      <formula>"Conforme"</formula>
    </cfRule>
    <cfRule type="cellIs" dxfId="8" priority="4" operator="equal">
      <formula>"Non conforme"</formula>
    </cfRule>
  </conditionalFormatting>
  <conditionalFormatting sqref="K14:K15">
    <cfRule type="expression" dxfId="7" priority="2">
      <formula>AND($T14="Empty")</formula>
    </cfRule>
  </conditionalFormatting>
  <conditionalFormatting sqref="G55">
    <cfRule type="expression" dxfId="6" priority="1">
      <formula>AND($T55="Empty")</formula>
    </cfRule>
  </conditionalFormatting>
  <dataValidations count="8">
    <dataValidation type="list" allowBlank="1" showInputMessage="1" showErrorMessage="1" sqref="L5">
      <formula1>"medium NBA, H2O mQ, DMSO, eq NaOH, EtOH, eq HCl,Citrate buffer, directly in ACSF"</formula1>
    </dataValidation>
    <dataValidation type="list" allowBlank="1" showInputMessage="1" showErrorMessage="1" sqref="L37 L35 L7:L8 L33 L10:L15 L29:L31">
      <formula1>"Medium NBA, H2O mQ, DMSO, eq NaOH, EtOH, eq HCl,Citrate buffer, directly in ACSF"</formula1>
    </dataValidation>
    <dataValidation type="list" allowBlank="1" showInputMessage="1" showErrorMessage="1" sqref="L22">
      <formula1>"H2O mQ, DMSO, eq NaOH, EtOH, eq HCl,Citrate buffer, directly in ACSF,PBS sterile"</formula1>
    </dataValidation>
    <dataValidation errorStyle="warning" allowBlank="1" showInputMessage="1" showErrorMessage="1" sqref="L3:P3 K14:K15"/>
    <dataValidation type="list" allowBlank="1" showInputMessage="1" showErrorMessage="1" sqref="L32 L9 L16 L4 L38:L54 L20:L21 L34 L36 L6 L23:L28">
      <formula1>"H2O mQ, DMSO, eq NaOH, EtOH, eq HCl,Citrate buffer, directly in ACSF"</formula1>
    </dataValidation>
    <dataValidation type="list" allowBlank="1" showInputMessage="1" showErrorMessage="1" sqref="L17">
      <formula1>"H2O mQ, DMSO, eq NaOH, EtOH, eq HCl,Citrate buffer, directly in ACSF, O2 sucrose"</formula1>
    </dataValidation>
    <dataValidation type="list" allowBlank="1" showInputMessage="1" sqref="O45">
      <formula1>INDIRECT(C45)</formula1>
    </dataValidation>
    <dataValidation type="list" allowBlank="1" showInputMessage="1" showErrorMessage="1" sqref="L18:L19">
      <formula1>"PBS, H2O mQ, DMSO, eq NaOH, EtOH, eq HCl,Citrate buffer, directly in ACSF, O2 sucrose"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  <pageSetUpPr fitToPage="1"/>
  </sheetPr>
  <dimension ref="A1:R452"/>
  <sheetViews>
    <sheetView tabSelected="1" zoomScale="70" zoomScaleNormal="70" workbookViewId="0">
      <pane ySplit="4" topLeftCell="A5" activePane="bottomLeft" state="frozen"/>
      <selection pane="bottomLeft" activeCell="N16" sqref="N16"/>
    </sheetView>
  </sheetViews>
  <sheetFormatPr baseColWidth="10" defaultColWidth="11.42578125" defaultRowHeight="15" x14ac:dyDescent="0.25"/>
  <cols>
    <col min="1" max="1" width="19" style="223" customWidth="1"/>
    <col min="2" max="2" width="30.85546875" style="388" customWidth="1"/>
    <col min="3" max="3" width="13.5703125" style="388" customWidth="1"/>
    <col min="4" max="4" width="21" style="388" customWidth="1"/>
    <col min="5" max="5" width="36" style="388" bestFit="1" customWidth="1"/>
    <col min="6" max="6" width="12.140625" style="224" bestFit="1" customWidth="1"/>
    <col min="7" max="7" width="11.85546875" style="388" customWidth="1"/>
    <col min="8" max="8" width="16.7109375" style="388" customWidth="1"/>
    <col min="9" max="9" width="20.85546875" style="388" customWidth="1"/>
    <col min="10" max="10" width="14.7109375" style="716" customWidth="1"/>
    <col min="11" max="11" width="10.5703125" style="716" customWidth="1"/>
    <col min="12" max="12" width="16.140625" style="388" customWidth="1"/>
    <col min="13" max="13" width="17.7109375" style="388" customWidth="1"/>
    <col min="14" max="14" width="17.7109375" style="533" customWidth="1"/>
    <col min="15" max="15" width="11.42578125" style="388"/>
    <col min="16" max="16" width="28.140625" style="388" customWidth="1"/>
    <col min="17" max="16384" width="11.42578125" style="388"/>
  </cols>
  <sheetData>
    <row r="1" spans="1:17" ht="50.25" customHeight="1" x14ac:dyDescent="0.25">
      <c r="A1" s="772" t="s">
        <v>1340</v>
      </c>
      <c r="B1" s="772"/>
      <c r="C1" s="772"/>
      <c r="D1" s="773"/>
      <c r="E1" s="773"/>
      <c r="F1" s="773"/>
      <c r="G1" s="773"/>
      <c r="H1" s="773"/>
      <c r="I1" s="773"/>
      <c r="J1" s="773"/>
      <c r="K1" s="773"/>
      <c r="L1" s="773"/>
      <c r="M1" s="773"/>
      <c r="N1" s="773"/>
      <c r="O1" s="773"/>
      <c r="P1" s="773"/>
      <c r="Q1" s="773"/>
    </row>
    <row r="2" spans="1:17" ht="24" customHeight="1" x14ac:dyDescent="0.25">
      <c r="A2" s="774">
        <v>43374</v>
      </c>
      <c r="B2" s="775"/>
      <c r="C2" s="775"/>
      <c r="D2" s="776"/>
      <c r="E2" s="776"/>
      <c r="F2" s="776"/>
      <c r="G2" s="776"/>
      <c r="H2" s="776"/>
      <c r="I2" s="776"/>
      <c r="J2" s="776"/>
      <c r="K2" s="776"/>
      <c r="L2" s="776"/>
      <c r="M2" s="776"/>
      <c r="N2" s="776"/>
      <c r="O2" s="776"/>
      <c r="P2" s="776"/>
      <c r="Q2" s="776"/>
    </row>
    <row r="3" spans="1:17" ht="30" customHeight="1" x14ac:dyDescent="0.25">
      <c r="A3" s="209" t="s">
        <v>4</v>
      </c>
      <c r="B3" s="88" t="s">
        <v>10</v>
      </c>
      <c r="C3" s="210" t="s">
        <v>1232</v>
      </c>
      <c r="D3" s="196" t="s">
        <v>2791</v>
      </c>
      <c r="E3" s="538" t="s">
        <v>2792</v>
      </c>
      <c r="F3" s="539" t="s">
        <v>2793</v>
      </c>
      <c r="G3" s="447" t="s">
        <v>23</v>
      </c>
      <c r="H3" s="447" t="s">
        <v>2817</v>
      </c>
      <c r="I3" s="540" t="s">
        <v>2818</v>
      </c>
      <c r="J3" s="540" t="s">
        <v>2819</v>
      </c>
      <c r="K3" s="541" t="s">
        <v>1344</v>
      </c>
      <c r="L3" s="447" t="s">
        <v>37</v>
      </c>
      <c r="M3" s="447" t="s">
        <v>1237</v>
      </c>
      <c r="N3" s="447" t="s">
        <v>2794</v>
      </c>
      <c r="O3" s="447" t="s">
        <v>1239</v>
      </c>
      <c r="P3" s="447" t="s">
        <v>1240</v>
      </c>
      <c r="Q3" s="447" t="s">
        <v>1241</v>
      </c>
    </row>
    <row r="4" spans="1:17" ht="30" customHeight="1" x14ac:dyDescent="0.25">
      <c r="A4" s="649">
        <v>43371</v>
      </c>
      <c r="B4" s="650" t="s">
        <v>3343</v>
      </c>
      <c r="C4" s="651" t="s">
        <v>170</v>
      </c>
      <c r="D4" s="717" t="s">
        <v>701</v>
      </c>
      <c r="E4" s="718" t="s">
        <v>3596</v>
      </c>
      <c r="F4" s="719" t="s">
        <v>1461</v>
      </c>
      <c r="G4" s="718">
        <v>523.17999999999995</v>
      </c>
      <c r="H4" s="718">
        <v>1.5</v>
      </c>
      <c r="I4" s="718">
        <v>8.2900000000000001E-2</v>
      </c>
      <c r="J4" s="547">
        <f>(I4*K4/100)/(H4*G4)*1000</f>
        <v>0.10035424391860034</v>
      </c>
      <c r="K4" s="720">
        <v>95</v>
      </c>
      <c r="L4" s="549" t="s">
        <v>49</v>
      </c>
      <c r="M4" s="549" t="s">
        <v>1430</v>
      </c>
      <c r="N4" s="721"/>
      <c r="O4" s="722" t="s">
        <v>2602</v>
      </c>
      <c r="P4" s="722"/>
      <c r="Q4" s="722"/>
    </row>
    <row r="5" spans="1:17" ht="30" customHeight="1" x14ac:dyDescent="0.25">
      <c r="A5" s="219">
        <v>43374</v>
      </c>
      <c r="B5" s="88" t="s">
        <v>3602</v>
      </c>
      <c r="C5" s="220" t="s">
        <v>40</v>
      </c>
      <c r="D5" s="535" t="s">
        <v>701</v>
      </c>
      <c r="E5" s="552" t="s">
        <v>243</v>
      </c>
      <c r="F5" s="553">
        <v>43374</v>
      </c>
      <c r="G5" s="554"/>
      <c r="H5" s="554"/>
      <c r="I5" s="555"/>
      <c r="J5" s="674" t="e">
        <f>(I5*K5/100)/(H5*G5)*1000</f>
        <v>#DIV/0!</v>
      </c>
      <c r="K5" s="555"/>
      <c r="L5" s="556"/>
      <c r="M5" s="556"/>
      <c r="N5" s="557"/>
      <c r="O5" s="556"/>
      <c r="P5" s="558"/>
      <c r="Q5" s="556"/>
    </row>
    <row r="6" spans="1:17" ht="23.25" x14ac:dyDescent="0.25">
      <c r="A6" s="723">
        <v>43374</v>
      </c>
      <c r="B6" s="724" t="s">
        <v>3603</v>
      </c>
      <c r="C6" s="725" t="s">
        <v>170</v>
      </c>
      <c r="D6" s="726" t="s">
        <v>701</v>
      </c>
      <c r="E6" s="727" t="s">
        <v>2558</v>
      </c>
      <c r="F6" s="728">
        <v>43350</v>
      </c>
      <c r="G6" s="744">
        <v>89.09</v>
      </c>
      <c r="H6" s="729" t="s">
        <v>61</v>
      </c>
      <c r="I6" s="730">
        <v>814</v>
      </c>
      <c r="J6" s="674" t="e">
        <f>(I6*K6/100)/(H6*G6)*1000</f>
        <v>#VALUE!</v>
      </c>
      <c r="K6" s="730">
        <v>99</v>
      </c>
      <c r="L6" s="737" t="s">
        <v>49</v>
      </c>
      <c r="M6" s="737" t="s">
        <v>3604</v>
      </c>
      <c r="N6" s="738"/>
      <c r="O6" s="737" t="s">
        <v>2648</v>
      </c>
      <c r="P6" s="739"/>
      <c r="Q6" s="737"/>
    </row>
    <row r="7" spans="1:17" ht="23.25" x14ac:dyDescent="0.25">
      <c r="A7" s="731">
        <v>43375</v>
      </c>
      <c r="B7" s="724" t="s">
        <v>3605</v>
      </c>
      <c r="C7" s="725" t="s">
        <v>170</v>
      </c>
      <c r="D7" s="732" t="s">
        <v>230</v>
      </c>
      <c r="E7" s="733" t="s">
        <v>3271</v>
      </c>
      <c r="F7" s="728">
        <v>43375</v>
      </c>
      <c r="G7" s="729">
        <v>404.63</v>
      </c>
      <c r="H7" s="729">
        <v>10</v>
      </c>
      <c r="I7" s="730">
        <v>1.35</v>
      </c>
      <c r="J7" s="674">
        <f t="shared" ref="J7:J68" si="0">(I7*K7/100)/(H7*G7)*1000</f>
        <v>0.33363813854632629</v>
      </c>
      <c r="K7" s="730">
        <v>100</v>
      </c>
      <c r="L7" s="737" t="s">
        <v>212</v>
      </c>
      <c r="M7" s="737" t="s">
        <v>2042</v>
      </c>
      <c r="N7" s="738" t="s">
        <v>3606</v>
      </c>
      <c r="O7" s="737" t="s">
        <v>2648</v>
      </c>
      <c r="P7" s="739" t="s">
        <v>3607</v>
      </c>
      <c r="Q7" s="737"/>
    </row>
    <row r="8" spans="1:17" ht="23.25" x14ac:dyDescent="0.25">
      <c r="A8" s="731">
        <v>43376</v>
      </c>
      <c r="B8" s="724" t="s">
        <v>3489</v>
      </c>
      <c r="C8" s="725" t="s">
        <v>40</v>
      </c>
      <c r="D8" s="732" t="s">
        <v>701</v>
      </c>
      <c r="E8" s="733" t="s">
        <v>1588</v>
      </c>
      <c r="F8" s="745">
        <v>43332</v>
      </c>
      <c r="G8" s="744">
        <v>284.74</v>
      </c>
      <c r="H8" s="729">
        <v>0.5</v>
      </c>
      <c r="I8" s="730">
        <v>1.93</v>
      </c>
      <c r="J8" s="674">
        <f t="shared" si="0"/>
        <v>13.556226733160075</v>
      </c>
      <c r="K8" s="730">
        <v>100</v>
      </c>
      <c r="L8" s="737" t="s">
        <v>49</v>
      </c>
      <c r="M8" s="737" t="s">
        <v>1430</v>
      </c>
      <c r="N8" s="738" t="s">
        <v>3461</v>
      </c>
      <c r="O8" s="737" t="s">
        <v>2648</v>
      </c>
      <c r="P8" s="739"/>
      <c r="Q8" s="737"/>
    </row>
    <row r="9" spans="1:17" ht="23.25" x14ac:dyDescent="0.25">
      <c r="A9" s="746">
        <v>43374</v>
      </c>
      <c r="B9" s="724" t="s">
        <v>3602</v>
      </c>
      <c r="C9" s="725" t="s">
        <v>40</v>
      </c>
      <c r="D9" s="726" t="s">
        <v>701</v>
      </c>
      <c r="E9" s="736" t="s">
        <v>243</v>
      </c>
      <c r="F9" s="728">
        <v>43374</v>
      </c>
      <c r="G9" s="734">
        <v>217.74</v>
      </c>
      <c r="H9" s="729">
        <v>1</v>
      </c>
      <c r="I9" s="730">
        <v>1.86</v>
      </c>
      <c r="J9" s="674">
        <f t="shared" si="0"/>
        <v>8.5422981537613669</v>
      </c>
      <c r="K9" s="730">
        <v>100</v>
      </c>
      <c r="L9" s="737" t="s">
        <v>49</v>
      </c>
      <c r="M9" s="737" t="s">
        <v>1431</v>
      </c>
      <c r="N9" s="740" t="s">
        <v>3461</v>
      </c>
      <c r="O9" s="737" t="s">
        <v>2648</v>
      </c>
      <c r="P9" s="739"/>
      <c r="Q9" s="737"/>
    </row>
    <row r="10" spans="1:17" ht="23.25" x14ac:dyDescent="0.25">
      <c r="A10" s="731">
        <v>43376</v>
      </c>
      <c r="B10" s="724" t="s">
        <v>3603</v>
      </c>
      <c r="C10" s="725" t="s">
        <v>170</v>
      </c>
      <c r="D10" s="726" t="s">
        <v>701</v>
      </c>
      <c r="E10" s="727" t="s">
        <v>2558</v>
      </c>
      <c r="F10" s="728">
        <v>43350</v>
      </c>
      <c r="G10" s="744">
        <v>89.09</v>
      </c>
      <c r="H10" s="729" t="s">
        <v>61</v>
      </c>
      <c r="I10" s="730">
        <v>18000</v>
      </c>
      <c r="J10" s="674" t="e">
        <f t="shared" si="0"/>
        <v>#VALUE!</v>
      </c>
      <c r="K10" s="730">
        <v>99</v>
      </c>
      <c r="L10" s="737" t="s">
        <v>49</v>
      </c>
      <c r="M10" s="737" t="s">
        <v>2121</v>
      </c>
      <c r="N10" s="738" t="s">
        <v>1034</v>
      </c>
      <c r="O10" s="737" t="s">
        <v>2648</v>
      </c>
      <c r="P10" s="739"/>
      <c r="Q10" s="737"/>
    </row>
    <row r="11" spans="1:17" ht="23.25" x14ac:dyDescent="0.25">
      <c r="A11" s="731">
        <v>43376</v>
      </c>
      <c r="B11" s="724" t="s">
        <v>3614</v>
      </c>
      <c r="C11" s="725" t="s">
        <v>40</v>
      </c>
      <c r="D11" s="726" t="s">
        <v>701</v>
      </c>
      <c r="E11" s="747" t="s">
        <v>3597</v>
      </c>
      <c r="F11" s="735">
        <v>43169</v>
      </c>
      <c r="G11" s="729"/>
      <c r="H11" s="734"/>
      <c r="I11" s="734">
        <v>501.23</v>
      </c>
      <c r="J11" s="674" t="e">
        <f t="shared" si="0"/>
        <v>#DIV/0!</v>
      </c>
      <c r="K11" s="741"/>
      <c r="L11" s="737" t="s">
        <v>49</v>
      </c>
      <c r="M11" s="729" t="s">
        <v>3604</v>
      </c>
      <c r="N11" s="742" t="s">
        <v>3611</v>
      </c>
      <c r="O11" s="743" t="s">
        <v>2648</v>
      </c>
      <c r="P11" s="739"/>
      <c r="Q11" s="737"/>
    </row>
    <row r="12" spans="1:17" ht="23.25" x14ac:dyDescent="0.25">
      <c r="A12" s="731">
        <v>43376</v>
      </c>
      <c r="B12" s="724" t="s">
        <v>3615</v>
      </c>
      <c r="C12" s="725" t="s">
        <v>40</v>
      </c>
      <c r="D12" s="726" t="s">
        <v>701</v>
      </c>
      <c r="E12" s="733" t="s">
        <v>3616</v>
      </c>
      <c r="F12" s="728">
        <v>43376</v>
      </c>
      <c r="G12" s="729"/>
      <c r="H12" s="729"/>
      <c r="I12" s="730"/>
      <c r="J12" s="674" t="e">
        <f t="shared" si="0"/>
        <v>#DIV/0!</v>
      </c>
      <c r="K12" s="730"/>
      <c r="L12" s="737"/>
      <c r="M12" s="737"/>
      <c r="N12" s="742" t="s">
        <v>3611</v>
      </c>
      <c r="O12" s="743" t="s">
        <v>2648</v>
      </c>
      <c r="P12" s="739"/>
      <c r="Q12" s="737"/>
    </row>
    <row r="13" spans="1:17" ht="23.25" x14ac:dyDescent="0.25">
      <c r="A13" s="731">
        <v>43377</v>
      </c>
      <c r="B13" s="724" t="s">
        <v>3489</v>
      </c>
      <c r="C13" s="725" t="s">
        <v>40</v>
      </c>
      <c r="D13" s="726" t="s">
        <v>701</v>
      </c>
      <c r="E13" s="727" t="s">
        <v>1588</v>
      </c>
      <c r="F13" s="728">
        <v>43332</v>
      </c>
      <c r="G13" s="734">
        <v>284.74</v>
      </c>
      <c r="H13" s="729">
        <v>1</v>
      </c>
      <c r="I13" s="730">
        <v>1.98</v>
      </c>
      <c r="J13" s="674">
        <f t="shared" si="0"/>
        <v>6.9537121584603501</v>
      </c>
      <c r="K13" s="730">
        <v>100</v>
      </c>
      <c r="L13" s="737" t="s">
        <v>212</v>
      </c>
      <c r="M13" s="737" t="s">
        <v>3192</v>
      </c>
      <c r="N13" s="740" t="s">
        <v>3461</v>
      </c>
      <c r="O13" s="737" t="s">
        <v>3286</v>
      </c>
      <c r="P13" s="739"/>
      <c r="Q13" s="737"/>
    </row>
    <row r="14" spans="1:17" ht="27.75" customHeight="1" x14ac:dyDescent="0.25">
      <c r="A14" s="731"/>
      <c r="B14" s="724"/>
      <c r="C14" s="725"/>
      <c r="D14" s="732"/>
      <c r="E14" s="733"/>
      <c r="F14" s="728"/>
      <c r="G14" s="729"/>
      <c r="H14" s="729"/>
      <c r="I14" s="730"/>
      <c r="J14" s="674" t="e">
        <f t="shared" si="0"/>
        <v>#DIV/0!</v>
      </c>
      <c r="K14" s="730"/>
      <c r="L14" s="737"/>
      <c r="M14" s="737"/>
      <c r="N14" s="738"/>
      <c r="O14" s="737"/>
      <c r="P14" s="739"/>
      <c r="Q14" s="737"/>
    </row>
    <row r="15" spans="1:17" ht="23.25" x14ac:dyDescent="0.25">
      <c r="A15" s="731"/>
      <c r="B15" s="724"/>
      <c r="C15" s="725"/>
      <c r="D15" s="732"/>
      <c r="E15" s="733"/>
      <c r="F15" s="728"/>
      <c r="G15" s="729"/>
      <c r="H15" s="729"/>
      <c r="I15" s="730"/>
      <c r="J15" s="674" t="e">
        <f t="shared" si="0"/>
        <v>#DIV/0!</v>
      </c>
      <c r="K15" s="730"/>
      <c r="L15" s="737"/>
      <c r="M15" s="737"/>
      <c r="N15" s="738"/>
      <c r="O15" s="737"/>
      <c r="P15" s="739"/>
      <c r="Q15" s="737"/>
    </row>
    <row r="16" spans="1:17" ht="23.25" x14ac:dyDescent="0.25">
      <c r="A16" s="731"/>
      <c r="B16" s="724"/>
      <c r="C16" s="725"/>
      <c r="D16" s="732"/>
      <c r="E16" s="733"/>
      <c r="F16" s="728"/>
      <c r="G16" s="729"/>
      <c r="H16" s="729"/>
      <c r="I16" s="730"/>
      <c r="J16" s="674" t="e">
        <f t="shared" si="0"/>
        <v>#DIV/0!</v>
      </c>
      <c r="K16" s="730"/>
      <c r="L16" s="737"/>
      <c r="M16" s="737"/>
      <c r="N16" s="738"/>
      <c r="O16" s="737"/>
      <c r="P16" s="739"/>
      <c r="Q16" s="737"/>
    </row>
    <row r="17" spans="1:18" ht="23.25" x14ac:dyDescent="0.25">
      <c r="A17" s="731"/>
      <c r="B17" s="724"/>
      <c r="C17" s="725"/>
      <c r="D17" s="732"/>
      <c r="E17" s="733"/>
      <c r="F17" s="728"/>
      <c r="G17" s="729"/>
      <c r="H17" s="729"/>
      <c r="I17" s="730"/>
      <c r="J17" s="674" t="e">
        <f t="shared" si="0"/>
        <v>#DIV/0!</v>
      </c>
      <c r="K17" s="730"/>
      <c r="L17" s="737"/>
      <c r="M17" s="737"/>
      <c r="N17" s="738"/>
      <c r="O17" s="737"/>
      <c r="P17" s="739"/>
      <c r="Q17" s="737"/>
    </row>
    <row r="18" spans="1:18" ht="23.25" x14ac:dyDescent="0.25">
      <c r="A18" s="731"/>
      <c r="B18" s="724"/>
      <c r="C18" s="725"/>
      <c r="D18" s="732"/>
      <c r="E18" s="727"/>
      <c r="F18" s="728"/>
      <c r="G18" s="729"/>
      <c r="H18" s="729"/>
      <c r="I18" s="730"/>
      <c r="J18" s="674" t="e">
        <f t="shared" si="0"/>
        <v>#DIV/0!</v>
      </c>
      <c r="K18" s="730"/>
      <c r="L18" s="737"/>
      <c r="M18" s="737"/>
      <c r="N18" s="740"/>
      <c r="O18" s="737"/>
      <c r="P18" s="739"/>
      <c r="Q18" s="737"/>
    </row>
    <row r="19" spans="1:18" ht="23.25" x14ac:dyDescent="0.25">
      <c r="A19" s="731"/>
      <c r="B19" s="724"/>
      <c r="C19" s="725"/>
      <c r="D19" s="732"/>
      <c r="E19" s="733"/>
      <c r="F19" s="728"/>
      <c r="G19" s="729"/>
      <c r="H19" s="729"/>
      <c r="I19" s="730"/>
      <c r="J19" s="674" t="e">
        <f t="shared" si="0"/>
        <v>#DIV/0!</v>
      </c>
      <c r="K19" s="730"/>
      <c r="L19" s="737"/>
      <c r="M19" s="737"/>
      <c r="N19" s="738"/>
      <c r="O19" s="737"/>
      <c r="P19" s="739"/>
      <c r="Q19" s="737"/>
    </row>
    <row r="20" spans="1:18" ht="23.25" x14ac:dyDescent="0.25">
      <c r="A20" s="731"/>
      <c r="B20" s="724"/>
      <c r="C20" s="725"/>
      <c r="D20" s="732"/>
      <c r="E20" s="733"/>
      <c r="F20" s="728"/>
      <c r="G20" s="729"/>
      <c r="H20" s="729"/>
      <c r="I20" s="730"/>
      <c r="J20" s="674" t="e">
        <f t="shared" si="0"/>
        <v>#DIV/0!</v>
      </c>
      <c r="K20" s="730"/>
      <c r="L20" s="737"/>
      <c r="M20" s="737"/>
      <c r="N20" s="738"/>
      <c r="O20" s="737"/>
      <c r="P20" s="739"/>
      <c r="Q20" s="739"/>
    </row>
    <row r="21" spans="1:18" ht="23.25" x14ac:dyDescent="0.25">
      <c r="A21" s="731"/>
      <c r="B21" s="724"/>
      <c r="C21" s="725"/>
      <c r="D21" s="726"/>
      <c r="E21" s="727"/>
      <c r="F21" s="728"/>
      <c r="G21" s="734"/>
      <c r="H21" s="729"/>
      <c r="I21" s="730"/>
      <c r="J21" s="674" t="e">
        <f t="shared" si="0"/>
        <v>#DIV/0!</v>
      </c>
      <c r="K21" s="730"/>
      <c r="L21" s="737"/>
      <c r="M21" s="737"/>
      <c r="N21" s="740"/>
      <c r="O21" s="737"/>
      <c r="P21" s="739"/>
      <c r="Q21" s="737"/>
    </row>
    <row r="22" spans="1:18" ht="23.25" x14ac:dyDescent="0.25">
      <c r="A22" s="731"/>
      <c r="B22" s="724"/>
      <c r="C22" s="725"/>
      <c r="D22" s="732"/>
      <c r="E22" s="733"/>
      <c r="F22" s="728"/>
      <c r="G22" s="729"/>
      <c r="H22" s="729"/>
      <c r="I22" s="730"/>
      <c r="J22" s="674" t="e">
        <f t="shared" si="0"/>
        <v>#DIV/0!</v>
      </c>
      <c r="K22" s="730"/>
      <c r="L22" s="737"/>
      <c r="M22" s="737"/>
      <c r="N22" s="738"/>
      <c r="O22" s="737"/>
      <c r="P22" s="739"/>
      <c r="Q22" s="737"/>
    </row>
    <row r="23" spans="1:18" ht="23.25" x14ac:dyDescent="0.25">
      <c r="A23" s="731"/>
      <c r="B23" s="724"/>
      <c r="C23" s="725"/>
      <c r="D23" s="732"/>
      <c r="E23" s="733"/>
      <c r="F23" s="728"/>
      <c r="G23" s="729"/>
      <c r="H23" s="729"/>
      <c r="I23" s="730"/>
      <c r="J23" s="674" t="e">
        <f t="shared" si="0"/>
        <v>#DIV/0!</v>
      </c>
      <c r="K23" s="730"/>
      <c r="L23" s="737"/>
      <c r="M23" s="737"/>
      <c r="N23" s="738"/>
      <c r="O23" s="737"/>
      <c r="P23" s="739"/>
      <c r="Q23" s="737"/>
    </row>
    <row r="24" spans="1:18" ht="23.25" x14ac:dyDescent="0.25">
      <c r="A24" s="731"/>
      <c r="B24" s="724"/>
      <c r="C24" s="725"/>
      <c r="D24" s="732"/>
      <c r="E24" s="733"/>
      <c r="F24" s="728"/>
      <c r="G24" s="729"/>
      <c r="H24" s="729"/>
      <c r="I24" s="730"/>
      <c r="J24" s="674" t="e">
        <f t="shared" si="0"/>
        <v>#DIV/0!</v>
      </c>
      <c r="K24" s="730"/>
      <c r="L24" s="737"/>
      <c r="M24" s="737"/>
      <c r="N24" s="738"/>
      <c r="O24" s="737"/>
      <c r="P24" s="739"/>
      <c r="Q24" s="737"/>
    </row>
    <row r="25" spans="1:18" ht="23.25" x14ac:dyDescent="0.25">
      <c r="A25" s="731"/>
      <c r="B25" s="724"/>
      <c r="C25" s="725"/>
      <c r="D25" s="732"/>
      <c r="E25" s="733"/>
      <c r="F25" s="728"/>
      <c r="G25" s="729"/>
      <c r="H25" s="729"/>
      <c r="I25" s="730"/>
      <c r="J25" s="674" t="e">
        <f t="shared" si="0"/>
        <v>#DIV/0!</v>
      </c>
      <c r="K25" s="730"/>
      <c r="L25" s="737"/>
      <c r="M25" s="737"/>
      <c r="N25" s="738"/>
      <c r="O25" s="737"/>
      <c r="P25" s="739"/>
      <c r="Q25" s="737"/>
    </row>
    <row r="26" spans="1:18" ht="24.75" customHeight="1" x14ac:dyDescent="0.25">
      <c r="A26" s="731"/>
      <c r="B26" s="724"/>
      <c r="C26" s="725"/>
      <c r="D26" s="732"/>
      <c r="E26" s="733"/>
      <c r="F26" s="728"/>
      <c r="G26" s="729"/>
      <c r="H26" s="729"/>
      <c r="I26" s="730"/>
      <c r="J26" s="674" t="e">
        <f t="shared" si="0"/>
        <v>#DIV/0!</v>
      </c>
      <c r="K26" s="730"/>
      <c r="L26" s="737"/>
      <c r="M26" s="737"/>
      <c r="N26" s="738"/>
      <c r="O26" s="737"/>
      <c r="P26" s="739"/>
      <c r="Q26" s="739"/>
      <c r="R26" s="222"/>
    </row>
    <row r="27" spans="1:18" ht="23.25" x14ac:dyDescent="0.25">
      <c r="A27" s="731"/>
      <c r="B27" s="724"/>
      <c r="C27" s="725"/>
      <c r="D27" s="732"/>
      <c r="E27" s="733"/>
      <c r="F27" s="728"/>
      <c r="G27" s="729"/>
      <c r="H27" s="729"/>
      <c r="I27" s="730"/>
      <c r="J27" s="674" t="e">
        <f t="shared" si="0"/>
        <v>#DIV/0!</v>
      </c>
      <c r="K27" s="730"/>
      <c r="L27" s="737"/>
      <c r="M27" s="737"/>
      <c r="N27" s="738"/>
      <c r="O27" s="737"/>
      <c r="P27" s="739"/>
      <c r="Q27" s="737"/>
    </row>
    <row r="28" spans="1:18" ht="23.25" x14ac:dyDescent="0.25">
      <c r="A28" s="731"/>
      <c r="B28" s="724"/>
      <c r="C28" s="725"/>
      <c r="D28" s="732"/>
      <c r="E28" s="733"/>
      <c r="F28" s="728"/>
      <c r="G28" s="729"/>
      <c r="H28" s="729"/>
      <c r="I28" s="730"/>
      <c r="J28" s="674" t="e">
        <f t="shared" si="0"/>
        <v>#DIV/0!</v>
      </c>
      <c r="K28" s="730"/>
      <c r="L28" s="737"/>
      <c r="M28" s="737"/>
      <c r="N28" s="738"/>
      <c r="O28" s="737"/>
      <c r="P28" s="739"/>
      <c r="Q28" s="739"/>
    </row>
    <row r="29" spans="1:18" ht="23.25" x14ac:dyDescent="0.25">
      <c r="A29" s="731"/>
      <c r="B29" s="724"/>
      <c r="C29" s="725"/>
      <c r="D29" s="732"/>
      <c r="E29" s="733"/>
      <c r="F29" s="728"/>
      <c r="G29" s="729"/>
      <c r="H29" s="729"/>
      <c r="I29" s="730"/>
      <c r="J29" s="674" t="e">
        <f t="shared" si="0"/>
        <v>#DIV/0!</v>
      </c>
      <c r="K29" s="730"/>
      <c r="L29" s="737"/>
      <c r="M29" s="737"/>
      <c r="N29" s="738"/>
      <c r="O29" s="737"/>
      <c r="P29" s="739"/>
      <c r="Q29" s="737"/>
    </row>
    <row r="30" spans="1:18" ht="23.25" x14ac:dyDescent="0.25">
      <c r="A30" s="731"/>
      <c r="B30" s="724"/>
      <c r="C30" s="725"/>
      <c r="D30" s="732"/>
      <c r="E30" s="733"/>
      <c r="F30" s="728"/>
      <c r="G30" s="729"/>
      <c r="H30" s="729"/>
      <c r="I30" s="730"/>
      <c r="J30" s="674" t="e">
        <f t="shared" si="0"/>
        <v>#DIV/0!</v>
      </c>
      <c r="K30" s="730"/>
      <c r="L30" s="737"/>
      <c r="M30" s="737"/>
      <c r="N30" s="738"/>
      <c r="O30" s="737"/>
      <c r="P30" s="739"/>
      <c r="Q30" s="737"/>
    </row>
    <row r="31" spans="1:18" ht="23.25" x14ac:dyDescent="0.25">
      <c r="A31" s="731"/>
      <c r="B31" s="724"/>
      <c r="C31" s="725"/>
      <c r="D31" s="732"/>
      <c r="E31" s="733"/>
      <c r="F31" s="728"/>
      <c r="G31" s="729"/>
      <c r="H31" s="729"/>
      <c r="I31" s="730"/>
      <c r="J31" s="674" t="e">
        <f t="shared" si="0"/>
        <v>#DIV/0!</v>
      </c>
      <c r="K31" s="730"/>
      <c r="L31" s="737"/>
      <c r="M31" s="737"/>
      <c r="N31" s="738"/>
      <c r="O31" s="737"/>
      <c r="P31" s="739"/>
      <c r="Q31" s="737"/>
    </row>
    <row r="32" spans="1:18" ht="23.25" x14ac:dyDescent="0.25">
      <c r="A32" s="731"/>
      <c r="B32" s="724"/>
      <c r="C32" s="725"/>
      <c r="D32" s="732"/>
      <c r="E32" s="733"/>
      <c r="F32" s="728"/>
      <c r="G32" s="729"/>
      <c r="H32" s="729"/>
      <c r="I32" s="730"/>
      <c r="J32" s="674" t="e">
        <f t="shared" si="0"/>
        <v>#DIV/0!</v>
      </c>
      <c r="K32" s="730"/>
      <c r="L32" s="737"/>
      <c r="M32" s="737"/>
      <c r="N32" s="738"/>
      <c r="O32" s="737"/>
      <c r="P32" s="739"/>
      <c r="Q32" s="737"/>
    </row>
    <row r="33" spans="1:17" ht="23.25" x14ac:dyDescent="0.25">
      <c r="A33" s="731"/>
      <c r="B33" s="724"/>
      <c r="C33" s="725"/>
      <c r="D33" s="726"/>
      <c r="E33" s="736"/>
      <c r="F33" s="728"/>
      <c r="G33" s="729"/>
      <c r="H33" s="729"/>
      <c r="I33" s="730"/>
      <c r="J33" s="674" t="e">
        <f t="shared" si="0"/>
        <v>#DIV/0!</v>
      </c>
      <c r="K33" s="730"/>
      <c r="L33" s="737"/>
      <c r="M33" s="737"/>
      <c r="N33" s="738"/>
      <c r="O33" s="737"/>
      <c r="P33" s="739"/>
      <c r="Q33" s="737"/>
    </row>
    <row r="34" spans="1:17" ht="23.25" x14ac:dyDescent="0.25">
      <c r="A34" s="731"/>
      <c r="B34" s="724"/>
      <c r="C34" s="725"/>
      <c r="D34" s="726"/>
      <c r="E34" s="736"/>
      <c r="F34" s="728"/>
      <c r="G34" s="729"/>
      <c r="H34" s="729"/>
      <c r="I34" s="730"/>
      <c r="J34" s="674" t="e">
        <f t="shared" si="0"/>
        <v>#DIV/0!</v>
      </c>
      <c r="K34" s="730"/>
      <c r="L34" s="737"/>
      <c r="M34" s="737"/>
      <c r="N34" s="738"/>
      <c r="O34" s="737"/>
      <c r="P34" s="739"/>
      <c r="Q34" s="737"/>
    </row>
    <row r="35" spans="1:17" ht="23.25" x14ac:dyDescent="0.25">
      <c r="A35" s="731"/>
      <c r="B35" s="724"/>
      <c r="C35" s="725"/>
      <c r="D35" s="732"/>
      <c r="E35" s="733"/>
      <c r="F35" s="728"/>
      <c r="G35" s="729"/>
      <c r="H35" s="729"/>
      <c r="I35" s="730"/>
      <c r="J35" s="674" t="e">
        <f t="shared" si="0"/>
        <v>#DIV/0!</v>
      </c>
      <c r="K35" s="730"/>
      <c r="L35" s="737"/>
      <c r="M35" s="737"/>
      <c r="N35" s="738"/>
      <c r="O35" s="737"/>
      <c r="P35" s="739"/>
      <c r="Q35" s="737"/>
    </row>
    <row r="36" spans="1:17" ht="23.25" x14ac:dyDescent="0.25">
      <c r="A36" s="731"/>
      <c r="B36" s="724"/>
      <c r="C36" s="725"/>
      <c r="D36" s="732"/>
      <c r="E36" s="733"/>
      <c r="F36" s="728"/>
      <c r="G36" s="729"/>
      <c r="H36" s="729"/>
      <c r="I36" s="730"/>
      <c r="J36" s="674" t="e">
        <f t="shared" si="0"/>
        <v>#DIV/0!</v>
      </c>
      <c r="K36" s="730"/>
      <c r="L36" s="737"/>
      <c r="M36" s="737"/>
      <c r="N36" s="738"/>
      <c r="O36" s="737"/>
      <c r="P36" s="739"/>
      <c r="Q36" s="737"/>
    </row>
    <row r="37" spans="1:17" ht="23.25" x14ac:dyDescent="0.25">
      <c r="A37" s="731"/>
      <c r="B37" s="724"/>
      <c r="C37" s="725"/>
      <c r="D37" s="732"/>
      <c r="E37" s="733"/>
      <c r="F37" s="728"/>
      <c r="G37" s="729"/>
      <c r="H37" s="729"/>
      <c r="I37" s="730"/>
      <c r="J37" s="674" t="e">
        <f t="shared" si="0"/>
        <v>#DIV/0!</v>
      </c>
      <c r="K37" s="730"/>
      <c r="L37" s="737"/>
      <c r="M37" s="737"/>
      <c r="N37" s="738"/>
      <c r="O37" s="737"/>
      <c r="P37" s="739"/>
      <c r="Q37" s="737"/>
    </row>
    <row r="38" spans="1:17" ht="23.25" x14ac:dyDescent="0.25">
      <c r="A38" s="731"/>
      <c r="B38" s="724"/>
      <c r="C38" s="725"/>
      <c r="D38" s="732"/>
      <c r="E38" s="733"/>
      <c r="F38" s="728"/>
      <c r="G38" s="729"/>
      <c r="H38" s="729"/>
      <c r="I38" s="730"/>
      <c r="J38" s="674" t="e">
        <f t="shared" si="0"/>
        <v>#DIV/0!</v>
      </c>
      <c r="K38" s="730"/>
      <c r="L38" s="737"/>
      <c r="M38" s="737"/>
      <c r="N38" s="738"/>
      <c r="O38" s="737"/>
      <c r="P38" s="739"/>
      <c r="Q38" s="737"/>
    </row>
    <row r="39" spans="1:17" ht="23.25" x14ac:dyDescent="0.25">
      <c r="A39" s="731"/>
      <c r="B39" s="724"/>
      <c r="C39" s="725"/>
      <c r="D39" s="732"/>
      <c r="E39" s="733"/>
      <c r="F39" s="728"/>
      <c r="G39" s="729"/>
      <c r="H39" s="729"/>
      <c r="I39" s="730"/>
      <c r="J39" s="674" t="e">
        <f t="shared" si="0"/>
        <v>#DIV/0!</v>
      </c>
      <c r="K39" s="730"/>
      <c r="L39" s="737"/>
      <c r="M39" s="737"/>
      <c r="N39" s="738"/>
      <c r="O39" s="737"/>
      <c r="P39" s="739"/>
      <c r="Q39" s="737"/>
    </row>
    <row r="40" spans="1:17" ht="23.25" x14ac:dyDescent="0.25">
      <c r="A40" s="731"/>
      <c r="B40" s="724"/>
      <c r="C40" s="725"/>
      <c r="D40" s="732"/>
      <c r="E40" s="733"/>
      <c r="F40" s="728"/>
      <c r="G40" s="729"/>
      <c r="H40" s="729"/>
      <c r="I40" s="730"/>
      <c r="J40" s="674" t="e">
        <f t="shared" si="0"/>
        <v>#DIV/0!</v>
      </c>
      <c r="K40" s="730"/>
      <c r="L40" s="737"/>
      <c r="M40" s="737"/>
      <c r="N40" s="738"/>
      <c r="O40" s="737"/>
      <c r="P40" s="739"/>
      <c r="Q40" s="737"/>
    </row>
    <row r="41" spans="1:17" ht="23.25" x14ac:dyDescent="0.25">
      <c r="A41" s="731"/>
      <c r="B41" s="724"/>
      <c r="C41" s="725"/>
      <c r="D41" s="732"/>
      <c r="E41" s="733"/>
      <c r="F41" s="728"/>
      <c r="G41" s="729"/>
      <c r="H41" s="729"/>
      <c r="I41" s="730"/>
      <c r="J41" s="674" t="e">
        <f t="shared" si="0"/>
        <v>#DIV/0!</v>
      </c>
      <c r="K41" s="730"/>
      <c r="L41" s="737"/>
      <c r="M41" s="737"/>
      <c r="N41" s="738"/>
      <c r="O41" s="737"/>
      <c r="P41" s="739"/>
      <c r="Q41" s="737"/>
    </row>
    <row r="42" spans="1:17" ht="23.25" x14ac:dyDescent="0.25">
      <c r="A42" s="731"/>
      <c r="B42" s="724"/>
      <c r="C42" s="725"/>
      <c r="D42" s="732"/>
      <c r="E42" s="733"/>
      <c r="F42" s="728"/>
      <c r="G42" s="729"/>
      <c r="H42" s="729"/>
      <c r="I42" s="730"/>
      <c r="J42" s="674" t="e">
        <f t="shared" si="0"/>
        <v>#DIV/0!</v>
      </c>
      <c r="K42" s="730"/>
      <c r="L42" s="737"/>
      <c r="M42" s="737"/>
      <c r="N42" s="738"/>
      <c r="O42" s="737"/>
      <c r="P42" s="739"/>
      <c r="Q42" s="737"/>
    </row>
    <row r="43" spans="1:17" ht="23.25" x14ac:dyDescent="0.25">
      <c r="A43" s="731"/>
      <c r="B43" s="724"/>
      <c r="C43" s="725"/>
      <c r="D43" s="732"/>
      <c r="E43" s="733"/>
      <c r="F43" s="728"/>
      <c r="G43" s="729"/>
      <c r="H43" s="729"/>
      <c r="I43" s="730"/>
      <c r="J43" s="674" t="e">
        <f t="shared" si="0"/>
        <v>#DIV/0!</v>
      </c>
      <c r="K43" s="730"/>
      <c r="L43" s="737"/>
      <c r="M43" s="737"/>
      <c r="N43" s="738"/>
      <c r="O43" s="737"/>
      <c r="P43" s="739"/>
      <c r="Q43" s="737"/>
    </row>
    <row r="44" spans="1:17" ht="23.25" x14ac:dyDescent="0.25">
      <c r="A44" s="731"/>
      <c r="B44" s="724"/>
      <c r="C44" s="725"/>
      <c r="D44" s="732"/>
      <c r="E44" s="733"/>
      <c r="F44" s="728"/>
      <c r="G44" s="729"/>
      <c r="H44" s="729"/>
      <c r="I44" s="730"/>
      <c r="J44" s="674" t="e">
        <f t="shared" si="0"/>
        <v>#DIV/0!</v>
      </c>
      <c r="K44" s="730"/>
      <c r="L44" s="737"/>
      <c r="M44" s="737"/>
      <c r="N44" s="738"/>
      <c r="O44" s="737"/>
      <c r="P44" s="739"/>
      <c r="Q44" s="737"/>
    </row>
    <row r="45" spans="1:17" ht="23.25" x14ac:dyDescent="0.25">
      <c r="A45" s="731"/>
      <c r="B45" s="724"/>
      <c r="C45" s="725"/>
      <c r="D45" s="732"/>
      <c r="E45" s="733"/>
      <c r="F45" s="728"/>
      <c r="G45" s="729"/>
      <c r="H45" s="729"/>
      <c r="I45" s="730"/>
      <c r="J45" s="674" t="e">
        <f t="shared" si="0"/>
        <v>#DIV/0!</v>
      </c>
      <c r="K45" s="730"/>
      <c r="L45" s="737"/>
      <c r="M45" s="737"/>
      <c r="N45" s="738"/>
      <c r="O45" s="737"/>
      <c r="P45" s="739"/>
      <c r="Q45" s="737"/>
    </row>
    <row r="46" spans="1:17" x14ac:dyDescent="0.25">
      <c r="E46" s="567"/>
      <c r="F46" s="568"/>
      <c r="G46" s="567"/>
      <c r="H46" s="567"/>
      <c r="I46" s="567"/>
      <c r="J46" s="674" t="e">
        <f t="shared" si="0"/>
        <v>#DIV/0!</v>
      </c>
      <c r="K46" s="564"/>
      <c r="L46" s="567"/>
      <c r="M46" s="567"/>
      <c r="N46" s="569"/>
      <c r="O46" s="567"/>
      <c r="P46" s="567"/>
      <c r="Q46" s="567"/>
    </row>
    <row r="47" spans="1:17" x14ac:dyDescent="0.25">
      <c r="E47" s="567"/>
      <c r="F47" s="568"/>
      <c r="G47" s="567"/>
      <c r="H47" s="567"/>
      <c r="I47" s="567"/>
      <c r="J47" s="674" t="e">
        <f t="shared" si="0"/>
        <v>#DIV/0!</v>
      </c>
      <c r="K47" s="564"/>
      <c r="L47" s="567"/>
      <c r="M47" s="567"/>
      <c r="N47" s="569"/>
      <c r="O47" s="567"/>
      <c r="P47" s="567"/>
      <c r="Q47" s="567"/>
    </row>
    <row r="48" spans="1:17" x14ac:dyDescent="0.25">
      <c r="E48" s="567"/>
      <c r="F48" s="568"/>
      <c r="G48" s="567"/>
      <c r="H48" s="567"/>
      <c r="I48" s="567"/>
      <c r="J48" s="674" t="e">
        <f t="shared" si="0"/>
        <v>#DIV/0!</v>
      </c>
      <c r="K48" s="564"/>
      <c r="L48" s="567"/>
      <c r="M48" s="567"/>
      <c r="N48" s="569"/>
      <c r="O48" s="567"/>
      <c r="P48" s="567"/>
      <c r="Q48" s="567"/>
    </row>
    <row r="49" spans="5:17" s="388" customFormat="1" x14ac:dyDescent="0.25">
      <c r="E49" s="567"/>
      <c r="F49" s="570"/>
      <c r="G49" s="567"/>
      <c r="H49" s="567"/>
      <c r="I49" s="567"/>
      <c r="J49" s="674" t="e">
        <f t="shared" si="0"/>
        <v>#DIV/0!</v>
      </c>
      <c r="K49" s="564"/>
      <c r="L49" s="567"/>
      <c r="M49" s="567"/>
      <c r="N49" s="569"/>
      <c r="O49" s="567"/>
      <c r="P49" s="567"/>
      <c r="Q49" s="567"/>
    </row>
    <row r="50" spans="5:17" s="388" customFormat="1" x14ac:dyDescent="0.25">
      <c r="E50" s="567"/>
      <c r="F50" s="570"/>
      <c r="G50" s="567"/>
      <c r="H50" s="567"/>
      <c r="I50" s="567"/>
      <c r="J50" s="674" t="e">
        <f t="shared" si="0"/>
        <v>#DIV/0!</v>
      </c>
      <c r="K50" s="564"/>
      <c r="L50" s="567"/>
      <c r="M50" s="567"/>
      <c r="N50" s="569"/>
      <c r="O50" s="567"/>
      <c r="P50" s="567"/>
      <c r="Q50" s="567"/>
    </row>
    <row r="51" spans="5:17" s="388" customFormat="1" x14ac:dyDescent="0.25">
      <c r="E51" s="567"/>
      <c r="F51" s="570"/>
      <c r="G51" s="567"/>
      <c r="H51" s="567"/>
      <c r="I51" s="567"/>
      <c r="J51" s="674" t="e">
        <f t="shared" si="0"/>
        <v>#DIV/0!</v>
      </c>
      <c r="K51" s="564"/>
      <c r="L51" s="567"/>
      <c r="M51" s="567"/>
      <c r="N51" s="569"/>
      <c r="O51" s="567"/>
      <c r="P51" s="567"/>
      <c r="Q51" s="567"/>
    </row>
    <row r="52" spans="5:17" s="388" customFormat="1" x14ac:dyDescent="0.25">
      <c r="E52" s="567"/>
      <c r="F52" s="570"/>
      <c r="G52" s="567"/>
      <c r="H52" s="567"/>
      <c r="I52" s="567"/>
      <c r="J52" s="674" t="e">
        <f t="shared" si="0"/>
        <v>#DIV/0!</v>
      </c>
      <c r="K52" s="564"/>
      <c r="L52" s="567"/>
      <c r="M52" s="567"/>
      <c r="N52" s="569"/>
      <c r="O52" s="567"/>
      <c r="P52" s="567"/>
      <c r="Q52" s="567"/>
    </row>
    <row r="53" spans="5:17" s="388" customFormat="1" x14ac:dyDescent="0.25">
      <c r="E53" s="567"/>
      <c r="F53" s="570"/>
      <c r="G53" s="567"/>
      <c r="H53" s="567"/>
      <c r="I53" s="567"/>
      <c r="J53" s="674" t="e">
        <f t="shared" si="0"/>
        <v>#DIV/0!</v>
      </c>
      <c r="K53" s="564"/>
      <c r="L53" s="567"/>
      <c r="M53" s="567"/>
      <c r="N53" s="569"/>
      <c r="O53" s="567"/>
      <c r="P53" s="567"/>
      <c r="Q53" s="567"/>
    </row>
    <row r="54" spans="5:17" s="388" customFormat="1" x14ac:dyDescent="0.25">
      <c r="E54" s="567"/>
      <c r="F54" s="570"/>
      <c r="G54" s="567"/>
      <c r="H54" s="567"/>
      <c r="I54" s="567"/>
      <c r="J54" s="674" t="e">
        <f t="shared" si="0"/>
        <v>#DIV/0!</v>
      </c>
      <c r="K54" s="564"/>
      <c r="L54" s="567"/>
      <c r="M54" s="567"/>
      <c r="N54" s="569"/>
      <c r="O54" s="567"/>
      <c r="P54" s="567"/>
      <c r="Q54" s="567"/>
    </row>
    <row r="55" spans="5:17" s="388" customFormat="1" x14ac:dyDescent="0.25">
      <c r="E55" s="567"/>
      <c r="F55" s="570"/>
      <c r="G55" s="567"/>
      <c r="H55" s="567"/>
      <c r="I55" s="567"/>
      <c r="J55" s="674" t="e">
        <f t="shared" si="0"/>
        <v>#DIV/0!</v>
      </c>
      <c r="K55" s="564"/>
      <c r="L55" s="567"/>
      <c r="M55" s="567"/>
      <c r="N55" s="569"/>
      <c r="O55" s="567"/>
      <c r="P55" s="567"/>
      <c r="Q55" s="567"/>
    </row>
    <row r="56" spans="5:17" s="388" customFormat="1" x14ac:dyDescent="0.25">
      <c r="E56" s="567"/>
      <c r="F56" s="570"/>
      <c r="G56" s="567"/>
      <c r="H56" s="567"/>
      <c r="I56" s="567"/>
      <c r="J56" s="674" t="e">
        <f t="shared" si="0"/>
        <v>#DIV/0!</v>
      </c>
      <c r="K56" s="564"/>
      <c r="L56" s="567"/>
      <c r="M56" s="567"/>
      <c r="N56" s="569"/>
      <c r="O56" s="567"/>
      <c r="P56" s="567"/>
      <c r="Q56" s="567"/>
    </row>
    <row r="57" spans="5:17" s="388" customFormat="1" x14ac:dyDescent="0.25">
      <c r="E57" s="567"/>
      <c r="F57" s="570"/>
      <c r="G57" s="567"/>
      <c r="H57" s="567"/>
      <c r="I57" s="567"/>
      <c r="J57" s="674" t="e">
        <f t="shared" si="0"/>
        <v>#DIV/0!</v>
      </c>
      <c r="K57" s="564"/>
      <c r="L57" s="567"/>
      <c r="M57" s="567"/>
      <c r="N57" s="569"/>
      <c r="O57" s="567"/>
      <c r="P57" s="567"/>
      <c r="Q57" s="567"/>
    </row>
    <row r="58" spans="5:17" s="388" customFormat="1" x14ac:dyDescent="0.25">
      <c r="E58" s="567"/>
      <c r="F58" s="570"/>
      <c r="G58" s="567"/>
      <c r="H58" s="567"/>
      <c r="I58" s="567"/>
      <c r="J58" s="674" t="e">
        <f t="shared" si="0"/>
        <v>#DIV/0!</v>
      </c>
      <c r="K58" s="564"/>
      <c r="L58" s="567"/>
      <c r="M58" s="567"/>
      <c r="N58" s="569"/>
      <c r="O58" s="567"/>
      <c r="P58" s="567"/>
      <c r="Q58" s="567"/>
    </row>
    <row r="59" spans="5:17" s="388" customFormat="1" x14ac:dyDescent="0.25">
      <c r="E59" s="567"/>
      <c r="F59" s="570"/>
      <c r="G59" s="567"/>
      <c r="H59" s="567"/>
      <c r="I59" s="567"/>
      <c r="J59" s="674" t="e">
        <f t="shared" si="0"/>
        <v>#DIV/0!</v>
      </c>
      <c r="K59" s="564"/>
      <c r="L59" s="567"/>
      <c r="M59" s="567"/>
      <c r="N59" s="569"/>
      <c r="O59" s="567"/>
      <c r="P59" s="567"/>
      <c r="Q59" s="567"/>
    </row>
    <row r="60" spans="5:17" s="388" customFormat="1" x14ac:dyDescent="0.25">
      <c r="E60" s="567"/>
      <c r="F60" s="570"/>
      <c r="G60" s="567"/>
      <c r="H60" s="567"/>
      <c r="I60" s="567"/>
      <c r="J60" s="674" t="e">
        <f t="shared" si="0"/>
        <v>#DIV/0!</v>
      </c>
      <c r="K60" s="564"/>
      <c r="L60" s="567"/>
      <c r="M60" s="567"/>
      <c r="N60" s="569"/>
      <c r="O60" s="567"/>
      <c r="P60" s="567"/>
      <c r="Q60" s="567"/>
    </row>
    <row r="61" spans="5:17" s="388" customFormat="1" x14ac:dyDescent="0.25">
      <c r="E61" s="567"/>
      <c r="F61" s="570"/>
      <c r="G61" s="567"/>
      <c r="H61" s="567"/>
      <c r="I61" s="567"/>
      <c r="J61" s="674" t="e">
        <f t="shared" si="0"/>
        <v>#DIV/0!</v>
      </c>
      <c r="K61" s="564"/>
      <c r="L61" s="567"/>
      <c r="M61" s="567"/>
      <c r="N61" s="569"/>
      <c r="O61" s="567"/>
      <c r="P61" s="567"/>
      <c r="Q61" s="567"/>
    </row>
    <row r="62" spans="5:17" s="388" customFormat="1" x14ac:dyDescent="0.25">
      <c r="E62" s="567"/>
      <c r="F62" s="570"/>
      <c r="G62" s="567"/>
      <c r="H62" s="567"/>
      <c r="I62" s="567"/>
      <c r="J62" s="674" t="e">
        <f t="shared" si="0"/>
        <v>#DIV/0!</v>
      </c>
      <c r="K62" s="564"/>
      <c r="L62" s="567"/>
      <c r="M62" s="567"/>
      <c r="N62" s="569"/>
      <c r="O62" s="567"/>
      <c r="P62" s="567"/>
      <c r="Q62" s="567"/>
    </row>
    <row r="63" spans="5:17" s="388" customFormat="1" x14ac:dyDescent="0.25">
      <c r="E63" s="567"/>
      <c r="F63" s="570"/>
      <c r="G63" s="567"/>
      <c r="H63" s="567"/>
      <c r="I63" s="567"/>
      <c r="J63" s="674" t="e">
        <f t="shared" si="0"/>
        <v>#DIV/0!</v>
      </c>
      <c r="K63" s="564"/>
      <c r="L63" s="567"/>
      <c r="M63" s="567"/>
      <c r="N63" s="569"/>
      <c r="O63" s="567"/>
      <c r="P63" s="567"/>
      <c r="Q63" s="567"/>
    </row>
    <row r="64" spans="5:17" s="388" customFormat="1" x14ac:dyDescent="0.25">
      <c r="E64" s="567"/>
      <c r="F64" s="570"/>
      <c r="G64" s="567"/>
      <c r="H64" s="567"/>
      <c r="I64" s="567"/>
      <c r="J64" s="674" t="e">
        <f t="shared" si="0"/>
        <v>#DIV/0!</v>
      </c>
      <c r="K64" s="564"/>
      <c r="L64" s="567"/>
      <c r="M64" s="567"/>
      <c r="N64" s="569"/>
      <c r="O64" s="567"/>
      <c r="P64" s="567"/>
      <c r="Q64" s="567"/>
    </row>
    <row r="65" spans="5:17" s="388" customFormat="1" x14ac:dyDescent="0.25">
      <c r="E65" s="567"/>
      <c r="F65" s="570"/>
      <c r="G65" s="567"/>
      <c r="H65" s="567"/>
      <c r="I65" s="567"/>
      <c r="J65" s="674" t="e">
        <f t="shared" si="0"/>
        <v>#DIV/0!</v>
      </c>
      <c r="K65" s="564"/>
      <c r="L65" s="567"/>
      <c r="M65" s="567"/>
      <c r="N65" s="569"/>
      <c r="O65" s="567"/>
      <c r="P65" s="567"/>
      <c r="Q65" s="567"/>
    </row>
    <row r="66" spans="5:17" s="388" customFormat="1" x14ac:dyDescent="0.25">
      <c r="E66" s="567"/>
      <c r="F66" s="570"/>
      <c r="G66" s="567"/>
      <c r="H66" s="567"/>
      <c r="I66" s="567"/>
      <c r="J66" s="674" t="e">
        <f t="shared" si="0"/>
        <v>#DIV/0!</v>
      </c>
      <c r="K66" s="564"/>
      <c r="L66" s="567"/>
      <c r="M66" s="567"/>
      <c r="N66" s="569"/>
      <c r="O66" s="567"/>
      <c r="P66" s="567"/>
      <c r="Q66" s="567"/>
    </row>
    <row r="67" spans="5:17" s="388" customFormat="1" x14ac:dyDescent="0.25">
      <c r="E67" s="567"/>
      <c r="F67" s="570"/>
      <c r="G67" s="567"/>
      <c r="H67" s="567"/>
      <c r="I67" s="567"/>
      <c r="J67" s="674" t="e">
        <f t="shared" si="0"/>
        <v>#DIV/0!</v>
      </c>
      <c r="K67" s="564"/>
      <c r="L67" s="567"/>
      <c r="M67" s="567"/>
      <c r="N67" s="569"/>
      <c r="O67" s="567"/>
      <c r="P67" s="567"/>
      <c r="Q67" s="567"/>
    </row>
    <row r="68" spans="5:17" s="388" customFormat="1" x14ac:dyDescent="0.25">
      <c r="E68" s="567"/>
      <c r="F68" s="570"/>
      <c r="G68" s="567"/>
      <c r="H68" s="567"/>
      <c r="I68" s="567"/>
      <c r="J68" s="674" t="e">
        <f t="shared" si="0"/>
        <v>#DIV/0!</v>
      </c>
      <c r="K68" s="564"/>
      <c r="L68" s="567"/>
      <c r="M68" s="567"/>
      <c r="N68" s="569"/>
      <c r="O68" s="567"/>
      <c r="P68" s="567"/>
      <c r="Q68" s="567"/>
    </row>
    <row r="69" spans="5:17" s="388" customFormat="1" x14ac:dyDescent="0.25">
      <c r="E69" s="567"/>
      <c r="F69" s="570"/>
      <c r="G69" s="567"/>
      <c r="H69" s="567"/>
      <c r="I69" s="567"/>
      <c r="J69" s="674" t="e">
        <f t="shared" ref="J69:J132" si="1">(I69*K69/100)/(H69*G69)*1000</f>
        <v>#DIV/0!</v>
      </c>
      <c r="K69" s="564"/>
      <c r="L69" s="567"/>
      <c r="M69" s="567"/>
      <c r="N69" s="569"/>
      <c r="O69" s="567"/>
      <c r="P69" s="567"/>
      <c r="Q69" s="567"/>
    </row>
    <row r="70" spans="5:17" s="388" customFormat="1" x14ac:dyDescent="0.25">
      <c r="E70" s="567"/>
      <c r="F70" s="570"/>
      <c r="G70" s="567"/>
      <c r="H70" s="567"/>
      <c r="I70" s="567"/>
      <c r="J70" s="674" t="e">
        <f t="shared" si="1"/>
        <v>#DIV/0!</v>
      </c>
      <c r="K70" s="564"/>
      <c r="L70" s="567"/>
      <c r="M70" s="567"/>
      <c r="N70" s="569"/>
      <c r="O70" s="567"/>
      <c r="P70" s="567"/>
      <c r="Q70" s="567"/>
    </row>
    <row r="71" spans="5:17" s="388" customFormat="1" x14ac:dyDescent="0.25">
      <c r="E71" s="567"/>
      <c r="F71" s="570"/>
      <c r="G71" s="567"/>
      <c r="H71" s="567"/>
      <c r="I71" s="567"/>
      <c r="J71" s="674" t="e">
        <f t="shared" si="1"/>
        <v>#DIV/0!</v>
      </c>
      <c r="K71" s="564"/>
      <c r="L71" s="567"/>
      <c r="M71" s="567"/>
      <c r="N71" s="569"/>
      <c r="O71" s="567"/>
      <c r="P71" s="567"/>
      <c r="Q71" s="567"/>
    </row>
    <row r="72" spans="5:17" s="388" customFormat="1" x14ac:dyDescent="0.25">
      <c r="E72" s="567"/>
      <c r="F72" s="570"/>
      <c r="G72" s="567"/>
      <c r="H72" s="567"/>
      <c r="I72" s="567"/>
      <c r="J72" s="674" t="e">
        <f t="shared" si="1"/>
        <v>#DIV/0!</v>
      </c>
      <c r="K72" s="564"/>
      <c r="L72" s="567"/>
      <c r="M72" s="567"/>
      <c r="N72" s="569"/>
      <c r="O72" s="567"/>
      <c r="P72" s="567"/>
      <c r="Q72" s="567"/>
    </row>
    <row r="73" spans="5:17" s="388" customFormat="1" x14ac:dyDescent="0.25">
      <c r="E73" s="567"/>
      <c r="F73" s="570"/>
      <c r="G73" s="567"/>
      <c r="H73" s="567"/>
      <c r="I73" s="567"/>
      <c r="J73" s="674" t="e">
        <f t="shared" si="1"/>
        <v>#DIV/0!</v>
      </c>
      <c r="K73" s="564"/>
      <c r="L73" s="567"/>
      <c r="M73" s="567"/>
      <c r="N73" s="569"/>
      <c r="O73" s="567"/>
      <c r="P73" s="567"/>
      <c r="Q73" s="567"/>
    </row>
    <row r="74" spans="5:17" s="388" customFormat="1" x14ac:dyDescent="0.25">
      <c r="E74" s="567"/>
      <c r="F74" s="570"/>
      <c r="G74" s="567"/>
      <c r="H74" s="567"/>
      <c r="I74" s="567"/>
      <c r="J74" s="674" t="e">
        <f t="shared" si="1"/>
        <v>#DIV/0!</v>
      </c>
      <c r="K74" s="564"/>
      <c r="L74" s="567"/>
      <c r="M74" s="567"/>
      <c r="N74" s="569"/>
      <c r="O74" s="567"/>
      <c r="P74" s="567"/>
      <c r="Q74" s="567"/>
    </row>
    <row r="75" spans="5:17" s="388" customFormat="1" x14ac:dyDescent="0.25">
      <c r="E75" s="567"/>
      <c r="F75" s="570"/>
      <c r="G75" s="567"/>
      <c r="H75" s="567"/>
      <c r="I75" s="567"/>
      <c r="J75" s="674" t="e">
        <f t="shared" si="1"/>
        <v>#DIV/0!</v>
      </c>
      <c r="K75" s="564"/>
      <c r="L75" s="567"/>
      <c r="M75" s="567"/>
      <c r="N75" s="569"/>
      <c r="O75" s="567"/>
      <c r="P75" s="567"/>
      <c r="Q75" s="567"/>
    </row>
    <row r="76" spans="5:17" s="388" customFormat="1" x14ac:dyDescent="0.25">
      <c r="E76" s="567"/>
      <c r="F76" s="570"/>
      <c r="G76" s="567"/>
      <c r="H76" s="567"/>
      <c r="I76" s="567"/>
      <c r="J76" s="674" t="e">
        <f t="shared" si="1"/>
        <v>#DIV/0!</v>
      </c>
      <c r="K76" s="564"/>
      <c r="L76" s="567"/>
      <c r="M76" s="567"/>
      <c r="N76" s="569"/>
      <c r="O76" s="567"/>
      <c r="P76" s="567"/>
      <c r="Q76" s="567"/>
    </row>
    <row r="77" spans="5:17" s="388" customFormat="1" x14ac:dyDescent="0.25">
      <c r="E77" s="567"/>
      <c r="F77" s="570"/>
      <c r="G77" s="567"/>
      <c r="H77" s="567"/>
      <c r="I77" s="567"/>
      <c r="J77" s="674" t="e">
        <f t="shared" si="1"/>
        <v>#DIV/0!</v>
      </c>
      <c r="K77" s="564"/>
      <c r="L77" s="567"/>
      <c r="M77" s="567"/>
      <c r="N77" s="569"/>
      <c r="O77" s="567"/>
      <c r="P77" s="567"/>
      <c r="Q77" s="567"/>
    </row>
    <row r="78" spans="5:17" s="388" customFormat="1" x14ac:dyDescent="0.25">
      <c r="E78" s="567"/>
      <c r="F78" s="570"/>
      <c r="G78" s="567"/>
      <c r="H78" s="567"/>
      <c r="I78" s="567"/>
      <c r="J78" s="674" t="e">
        <f t="shared" si="1"/>
        <v>#DIV/0!</v>
      </c>
      <c r="K78" s="564"/>
      <c r="L78" s="567"/>
      <c r="M78" s="567"/>
      <c r="N78" s="569"/>
      <c r="O78" s="567"/>
      <c r="P78" s="567"/>
      <c r="Q78" s="567"/>
    </row>
    <row r="79" spans="5:17" s="388" customFormat="1" x14ac:dyDescent="0.25">
      <c r="E79" s="567"/>
      <c r="F79" s="570"/>
      <c r="G79" s="567"/>
      <c r="H79" s="567"/>
      <c r="I79" s="567"/>
      <c r="J79" s="674" t="e">
        <f t="shared" si="1"/>
        <v>#DIV/0!</v>
      </c>
      <c r="K79" s="564"/>
      <c r="L79" s="567"/>
      <c r="M79" s="567"/>
      <c r="N79" s="569"/>
      <c r="O79" s="567"/>
      <c r="P79" s="567"/>
      <c r="Q79" s="567"/>
    </row>
    <row r="80" spans="5:17" s="388" customFormat="1" x14ac:dyDescent="0.25">
      <c r="E80" s="567"/>
      <c r="F80" s="570"/>
      <c r="G80" s="567"/>
      <c r="H80" s="567"/>
      <c r="I80" s="567"/>
      <c r="J80" s="674" t="e">
        <f t="shared" si="1"/>
        <v>#DIV/0!</v>
      </c>
      <c r="K80" s="564"/>
      <c r="L80" s="567"/>
      <c r="M80" s="567"/>
      <c r="N80" s="569"/>
      <c r="O80" s="567"/>
      <c r="P80" s="567"/>
      <c r="Q80" s="567"/>
    </row>
    <row r="81" spans="5:17" s="388" customFormat="1" x14ac:dyDescent="0.25">
      <c r="E81" s="567"/>
      <c r="F81" s="570"/>
      <c r="G81" s="567"/>
      <c r="H81" s="567"/>
      <c r="I81" s="567"/>
      <c r="J81" s="674" t="e">
        <f t="shared" si="1"/>
        <v>#DIV/0!</v>
      </c>
      <c r="K81" s="564"/>
      <c r="L81" s="567"/>
      <c r="M81" s="567"/>
      <c r="N81" s="569"/>
      <c r="O81" s="567"/>
      <c r="P81" s="567"/>
      <c r="Q81" s="567"/>
    </row>
    <row r="82" spans="5:17" s="388" customFormat="1" x14ac:dyDescent="0.25">
      <c r="E82" s="567"/>
      <c r="F82" s="570"/>
      <c r="G82" s="567"/>
      <c r="H82" s="567"/>
      <c r="I82" s="567"/>
      <c r="J82" s="674" t="e">
        <f t="shared" si="1"/>
        <v>#DIV/0!</v>
      </c>
      <c r="K82" s="564"/>
      <c r="L82" s="567"/>
      <c r="M82" s="567"/>
      <c r="N82" s="569"/>
      <c r="O82" s="567"/>
      <c r="P82" s="567"/>
      <c r="Q82" s="567"/>
    </row>
    <row r="83" spans="5:17" s="388" customFormat="1" x14ac:dyDescent="0.25">
      <c r="E83" s="567"/>
      <c r="F83" s="570"/>
      <c r="G83" s="567"/>
      <c r="H83" s="567"/>
      <c r="I83" s="567"/>
      <c r="J83" s="674" t="e">
        <f t="shared" si="1"/>
        <v>#DIV/0!</v>
      </c>
      <c r="K83" s="564"/>
      <c r="L83" s="567"/>
      <c r="M83" s="567"/>
      <c r="N83" s="569"/>
      <c r="O83" s="567"/>
      <c r="P83" s="567"/>
      <c r="Q83" s="567"/>
    </row>
    <row r="84" spans="5:17" s="388" customFormat="1" x14ac:dyDescent="0.25">
      <c r="E84" s="567"/>
      <c r="F84" s="570"/>
      <c r="G84" s="567"/>
      <c r="H84" s="567"/>
      <c r="I84" s="567"/>
      <c r="J84" s="674" t="e">
        <f t="shared" si="1"/>
        <v>#DIV/0!</v>
      </c>
      <c r="K84" s="564"/>
      <c r="L84" s="567"/>
      <c r="M84" s="567"/>
      <c r="N84" s="569"/>
      <c r="O84" s="567"/>
      <c r="P84" s="567"/>
      <c r="Q84" s="567"/>
    </row>
    <row r="85" spans="5:17" s="388" customFormat="1" x14ac:dyDescent="0.25">
      <c r="E85" s="567"/>
      <c r="F85" s="570"/>
      <c r="G85" s="567"/>
      <c r="H85" s="567"/>
      <c r="I85" s="567"/>
      <c r="J85" s="674" t="e">
        <f t="shared" si="1"/>
        <v>#DIV/0!</v>
      </c>
      <c r="K85" s="564"/>
      <c r="L85" s="567"/>
      <c r="M85" s="567"/>
      <c r="N85" s="569"/>
      <c r="O85" s="567"/>
      <c r="P85" s="567"/>
      <c r="Q85" s="567"/>
    </row>
    <row r="86" spans="5:17" s="388" customFormat="1" x14ac:dyDescent="0.25">
      <c r="E86" s="567"/>
      <c r="F86" s="570"/>
      <c r="G86" s="567"/>
      <c r="H86" s="567"/>
      <c r="I86" s="567"/>
      <c r="J86" s="674" t="e">
        <f t="shared" si="1"/>
        <v>#DIV/0!</v>
      </c>
      <c r="K86" s="564"/>
      <c r="L86" s="567"/>
      <c r="M86" s="567"/>
      <c r="N86" s="569"/>
      <c r="O86" s="567"/>
      <c r="P86" s="567"/>
      <c r="Q86" s="567"/>
    </row>
    <row r="87" spans="5:17" s="388" customFormat="1" x14ac:dyDescent="0.25">
      <c r="E87" s="567"/>
      <c r="F87" s="570"/>
      <c r="G87" s="567"/>
      <c r="H87" s="567"/>
      <c r="I87" s="567"/>
      <c r="J87" s="674" t="e">
        <f t="shared" si="1"/>
        <v>#DIV/0!</v>
      </c>
      <c r="K87" s="564"/>
      <c r="L87" s="567"/>
      <c r="M87" s="567"/>
      <c r="N87" s="569"/>
      <c r="O87" s="567"/>
      <c r="P87" s="567"/>
      <c r="Q87" s="567"/>
    </row>
    <row r="88" spans="5:17" s="388" customFormat="1" x14ac:dyDescent="0.25">
      <c r="E88" s="567"/>
      <c r="F88" s="570"/>
      <c r="G88" s="567"/>
      <c r="H88" s="567"/>
      <c r="I88" s="567"/>
      <c r="J88" s="674" t="e">
        <f t="shared" si="1"/>
        <v>#DIV/0!</v>
      </c>
      <c r="K88" s="564"/>
      <c r="L88" s="567"/>
      <c r="M88" s="567"/>
      <c r="N88" s="569"/>
      <c r="O88" s="567"/>
      <c r="P88" s="567"/>
      <c r="Q88" s="567"/>
    </row>
    <row r="89" spans="5:17" s="388" customFormat="1" x14ac:dyDescent="0.25">
      <c r="E89" s="567"/>
      <c r="F89" s="570"/>
      <c r="G89" s="567"/>
      <c r="H89" s="567"/>
      <c r="I89" s="567"/>
      <c r="J89" s="674" t="e">
        <f t="shared" si="1"/>
        <v>#DIV/0!</v>
      </c>
      <c r="K89" s="564"/>
      <c r="L89" s="567"/>
      <c r="M89" s="567"/>
      <c r="N89" s="569"/>
      <c r="O89" s="567"/>
      <c r="P89" s="567"/>
      <c r="Q89" s="567"/>
    </row>
    <row r="90" spans="5:17" s="388" customFormat="1" x14ac:dyDescent="0.25">
      <c r="E90" s="567"/>
      <c r="F90" s="570"/>
      <c r="G90" s="567"/>
      <c r="H90" s="567"/>
      <c r="I90" s="567"/>
      <c r="J90" s="674" t="e">
        <f t="shared" si="1"/>
        <v>#DIV/0!</v>
      </c>
      <c r="K90" s="564"/>
      <c r="L90" s="567"/>
      <c r="M90" s="567"/>
      <c r="N90" s="569"/>
      <c r="O90" s="567"/>
      <c r="P90" s="567"/>
      <c r="Q90" s="567"/>
    </row>
    <row r="91" spans="5:17" s="388" customFormat="1" x14ac:dyDescent="0.25">
      <c r="E91" s="567"/>
      <c r="F91" s="570"/>
      <c r="G91" s="567"/>
      <c r="H91" s="567"/>
      <c r="I91" s="567"/>
      <c r="J91" s="674" t="e">
        <f t="shared" si="1"/>
        <v>#DIV/0!</v>
      </c>
      <c r="K91" s="564"/>
      <c r="L91" s="567"/>
      <c r="M91" s="567"/>
      <c r="N91" s="569"/>
      <c r="O91" s="567"/>
      <c r="P91" s="567"/>
      <c r="Q91" s="567"/>
    </row>
    <row r="92" spans="5:17" s="388" customFormat="1" x14ac:dyDescent="0.25">
      <c r="E92" s="567"/>
      <c r="F92" s="570"/>
      <c r="G92" s="567"/>
      <c r="H92" s="567"/>
      <c r="I92" s="567"/>
      <c r="J92" s="674" t="e">
        <f t="shared" si="1"/>
        <v>#DIV/0!</v>
      </c>
      <c r="K92" s="564"/>
      <c r="L92" s="567"/>
      <c r="M92" s="567"/>
      <c r="N92" s="569"/>
      <c r="O92" s="567"/>
      <c r="P92" s="567"/>
      <c r="Q92" s="567"/>
    </row>
    <row r="93" spans="5:17" s="388" customFormat="1" x14ac:dyDescent="0.25">
      <c r="E93" s="567"/>
      <c r="F93" s="570"/>
      <c r="G93" s="567"/>
      <c r="H93" s="567"/>
      <c r="I93" s="567"/>
      <c r="J93" s="674" t="e">
        <f t="shared" si="1"/>
        <v>#DIV/0!</v>
      </c>
      <c r="K93" s="564"/>
      <c r="L93" s="567"/>
      <c r="M93" s="567"/>
      <c r="N93" s="569"/>
      <c r="O93" s="567"/>
      <c r="P93" s="567"/>
      <c r="Q93" s="567"/>
    </row>
    <row r="94" spans="5:17" s="388" customFormat="1" x14ac:dyDescent="0.25">
      <c r="E94" s="567"/>
      <c r="F94" s="570"/>
      <c r="G94" s="567"/>
      <c r="H94" s="567"/>
      <c r="I94" s="567"/>
      <c r="J94" s="674" t="e">
        <f t="shared" si="1"/>
        <v>#DIV/0!</v>
      </c>
      <c r="K94" s="564"/>
      <c r="L94" s="567"/>
      <c r="M94" s="567"/>
      <c r="N94" s="569"/>
      <c r="O94" s="567"/>
      <c r="P94" s="567"/>
      <c r="Q94" s="567"/>
    </row>
    <row r="95" spans="5:17" s="388" customFormat="1" x14ac:dyDescent="0.25">
      <c r="E95" s="567"/>
      <c r="F95" s="570"/>
      <c r="G95" s="567"/>
      <c r="H95" s="567"/>
      <c r="I95" s="567"/>
      <c r="J95" s="674" t="e">
        <f t="shared" si="1"/>
        <v>#DIV/0!</v>
      </c>
      <c r="K95" s="564"/>
      <c r="L95" s="567"/>
      <c r="M95" s="567"/>
      <c r="N95" s="569"/>
      <c r="O95" s="567"/>
      <c r="P95" s="567"/>
      <c r="Q95" s="567"/>
    </row>
    <row r="96" spans="5:17" s="388" customFormat="1" x14ac:dyDescent="0.25">
      <c r="E96" s="567"/>
      <c r="F96" s="570"/>
      <c r="G96" s="567"/>
      <c r="H96" s="567"/>
      <c r="I96" s="567"/>
      <c r="J96" s="674" t="e">
        <f t="shared" si="1"/>
        <v>#DIV/0!</v>
      </c>
      <c r="K96" s="564"/>
      <c r="L96" s="567"/>
      <c r="M96" s="567"/>
      <c r="N96" s="569"/>
      <c r="O96" s="567"/>
      <c r="P96" s="567"/>
      <c r="Q96" s="567"/>
    </row>
    <row r="97" spans="5:17" s="388" customFormat="1" x14ac:dyDescent="0.25">
      <c r="E97" s="567"/>
      <c r="F97" s="570"/>
      <c r="G97" s="567"/>
      <c r="H97" s="567"/>
      <c r="I97" s="567"/>
      <c r="J97" s="674" t="e">
        <f t="shared" si="1"/>
        <v>#DIV/0!</v>
      </c>
      <c r="K97" s="564"/>
      <c r="L97" s="567"/>
      <c r="M97" s="567"/>
      <c r="N97" s="569"/>
      <c r="O97" s="567"/>
      <c r="P97" s="567"/>
      <c r="Q97" s="567"/>
    </row>
    <row r="98" spans="5:17" s="388" customFormat="1" x14ac:dyDescent="0.25">
      <c r="E98" s="567"/>
      <c r="F98" s="570"/>
      <c r="G98" s="567"/>
      <c r="H98" s="567"/>
      <c r="I98" s="567"/>
      <c r="J98" s="674" t="e">
        <f t="shared" si="1"/>
        <v>#DIV/0!</v>
      </c>
      <c r="K98" s="564"/>
      <c r="L98" s="567"/>
      <c r="M98" s="567"/>
      <c r="N98" s="569"/>
      <c r="O98" s="567"/>
      <c r="P98" s="567"/>
      <c r="Q98" s="567"/>
    </row>
    <row r="99" spans="5:17" s="388" customFormat="1" x14ac:dyDescent="0.25">
      <c r="E99" s="567"/>
      <c r="F99" s="570"/>
      <c r="G99" s="567"/>
      <c r="H99" s="567"/>
      <c r="I99" s="567"/>
      <c r="J99" s="674" t="e">
        <f t="shared" si="1"/>
        <v>#DIV/0!</v>
      </c>
      <c r="K99" s="564"/>
      <c r="L99" s="567"/>
      <c r="M99" s="567"/>
      <c r="N99" s="569"/>
      <c r="O99" s="567"/>
      <c r="P99" s="567"/>
      <c r="Q99" s="567"/>
    </row>
    <row r="100" spans="5:17" s="388" customFormat="1" x14ac:dyDescent="0.25">
      <c r="E100" s="567"/>
      <c r="F100" s="570"/>
      <c r="G100" s="567"/>
      <c r="H100" s="567"/>
      <c r="I100" s="567"/>
      <c r="J100" s="674" t="e">
        <f t="shared" si="1"/>
        <v>#DIV/0!</v>
      </c>
      <c r="K100" s="564"/>
      <c r="L100" s="567"/>
      <c r="M100" s="567"/>
      <c r="N100" s="569"/>
      <c r="O100" s="567"/>
      <c r="P100" s="567"/>
      <c r="Q100" s="567"/>
    </row>
    <row r="101" spans="5:17" s="388" customFormat="1" x14ac:dyDescent="0.25">
      <c r="E101" s="567"/>
      <c r="F101" s="570"/>
      <c r="G101" s="567"/>
      <c r="H101" s="567"/>
      <c r="I101" s="567"/>
      <c r="J101" s="674" t="e">
        <f t="shared" si="1"/>
        <v>#DIV/0!</v>
      </c>
      <c r="K101" s="564"/>
      <c r="L101" s="567"/>
      <c r="M101" s="567"/>
      <c r="N101" s="569"/>
      <c r="O101" s="567"/>
      <c r="P101" s="567"/>
      <c r="Q101" s="567"/>
    </row>
    <row r="102" spans="5:17" s="388" customFormat="1" x14ac:dyDescent="0.25">
      <c r="E102" s="567"/>
      <c r="F102" s="570"/>
      <c r="G102" s="567"/>
      <c r="H102" s="567"/>
      <c r="I102" s="567"/>
      <c r="J102" s="674" t="e">
        <f t="shared" si="1"/>
        <v>#DIV/0!</v>
      </c>
      <c r="K102" s="564"/>
      <c r="L102" s="567"/>
      <c r="M102" s="567"/>
      <c r="N102" s="569"/>
      <c r="O102" s="567"/>
      <c r="P102" s="567"/>
      <c r="Q102" s="567"/>
    </row>
    <row r="103" spans="5:17" s="388" customFormat="1" x14ac:dyDescent="0.25">
      <c r="E103" s="567"/>
      <c r="F103" s="570"/>
      <c r="G103" s="567"/>
      <c r="H103" s="567"/>
      <c r="I103" s="567"/>
      <c r="J103" s="674" t="e">
        <f t="shared" si="1"/>
        <v>#DIV/0!</v>
      </c>
      <c r="K103" s="564"/>
      <c r="L103" s="567"/>
      <c r="M103" s="567"/>
      <c r="N103" s="569"/>
      <c r="O103" s="567"/>
      <c r="P103" s="567"/>
      <c r="Q103" s="567"/>
    </row>
    <row r="104" spans="5:17" s="388" customFormat="1" x14ac:dyDescent="0.25">
      <c r="E104" s="567"/>
      <c r="F104" s="570"/>
      <c r="G104" s="567"/>
      <c r="H104" s="567"/>
      <c r="I104" s="567"/>
      <c r="J104" s="674" t="e">
        <f t="shared" si="1"/>
        <v>#DIV/0!</v>
      </c>
      <c r="K104" s="564"/>
      <c r="L104" s="567"/>
      <c r="M104" s="567"/>
      <c r="N104" s="569"/>
      <c r="O104" s="567"/>
      <c r="P104" s="567"/>
      <c r="Q104" s="567"/>
    </row>
    <row r="105" spans="5:17" s="388" customFormat="1" x14ac:dyDescent="0.25">
      <c r="E105" s="567"/>
      <c r="F105" s="570"/>
      <c r="G105" s="567"/>
      <c r="H105" s="567"/>
      <c r="I105" s="567"/>
      <c r="J105" s="674" t="e">
        <f t="shared" si="1"/>
        <v>#DIV/0!</v>
      </c>
      <c r="K105" s="564"/>
      <c r="L105" s="567"/>
      <c r="M105" s="567"/>
      <c r="N105" s="569"/>
      <c r="O105" s="567"/>
      <c r="P105" s="567"/>
      <c r="Q105" s="567"/>
    </row>
    <row r="106" spans="5:17" s="388" customFormat="1" x14ac:dyDescent="0.25">
      <c r="E106" s="567"/>
      <c r="F106" s="570"/>
      <c r="G106" s="567"/>
      <c r="H106" s="567"/>
      <c r="I106" s="567"/>
      <c r="J106" s="674" t="e">
        <f t="shared" si="1"/>
        <v>#DIV/0!</v>
      </c>
      <c r="K106" s="564"/>
      <c r="L106" s="567"/>
      <c r="M106" s="567"/>
      <c r="N106" s="569"/>
      <c r="O106" s="567"/>
      <c r="P106" s="567"/>
      <c r="Q106" s="567"/>
    </row>
    <row r="107" spans="5:17" s="388" customFormat="1" x14ac:dyDescent="0.25">
      <c r="E107" s="567"/>
      <c r="F107" s="570"/>
      <c r="G107" s="567"/>
      <c r="H107" s="567"/>
      <c r="I107" s="567"/>
      <c r="J107" s="674" t="e">
        <f t="shared" si="1"/>
        <v>#DIV/0!</v>
      </c>
      <c r="K107" s="564"/>
      <c r="L107" s="567"/>
      <c r="M107" s="567"/>
      <c r="N107" s="569"/>
      <c r="O107" s="567"/>
      <c r="P107" s="567"/>
      <c r="Q107" s="567"/>
    </row>
    <row r="108" spans="5:17" s="388" customFormat="1" x14ac:dyDescent="0.25">
      <c r="E108" s="567"/>
      <c r="F108" s="570"/>
      <c r="G108" s="567"/>
      <c r="H108" s="567"/>
      <c r="I108" s="567"/>
      <c r="J108" s="674" t="e">
        <f t="shared" si="1"/>
        <v>#DIV/0!</v>
      </c>
      <c r="K108" s="564"/>
      <c r="L108" s="567"/>
      <c r="M108" s="567"/>
      <c r="N108" s="569"/>
      <c r="O108" s="567"/>
      <c r="P108" s="567"/>
      <c r="Q108" s="567"/>
    </row>
    <row r="109" spans="5:17" s="388" customFormat="1" x14ac:dyDescent="0.25">
      <c r="E109" s="567"/>
      <c r="F109" s="570"/>
      <c r="G109" s="567"/>
      <c r="H109" s="567"/>
      <c r="I109" s="567"/>
      <c r="J109" s="674" t="e">
        <f t="shared" si="1"/>
        <v>#DIV/0!</v>
      </c>
      <c r="K109" s="564"/>
      <c r="L109" s="567"/>
      <c r="M109" s="567"/>
      <c r="N109" s="569"/>
      <c r="O109" s="567"/>
      <c r="P109" s="567"/>
      <c r="Q109" s="567"/>
    </row>
    <row r="110" spans="5:17" s="388" customFormat="1" x14ac:dyDescent="0.25">
      <c r="E110" s="567"/>
      <c r="F110" s="570"/>
      <c r="G110" s="567"/>
      <c r="H110" s="567"/>
      <c r="I110" s="567"/>
      <c r="J110" s="674" t="e">
        <f t="shared" si="1"/>
        <v>#DIV/0!</v>
      </c>
      <c r="K110" s="564"/>
      <c r="L110" s="567"/>
      <c r="M110" s="567"/>
      <c r="N110" s="569"/>
      <c r="O110" s="567"/>
      <c r="P110" s="567"/>
      <c r="Q110" s="567"/>
    </row>
    <row r="111" spans="5:17" s="388" customFormat="1" x14ac:dyDescent="0.25">
      <c r="E111" s="567"/>
      <c r="F111" s="570"/>
      <c r="G111" s="567"/>
      <c r="H111" s="567"/>
      <c r="I111" s="567"/>
      <c r="J111" s="674" t="e">
        <f t="shared" si="1"/>
        <v>#DIV/0!</v>
      </c>
      <c r="K111" s="564"/>
      <c r="L111" s="567"/>
      <c r="M111" s="567"/>
      <c r="N111" s="569"/>
      <c r="O111" s="567"/>
      <c r="P111" s="567"/>
      <c r="Q111" s="567"/>
    </row>
    <row r="112" spans="5:17" s="388" customFormat="1" x14ac:dyDescent="0.25">
      <c r="E112" s="567"/>
      <c r="F112" s="570"/>
      <c r="G112" s="567"/>
      <c r="H112" s="567"/>
      <c r="I112" s="567"/>
      <c r="J112" s="674" t="e">
        <f t="shared" si="1"/>
        <v>#DIV/0!</v>
      </c>
      <c r="K112" s="564"/>
      <c r="L112" s="567"/>
      <c r="M112" s="567"/>
      <c r="N112" s="569"/>
      <c r="O112" s="567"/>
      <c r="P112" s="567"/>
      <c r="Q112" s="567"/>
    </row>
    <row r="113" spans="5:17" s="388" customFormat="1" x14ac:dyDescent="0.25">
      <c r="E113" s="567"/>
      <c r="F113" s="570"/>
      <c r="G113" s="567"/>
      <c r="H113" s="567"/>
      <c r="I113" s="567"/>
      <c r="J113" s="674" t="e">
        <f t="shared" si="1"/>
        <v>#DIV/0!</v>
      </c>
      <c r="K113" s="564"/>
      <c r="L113" s="567"/>
      <c r="M113" s="567"/>
      <c r="N113" s="569"/>
      <c r="O113" s="567"/>
      <c r="P113" s="567"/>
      <c r="Q113" s="567"/>
    </row>
    <row r="114" spans="5:17" s="388" customFormat="1" x14ac:dyDescent="0.25">
      <c r="E114" s="567"/>
      <c r="F114" s="570"/>
      <c r="G114" s="567"/>
      <c r="H114" s="567"/>
      <c r="I114" s="567"/>
      <c r="J114" s="674" t="e">
        <f t="shared" si="1"/>
        <v>#DIV/0!</v>
      </c>
      <c r="K114" s="564"/>
      <c r="L114" s="567"/>
      <c r="M114" s="567"/>
      <c r="N114" s="569"/>
      <c r="O114" s="567"/>
      <c r="P114" s="567"/>
      <c r="Q114" s="567"/>
    </row>
    <row r="115" spans="5:17" s="388" customFormat="1" x14ac:dyDescent="0.25">
      <c r="E115" s="567"/>
      <c r="F115" s="570"/>
      <c r="G115" s="567"/>
      <c r="H115" s="567"/>
      <c r="I115" s="567"/>
      <c r="J115" s="674" t="e">
        <f t="shared" si="1"/>
        <v>#DIV/0!</v>
      </c>
      <c r="K115" s="564"/>
      <c r="L115" s="567"/>
      <c r="M115" s="567"/>
      <c r="N115" s="569"/>
      <c r="O115" s="567"/>
      <c r="P115" s="567"/>
      <c r="Q115" s="567"/>
    </row>
    <row r="116" spans="5:17" s="388" customFormat="1" x14ac:dyDescent="0.25">
      <c r="E116" s="567"/>
      <c r="F116" s="570"/>
      <c r="G116" s="567"/>
      <c r="H116" s="567"/>
      <c r="I116" s="567"/>
      <c r="J116" s="674" t="e">
        <f t="shared" si="1"/>
        <v>#DIV/0!</v>
      </c>
      <c r="K116" s="564"/>
      <c r="L116" s="567"/>
      <c r="M116" s="567"/>
      <c r="N116" s="569"/>
      <c r="O116" s="567"/>
      <c r="P116" s="567"/>
      <c r="Q116" s="567"/>
    </row>
    <row r="117" spans="5:17" s="388" customFormat="1" x14ac:dyDescent="0.25">
      <c r="E117" s="567"/>
      <c r="F117" s="570"/>
      <c r="G117" s="567"/>
      <c r="H117" s="567"/>
      <c r="I117" s="567"/>
      <c r="J117" s="674" t="e">
        <f t="shared" si="1"/>
        <v>#DIV/0!</v>
      </c>
      <c r="K117" s="564"/>
      <c r="L117" s="567"/>
      <c r="M117" s="567"/>
      <c r="N117" s="569"/>
      <c r="O117" s="567"/>
      <c r="P117" s="567"/>
      <c r="Q117" s="567"/>
    </row>
    <row r="118" spans="5:17" s="388" customFormat="1" x14ac:dyDescent="0.25">
      <c r="E118" s="567"/>
      <c r="F118" s="570"/>
      <c r="G118" s="567"/>
      <c r="H118" s="567"/>
      <c r="I118" s="567"/>
      <c r="J118" s="674" t="e">
        <f t="shared" si="1"/>
        <v>#DIV/0!</v>
      </c>
      <c r="K118" s="564"/>
      <c r="L118" s="567"/>
      <c r="M118" s="567"/>
      <c r="N118" s="569"/>
      <c r="O118" s="567"/>
      <c r="P118" s="567"/>
      <c r="Q118" s="567"/>
    </row>
    <row r="119" spans="5:17" s="388" customFormat="1" x14ac:dyDescent="0.25">
      <c r="E119" s="567"/>
      <c r="F119" s="570"/>
      <c r="G119" s="567"/>
      <c r="H119" s="567"/>
      <c r="I119" s="567"/>
      <c r="J119" s="674" t="e">
        <f t="shared" si="1"/>
        <v>#DIV/0!</v>
      </c>
      <c r="K119" s="564"/>
      <c r="L119" s="567"/>
      <c r="M119" s="567"/>
      <c r="N119" s="569"/>
      <c r="O119" s="567"/>
      <c r="P119" s="567"/>
      <c r="Q119" s="567"/>
    </row>
    <row r="120" spans="5:17" s="388" customFormat="1" x14ac:dyDescent="0.25">
      <c r="E120" s="567"/>
      <c r="F120" s="570"/>
      <c r="G120" s="567"/>
      <c r="H120" s="567"/>
      <c r="I120" s="567"/>
      <c r="J120" s="674" t="e">
        <f t="shared" si="1"/>
        <v>#DIV/0!</v>
      </c>
      <c r="K120" s="564"/>
      <c r="L120" s="567"/>
      <c r="M120" s="567"/>
      <c r="N120" s="569"/>
      <c r="O120" s="567"/>
      <c r="P120" s="567"/>
      <c r="Q120" s="567"/>
    </row>
    <row r="121" spans="5:17" s="388" customFormat="1" x14ac:dyDescent="0.25">
      <c r="E121" s="567"/>
      <c r="F121" s="570"/>
      <c r="G121" s="567"/>
      <c r="H121" s="567"/>
      <c r="I121" s="567"/>
      <c r="J121" s="674" t="e">
        <f t="shared" si="1"/>
        <v>#DIV/0!</v>
      </c>
      <c r="K121" s="564"/>
      <c r="L121" s="567"/>
      <c r="M121" s="567"/>
      <c r="N121" s="569"/>
      <c r="O121" s="567"/>
      <c r="P121" s="567"/>
      <c r="Q121" s="567"/>
    </row>
    <row r="122" spans="5:17" s="388" customFormat="1" x14ac:dyDescent="0.25">
      <c r="E122" s="567"/>
      <c r="F122" s="570"/>
      <c r="G122" s="567"/>
      <c r="H122" s="567"/>
      <c r="I122" s="567"/>
      <c r="J122" s="674" t="e">
        <f t="shared" si="1"/>
        <v>#DIV/0!</v>
      </c>
      <c r="K122" s="564"/>
      <c r="L122" s="567"/>
      <c r="M122" s="567"/>
      <c r="N122" s="569"/>
      <c r="O122" s="567"/>
      <c r="P122" s="567"/>
      <c r="Q122" s="567"/>
    </row>
    <row r="123" spans="5:17" s="388" customFormat="1" x14ac:dyDescent="0.25">
      <c r="E123" s="567"/>
      <c r="F123" s="570"/>
      <c r="G123" s="567"/>
      <c r="H123" s="567"/>
      <c r="I123" s="567"/>
      <c r="J123" s="674" t="e">
        <f t="shared" si="1"/>
        <v>#DIV/0!</v>
      </c>
      <c r="K123" s="564"/>
      <c r="L123" s="567"/>
      <c r="M123" s="567"/>
      <c r="N123" s="569"/>
      <c r="O123" s="567"/>
      <c r="P123" s="567"/>
      <c r="Q123" s="567"/>
    </row>
    <row r="124" spans="5:17" s="388" customFormat="1" x14ac:dyDescent="0.25">
      <c r="E124" s="567"/>
      <c r="F124" s="570"/>
      <c r="G124" s="567"/>
      <c r="H124" s="567"/>
      <c r="I124" s="567"/>
      <c r="J124" s="674" t="e">
        <f t="shared" si="1"/>
        <v>#DIV/0!</v>
      </c>
      <c r="K124" s="564"/>
      <c r="L124" s="567"/>
      <c r="M124" s="567"/>
      <c r="N124" s="569"/>
      <c r="O124" s="567"/>
      <c r="P124" s="567"/>
      <c r="Q124" s="567"/>
    </row>
    <row r="125" spans="5:17" s="388" customFormat="1" x14ac:dyDescent="0.25">
      <c r="E125" s="567"/>
      <c r="F125" s="570"/>
      <c r="G125" s="567"/>
      <c r="H125" s="567"/>
      <c r="I125" s="567"/>
      <c r="J125" s="674" t="e">
        <f t="shared" si="1"/>
        <v>#DIV/0!</v>
      </c>
      <c r="K125" s="564"/>
      <c r="L125" s="567"/>
      <c r="M125" s="567"/>
      <c r="N125" s="569"/>
      <c r="O125" s="567"/>
      <c r="P125" s="567"/>
      <c r="Q125" s="567"/>
    </row>
    <row r="126" spans="5:17" s="388" customFormat="1" x14ac:dyDescent="0.25">
      <c r="E126" s="567"/>
      <c r="F126" s="570"/>
      <c r="G126" s="567"/>
      <c r="H126" s="567"/>
      <c r="I126" s="567"/>
      <c r="J126" s="674" t="e">
        <f t="shared" si="1"/>
        <v>#DIV/0!</v>
      </c>
      <c r="K126" s="564"/>
      <c r="L126" s="567"/>
      <c r="M126" s="567"/>
      <c r="N126" s="569"/>
      <c r="O126" s="567"/>
      <c r="P126" s="567"/>
      <c r="Q126" s="567"/>
    </row>
    <row r="127" spans="5:17" s="388" customFormat="1" x14ac:dyDescent="0.25">
      <c r="E127" s="567"/>
      <c r="F127" s="570"/>
      <c r="G127" s="567"/>
      <c r="H127" s="567"/>
      <c r="I127" s="567"/>
      <c r="J127" s="674" t="e">
        <f t="shared" si="1"/>
        <v>#DIV/0!</v>
      </c>
      <c r="K127" s="564"/>
      <c r="L127" s="567"/>
      <c r="M127" s="567"/>
      <c r="N127" s="569"/>
      <c r="O127" s="567"/>
      <c r="P127" s="567"/>
      <c r="Q127" s="567"/>
    </row>
    <row r="128" spans="5:17" s="388" customFormat="1" x14ac:dyDescent="0.25">
      <c r="E128" s="567"/>
      <c r="F128" s="570"/>
      <c r="G128" s="567"/>
      <c r="H128" s="567"/>
      <c r="I128" s="567"/>
      <c r="J128" s="674" t="e">
        <f t="shared" si="1"/>
        <v>#DIV/0!</v>
      </c>
      <c r="K128" s="564"/>
      <c r="L128" s="567"/>
      <c r="M128" s="567"/>
      <c r="N128" s="569"/>
      <c r="O128" s="567"/>
      <c r="P128" s="567"/>
      <c r="Q128" s="567"/>
    </row>
    <row r="129" spans="5:17" s="388" customFormat="1" x14ac:dyDescent="0.25">
      <c r="E129" s="567"/>
      <c r="F129" s="570"/>
      <c r="G129" s="567"/>
      <c r="H129" s="567"/>
      <c r="I129" s="567"/>
      <c r="J129" s="674" t="e">
        <f t="shared" si="1"/>
        <v>#DIV/0!</v>
      </c>
      <c r="K129" s="564"/>
      <c r="L129" s="567"/>
      <c r="M129" s="567"/>
      <c r="N129" s="569"/>
      <c r="O129" s="567"/>
      <c r="P129" s="567"/>
      <c r="Q129" s="567"/>
    </row>
    <row r="130" spans="5:17" s="388" customFormat="1" x14ac:dyDescent="0.25">
      <c r="E130" s="567"/>
      <c r="F130" s="570"/>
      <c r="G130" s="567"/>
      <c r="H130" s="567"/>
      <c r="I130" s="567"/>
      <c r="J130" s="674" t="e">
        <f t="shared" si="1"/>
        <v>#DIV/0!</v>
      </c>
      <c r="K130" s="564"/>
      <c r="L130" s="567"/>
      <c r="M130" s="567"/>
      <c r="N130" s="569"/>
      <c r="O130" s="567"/>
      <c r="P130" s="567"/>
      <c r="Q130" s="567"/>
    </row>
    <row r="131" spans="5:17" s="388" customFormat="1" x14ac:dyDescent="0.25">
      <c r="E131" s="567"/>
      <c r="F131" s="570"/>
      <c r="G131" s="567"/>
      <c r="H131" s="567"/>
      <c r="I131" s="567"/>
      <c r="J131" s="674" t="e">
        <f t="shared" si="1"/>
        <v>#DIV/0!</v>
      </c>
      <c r="K131" s="564"/>
      <c r="L131" s="567"/>
      <c r="M131" s="567"/>
      <c r="N131" s="569"/>
      <c r="O131" s="567"/>
      <c r="P131" s="567"/>
      <c r="Q131" s="567"/>
    </row>
    <row r="132" spans="5:17" s="388" customFormat="1" x14ac:dyDescent="0.25">
      <c r="E132" s="567"/>
      <c r="F132" s="570"/>
      <c r="G132" s="567"/>
      <c r="H132" s="567"/>
      <c r="I132" s="567"/>
      <c r="J132" s="674" t="e">
        <f t="shared" si="1"/>
        <v>#DIV/0!</v>
      </c>
      <c r="K132" s="564"/>
      <c r="L132" s="567"/>
      <c r="M132" s="567"/>
      <c r="N132" s="569"/>
      <c r="O132" s="567"/>
      <c r="P132" s="567"/>
      <c r="Q132" s="567"/>
    </row>
    <row r="133" spans="5:17" s="388" customFormat="1" x14ac:dyDescent="0.25">
      <c r="E133" s="567"/>
      <c r="F133" s="570"/>
      <c r="G133" s="567"/>
      <c r="H133" s="567"/>
      <c r="I133" s="567"/>
      <c r="J133" s="674" t="e">
        <f t="shared" ref="J133:J196" si="2">(I133*K133/100)/(H133*G133)*1000</f>
        <v>#DIV/0!</v>
      </c>
      <c r="K133" s="564"/>
      <c r="L133" s="567"/>
      <c r="M133" s="567"/>
      <c r="N133" s="569"/>
      <c r="O133" s="567"/>
      <c r="P133" s="567"/>
      <c r="Q133" s="567"/>
    </row>
    <row r="134" spans="5:17" s="388" customFormat="1" x14ac:dyDescent="0.25">
      <c r="E134" s="567"/>
      <c r="F134" s="570"/>
      <c r="G134" s="567"/>
      <c r="H134" s="567"/>
      <c r="I134" s="567"/>
      <c r="J134" s="674" t="e">
        <f t="shared" si="2"/>
        <v>#DIV/0!</v>
      </c>
      <c r="K134" s="564"/>
      <c r="L134" s="567"/>
      <c r="M134" s="567"/>
      <c r="N134" s="569"/>
      <c r="O134" s="567"/>
      <c r="P134" s="567"/>
      <c r="Q134" s="567"/>
    </row>
    <row r="135" spans="5:17" s="388" customFormat="1" x14ac:dyDescent="0.25">
      <c r="E135" s="567"/>
      <c r="F135" s="570"/>
      <c r="G135" s="567"/>
      <c r="H135" s="567"/>
      <c r="I135" s="567"/>
      <c r="J135" s="674" t="e">
        <f t="shared" si="2"/>
        <v>#DIV/0!</v>
      </c>
      <c r="K135" s="564"/>
      <c r="L135" s="567"/>
      <c r="M135" s="567"/>
      <c r="N135" s="569"/>
      <c r="O135" s="567"/>
      <c r="P135" s="567"/>
      <c r="Q135" s="567"/>
    </row>
    <row r="136" spans="5:17" s="388" customFormat="1" x14ac:dyDescent="0.25">
      <c r="E136" s="567"/>
      <c r="F136" s="570"/>
      <c r="G136" s="567"/>
      <c r="H136" s="567"/>
      <c r="I136" s="567"/>
      <c r="J136" s="674" t="e">
        <f t="shared" si="2"/>
        <v>#DIV/0!</v>
      </c>
      <c r="K136" s="564"/>
      <c r="L136" s="567"/>
      <c r="M136" s="567"/>
      <c r="N136" s="569"/>
      <c r="O136" s="567"/>
      <c r="P136" s="567"/>
      <c r="Q136" s="567"/>
    </row>
    <row r="137" spans="5:17" s="388" customFormat="1" x14ac:dyDescent="0.25">
      <c r="E137" s="567"/>
      <c r="F137" s="570"/>
      <c r="G137" s="567"/>
      <c r="H137" s="567"/>
      <c r="I137" s="567"/>
      <c r="J137" s="674" t="e">
        <f t="shared" si="2"/>
        <v>#DIV/0!</v>
      </c>
      <c r="K137" s="564"/>
      <c r="L137" s="567"/>
      <c r="M137" s="567"/>
      <c r="N137" s="569"/>
      <c r="O137" s="567"/>
      <c r="P137" s="567"/>
      <c r="Q137" s="567"/>
    </row>
    <row r="138" spans="5:17" s="388" customFormat="1" x14ac:dyDescent="0.25">
      <c r="E138" s="567"/>
      <c r="F138" s="570"/>
      <c r="G138" s="567"/>
      <c r="H138" s="567"/>
      <c r="I138" s="567"/>
      <c r="J138" s="674" t="e">
        <f t="shared" si="2"/>
        <v>#DIV/0!</v>
      </c>
      <c r="K138" s="564"/>
      <c r="L138" s="567"/>
      <c r="M138" s="567"/>
      <c r="N138" s="569"/>
      <c r="O138" s="567"/>
      <c r="P138" s="567"/>
      <c r="Q138" s="567"/>
    </row>
    <row r="139" spans="5:17" s="388" customFormat="1" x14ac:dyDescent="0.25">
      <c r="E139" s="567"/>
      <c r="F139" s="570"/>
      <c r="G139" s="567"/>
      <c r="H139" s="567"/>
      <c r="I139" s="567"/>
      <c r="J139" s="674" t="e">
        <f t="shared" si="2"/>
        <v>#DIV/0!</v>
      </c>
      <c r="K139" s="564"/>
      <c r="L139" s="567"/>
      <c r="M139" s="567"/>
      <c r="N139" s="569"/>
      <c r="O139" s="567"/>
      <c r="P139" s="567"/>
      <c r="Q139" s="567"/>
    </row>
    <row r="140" spans="5:17" s="388" customFormat="1" x14ac:dyDescent="0.25">
      <c r="E140" s="567"/>
      <c r="F140" s="570"/>
      <c r="G140" s="567"/>
      <c r="H140" s="567"/>
      <c r="I140" s="567"/>
      <c r="J140" s="674" t="e">
        <f t="shared" si="2"/>
        <v>#DIV/0!</v>
      </c>
      <c r="K140" s="564"/>
      <c r="L140" s="567"/>
      <c r="M140" s="567"/>
      <c r="N140" s="569"/>
      <c r="O140" s="567"/>
      <c r="P140" s="567"/>
      <c r="Q140" s="567"/>
    </row>
    <row r="141" spans="5:17" s="388" customFormat="1" x14ac:dyDescent="0.25">
      <c r="E141" s="567"/>
      <c r="F141" s="570"/>
      <c r="G141" s="567"/>
      <c r="H141" s="567"/>
      <c r="I141" s="567"/>
      <c r="J141" s="674" t="e">
        <f t="shared" si="2"/>
        <v>#DIV/0!</v>
      </c>
      <c r="K141" s="564"/>
      <c r="L141" s="567"/>
      <c r="M141" s="567"/>
      <c r="N141" s="569"/>
      <c r="O141" s="567"/>
      <c r="P141" s="567"/>
      <c r="Q141" s="567"/>
    </row>
    <row r="142" spans="5:17" s="388" customFormat="1" x14ac:dyDescent="0.25">
      <c r="E142" s="567"/>
      <c r="F142" s="570"/>
      <c r="G142" s="567"/>
      <c r="H142" s="567"/>
      <c r="I142" s="567"/>
      <c r="J142" s="674" t="e">
        <f t="shared" si="2"/>
        <v>#DIV/0!</v>
      </c>
      <c r="K142" s="564"/>
      <c r="L142" s="567"/>
      <c r="M142" s="567"/>
      <c r="N142" s="569"/>
      <c r="O142" s="567"/>
      <c r="P142" s="567"/>
      <c r="Q142" s="567"/>
    </row>
    <row r="143" spans="5:17" s="388" customFormat="1" x14ac:dyDescent="0.25">
      <c r="E143" s="567"/>
      <c r="F143" s="570"/>
      <c r="G143" s="567"/>
      <c r="H143" s="567"/>
      <c r="I143" s="567"/>
      <c r="J143" s="674" t="e">
        <f t="shared" si="2"/>
        <v>#DIV/0!</v>
      </c>
      <c r="K143" s="564"/>
      <c r="L143" s="567"/>
      <c r="M143" s="567"/>
      <c r="N143" s="569"/>
      <c r="O143" s="567"/>
      <c r="P143" s="567"/>
      <c r="Q143" s="567"/>
    </row>
    <row r="144" spans="5:17" s="388" customFormat="1" x14ac:dyDescent="0.25">
      <c r="E144" s="567"/>
      <c r="F144" s="570"/>
      <c r="G144" s="567"/>
      <c r="H144" s="567"/>
      <c r="I144" s="567"/>
      <c r="J144" s="674" t="e">
        <f t="shared" si="2"/>
        <v>#DIV/0!</v>
      </c>
      <c r="K144" s="564"/>
      <c r="L144" s="567"/>
      <c r="M144" s="567"/>
      <c r="N144" s="569"/>
      <c r="O144" s="567"/>
      <c r="P144" s="567"/>
      <c r="Q144" s="567"/>
    </row>
    <row r="145" spans="5:17" s="388" customFormat="1" x14ac:dyDescent="0.25">
      <c r="E145" s="567"/>
      <c r="F145" s="570"/>
      <c r="G145" s="567"/>
      <c r="H145" s="567"/>
      <c r="I145" s="567"/>
      <c r="J145" s="674" t="e">
        <f t="shared" si="2"/>
        <v>#DIV/0!</v>
      </c>
      <c r="K145" s="564"/>
      <c r="L145" s="567"/>
      <c r="M145" s="567"/>
      <c r="N145" s="569"/>
      <c r="O145" s="567"/>
      <c r="P145" s="567"/>
      <c r="Q145" s="567"/>
    </row>
    <row r="146" spans="5:17" s="388" customFormat="1" x14ac:dyDescent="0.25">
      <c r="E146" s="567"/>
      <c r="F146" s="570"/>
      <c r="G146" s="567"/>
      <c r="H146" s="567"/>
      <c r="I146" s="567"/>
      <c r="J146" s="674" t="e">
        <f t="shared" si="2"/>
        <v>#DIV/0!</v>
      </c>
      <c r="K146" s="564"/>
      <c r="L146" s="567"/>
      <c r="M146" s="567"/>
      <c r="N146" s="569"/>
      <c r="O146" s="567"/>
      <c r="P146" s="567"/>
      <c r="Q146" s="567"/>
    </row>
    <row r="147" spans="5:17" s="388" customFormat="1" x14ac:dyDescent="0.25">
      <c r="E147" s="567"/>
      <c r="F147" s="570"/>
      <c r="G147" s="567"/>
      <c r="H147" s="567"/>
      <c r="I147" s="567"/>
      <c r="J147" s="674" t="e">
        <f t="shared" si="2"/>
        <v>#DIV/0!</v>
      </c>
      <c r="K147" s="564"/>
      <c r="L147" s="567"/>
      <c r="M147" s="567"/>
      <c r="N147" s="569"/>
      <c r="O147" s="567"/>
      <c r="P147" s="567"/>
      <c r="Q147" s="567"/>
    </row>
    <row r="148" spans="5:17" s="388" customFormat="1" x14ac:dyDescent="0.25">
      <c r="E148" s="567"/>
      <c r="F148" s="570"/>
      <c r="G148" s="567"/>
      <c r="H148" s="567"/>
      <c r="I148" s="567"/>
      <c r="J148" s="674" t="e">
        <f t="shared" si="2"/>
        <v>#DIV/0!</v>
      </c>
      <c r="K148" s="564"/>
      <c r="L148" s="567"/>
      <c r="M148" s="567"/>
      <c r="N148" s="569"/>
      <c r="O148" s="567"/>
      <c r="P148" s="567"/>
      <c r="Q148" s="567"/>
    </row>
    <row r="149" spans="5:17" s="388" customFormat="1" x14ac:dyDescent="0.25">
      <c r="E149" s="567"/>
      <c r="F149" s="570"/>
      <c r="G149" s="567"/>
      <c r="H149" s="567"/>
      <c r="I149" s="567"/>
      <c r="J149" s="674" t="e">
        <f t="shared" si="2"/>
        <v>#DIV/0!</v>
      </c>
      <c r="K149" s="564"/>
      <c r="L149" s="567"/>
      <c r="M149" s="567"/>
      <c r="N149" s="569"/>
      <c r="O149" s="567"/>
      <c r="P149" s="567"/>
      <c r="Q149" s="567"/>
    </row>
    <row r="150" spans="5:17" s="388" customFormat="1" x14ac:dyDescent="0.25">
      <c r="E150" s="567"/>
      <c r="F150" s="570"/>
      <c r="G150" s="567"/>
      <c r="H150" s="567"/>
      <c r="I150" s="567"/>
      <c r="J150" s="674" t="e">
        <f t="shared" si="2"/>
        <v>#DIV/0!</v>
      </c>
      <c r="K150" s="564"/>
      <c r="L150" s="567"/>
      <c r="M150" s="567"/>
      <c r="N150" s="569"/>
      <c r="O150" s="567"/>
      <c r="P150" s="567"/>
      <c r="Q150" s="567"/>
    </row>
    <row r="151" spans="5:17" s="388" customFormat="1" x14ac:dyDescent="0.25">
      <c r="E151" s="567"/>
      <c r="F151" s="570"/>
      <c r="G151" s="567"/>
      <c r="H151" s="567"/>
      <c r="I151" s="567"/>
      <c r="J151" s="674" t="e">
        <f t="shared" si="2"/>
        <v>#DIV/0!</v>
      </c>
      <c r="K151" s="564"/>
      <c r="L151" s="567"/>
      <c r="M151" s="567"/>
      <c r="N151" s="569"/>
      <c r="O151" s="567"/>
      <c r="P151" s="567"/>
      <c r="Q151" s="567"/>
    </row>
    <row r="152" spans="5:17" s="388" customFormat="1" x14ac:dyDescent="0.25">
      <c r="E152" s="567"/>
      <c r="F152" s="570"/>
      <c r="G152" s="567"/>
      <c r="H152" s="567"/>
      <c r="I152" s="567"/>
      <c r="J152" s="674" t="e">
        <f t="shared" si="2"/>
        <v>#DIV/0!</v>
      </c>
      <c r="K152" s="564"/>
      <c r="L152" s="567"/>
      <c r="M152" s="567"/>
      <c r="N152" s="569"/>
      <c r="O152" s="567"/>
      <c r="P152" s="567"/>
      <c r="Q152" s="567"/>
    </row>
    <row r="153" spans="5:17" s="388" customFormat="1" x14ac:dyDescent="0.25">
      <c r="E153" s="567"/>
      <c r="F153" s="570"/>
      <c r="G153" s="567"/>
      <c r="H153" s="567"/>
      <c r="I153" s="567"/>
      <c r="J153" s="674" t="e">
        <f t="shared" si="2"/>
        <v>#DIV/0!</v>
      </c>
      <c r="K153" s="564"/>
      <c r="L153" s="567"/>
      <c r="M153" s="567"/>
      <c r="N153" s="569"/>
      <c r="O153" s="567"/>
      <c r="P153" s="567"/>
      <c r="Q153" s="567"/>
    </row>
    <row r="154" spans="5:17" s="388" customFormat="1" x14ac:dyDescent="0.25">
      <c r="E154" s="567"/>
      <c r="F154" s="570"/>
      <c r="G154" s="567"/>
      <c r="H154" s="567"/>
      <c r="I154" s="567"/>
      <c r="J154" s="674" t="e">
        <f t="shared" si="2"/>
        <v>#DIV/0!</v>
      </c>
      <c r="K154" s="564"/>
      <c r="L154" s="567"/>
      <c r="M154" s="567"/>
      <c r="N154" s="569"/>
      <c r="O154" s="567"/>
      <c r="P154" s="567"/>
      <c r="Q154" s="567"/>
    </row>
    <row r="155" spans="5:17" s="388" customFormat="1" x14ac:dyDescent="0.25">
      <c r="E155" s="567"/>
      <c r="F155" s="570"/>
      <c r="G155" s="567"/>
      <c r="H155" s="567"/>
      <c r="I155" s="567"/>
      <c r="J155" s="674" t="e">
        <f t="shared" si="2"/>
        <v>#DIV/0!</v>
      </c>
      <c r="K155" s="564"/>
      <c r="L155" s="567"/>
      <c r="M155" s="567"/>
      <c r="N155" s="569"/>
      <c r="O155" s="567"/>
      <c r="P155" s="567"/>
      <c r="Q155" s="567"/>
    </row>
    <row r="156" spans="5:17" s="388" customFormat="1" x14ac:dyDescent="0.25">
      <c r="E156" s="567"/>
      <c r="F156" s="570"/>
      <c r="G156" s="567"/>
      <c r="H156" s="567"/>
      <c r="I156" s="567"/>
      <c r="J156" s="674" t="e">
        <f t="shared" si="2"/>
        <v>#DIV/0!</v>
      </c>
      <c r="K156" s="564"/>
      <c r="L156" s="567"/>
      <c r="M156" s="567"/>
      <c r="N156" s="569"/>
      <c r="O156" s="567"/>
      <c r="P156" s="567"/>
      <c r="Q156" s="567"/>
    </row>
    <row r="157" spans="5:17" s="388" customFormat="1" x14ac:dyDescent="0.25">
      <c r="E157" s="567"/>
      <c r="F157" s="570"/>
      <c r="G157" s="567"/>
      <c r="H157" s="567"/>
      <c r="I157" s="567"/>
      <c r="J157" s="674" t="e">
        <f t="shared" si="2"/>
        <v>#DIV/0!</v>
      </c>
      <c r="K157" s="564"/>
      <c r="L157" s="567"/>
      <c r="M157" s="567"/>
      <c r="N157" s="569"/>
      <c r="O157" s="567"/>
      <c r="P157" s="567"/>
      <c r="Q157" s="567"/>
    </row>
    <row r="158" spans="5:17" s="388" customFormat="1" x14ac:dyDescent="0.25">
      <c r="E158" s="567"/>
      <c r="F158" s="570"/>
      <c r="G158" s="567"/>
      <c r="H158" s="567"/>
      <c r="I158" s="567"/>
      <c r="J158" s="674" t="e">
        <f t="shared" si="2"/>
        <v>#DIV/0!</v>
      </c>
      <c r="K158" s="564"/>
      <c r="L158" s="567"/>
      <c r="M158" s="567"/>
      <c r="N158" s="569"/>
      <c r="O158" s="567"/>
      <c r="P158" s="567"/>
      <c r="Q158" s="567"/>
    </row>
    <row r="159" spans="5:17" s="388" customFormat="1" x14ac:dyDescent="0.25">
      <c r="E159" s="567"/>
      <c r="F159" s="570"/>
      <c r="G159" s="567"/>
      <c r="H159" s="567"/>
      <c r="I159" s="567"/>
      <c r="J159" s="674" t="e">
        <f t="shared" si="2"/>
        <v>#DIV/0!</v>
      </c>
      <c r="K159" s="564"/>
      <c r="L159" s="567"/>
      <c r="M159" s="567"/>
      <c r="N159" s="569"/>
      <c r="O159" s="567"/>
      <c r="P159" s="567"/>
      <c r="Q159" s="567"/>
    </row>
    <row r="160" spans="5:17" s="388" customFormat="1" x14ac:dyDescent="0.25">
      <c r="E160" s="567"/>
      <c r="F160" s="570"/>
      <c r="G160" s="567"/>
      <c r="H160" s="567"/>
      <c r="I160" s="567"/>
      <c r="J160" s="674" t="e">
        <f t="shared" si="2"/>
        <v>#DIV/0!</v>
      </c>
      <c r="K160" s="564"/>
      <c r="L160" s="567"/>
      <c r="M160" s="567"/>
      <c r="N160" s="569"/>
      <c r="O160" s="567"/>
      <c r="P160" s="567"/>
      <c r="Q160" s="567"/>
    </row>
    <row r="161" spans="5:17" s="388" customFormat="1" x14ac:dyDescent="0.25">
      <c r="E161" s="567"/>
      <c r="F161" s="570"/>
      <c r="G161" s="567"/>
      <c r="H161" s="567"/>
      <c r="I161" s="567"/>
      <c r="J161" s="674" t="e">
        <f t="shared" si="2"/>
        <v>#DIV/0!</v>
      </c>
      <c r="K161" s="564"/>
      <c r="L161" s="567"/>
      <c r="M161" s="567"/>
      <c r="N161" s="569"/>
      <c r="O161" s="567"/>
      <c r="P161" s="567"/>
      <c r="Q161" s="567"/>
    </row>
    <row r="162" spans="5:17" s="388" customFormat="1" x14ac:dyDescent="0.25">
      <c r="E162" s="567"/>
      <c r="F162" s="570"/>
      <c r="G162" s="567"/>
      <c r="H162" s="567"/>
      <c r="I162" s="567"/>
      <c r="J162" s="674" t="e">
        <f t="shared" si="2"/>
        <v>#DIV/0!</v>
      </c>
      <c r="K162" s="564"/>
      <c r="L162" s="567"/>
      <c r="M162" s="567"/>
      <c r="N162" s="569"/>
      <c r="O162" s="567"/>
      <c r="P162" s="567"/>
      <c r="Q162" s="567"/>
    </row>
    <row r="163" spans="5:17" s="388" customFormat="1" x14ac:dyDescent="0.25">
      <c r="E163" s="567"/>
      <c r="F163" s="570"/>
      <c r="G163" s="567"/>
      <c r="H163" s="567"/>
      <c r="I163" s="567"/>
      <c r="J163" s="674" t="e">
        <f t="shared" si="2"/>
        <v>#DIV/0!</v>
      </c>
      <c r="K163" s="564"/>
      <c r="L163" s="567"/>
      <c r="M163" s="567"/>
      <c r="N163" s="569"/>
      <c r="O163" s="567"/>
      <c r="P163" s="567"/>
      <c r="Q163" s="567"/>
    </row>
    <row r="164" spans="5:17" s="388" customFormat="1" x14ac:dyDescent="0.25">
      <c r="E164" s="567"/>
      <c r="F164" s="570"/>
      <c r="G164" s="567"/>
      <c r="H164" s="567"/>
      <c r="I164" s="567"/>
      <c r="J164" s="674" t="e">
        <f t="shared" si="2"/>
        <v>#DIV/0!</v>
      </c>
      <c r="K164" s="564"/>
      <c r="L164" s="567"/>
      <c r="M164" s="567"/>
      <c r="N164" s="569"/>
      <c r="O164" s="567"/>
      <c r="P164" s="567"/>
      <c r="Q164" s="567"/>
    </row>
    <row r="165" spans="5:17" s="388" customFormat="1" x14ac:dyDescent="0.25">
      <c r="E165" s="567"/>
      <c r="F165" s="570"/>
      <c r="G165" s="567"/>
      <c r="H165" s="567"/>
      <c r="I165" s="567"/>
      <c r="J165" s="674" t="e">
        <f t="shared" si="2"/>
        <v>#DIV/0!</v>
      </c>
      <c r="K165" s="564"/>
      <c r="L165" s="567"/>
      <c r="M165" s="567"/>
      <c r="N165" s="569"/>
      <c r="O165" s="567"/>
      <c r="P165" s="567"/>
      <c r="Q165" s="567"/>
    </row>
    <row r="166" spans="5:17" s="388" customFormat="1" x14ac:dyDescent="0.25">
      <c r="E166" s="567"/>
      <c r="F166" s="570"/>
      <c r="G166" s="567"/>
      <c r="H166" s="567"/>
      <c r="I166" s="567"/>
      <c r="J166" s="674" t="e">
        <f t="shared" si="2"/>
        <v>#DIV/0!</v>
      </c>
      <c r="K166" s="564"/>
      <c r="L166" s="567"/>
      <c r="M166" s="567"/>
      <c r="N166" s="569"/>
      <c r="O166" s="567"/>
      <c r="P166" s="567"/>
      <c r="Q166" s="567"/>
    </row>
    <row r="167" spans="5:17" s="388" customFormat="1" x14ac:dyDescent="0.25">
      <c r="E167" s="567"/>
      <c r="F167" s="570"/>
      <c r="G167" s="567"/>
      <c r="H167" s="567"/>
      <c r="I167" s="567"/>
      <c r="J167" s="674" t="e">
        <f t="shared" si="2"/>
        <v>#DIV/0!</v>
      </c>
      <c r="K167" s="564"/>
      <c r="L167" s="567"/>
      <c r="M167" s="567"/>
      <c r="N167" s="569"/>
      <c r="O167" s="567"/>
      <c r="P167" s="567"/>
      <c r="Q167" s="567"/>
    </row>
    <row r="168" spans="5:17" s="388" customFormat="1" x14ac:dyDescent="0.25">
      <c r="E168" s="567"/>
      <c r="F168" s="570"/>
      <c r="G168" s="567"/>
      <c r="H168" s="567"/>
      <c r="I168" s="567"/>
      <c r="J168" s="674" t="e">
        <f t="shared" si="2"/>
        <v>#DIV/0!</v>
      </c>
      <c r="K168" s="564"/>
      <c r="L168" s="567"/>
      <c r="M168" s="567"/>
      <c r="N168" s="569"/>
      <c r="O168" s="567"/>
      <c r="P168" s="567"/>
      <c r="Q168" s="567"/>
    </row>
    <row r="169" spans="5:17" s="388" customFormat="1" x14ac:dyDescent="0.25">
      <c r="E169" s="567"/>
      <c r="F169" s="570"/>
      <c r="G169" s="567"/>
      <c r="H169" s="567"/>
      <c r="I169" s="567"/>
      <c r="J169" s="674" t="e">
        <f t="shared" si="2"/>
        <v>#DIV/0!</v>
      </c>
      <c r="K169" s="564"/>
      <c r="L169" s="567"/>
      <c r="M169" s="567"/>
      <c r="N169" s="569"/>
      <c r="O169" s="567"/>
      <c r="P169" s="567"/>
      <c r="Q169" s="567"/>
    </row>
    <row r="170" spans="5:17" s="388" customFormat="1" x14ac:dyDescent="0.25">
      <c r="E170" s="567"/>
      <c r="F170" s="570"/>
      <c r="G170" s="567"/>
      <c r="H170" s="567"/>
      <c r="I170" s="567"/>
      <c r="J170" s="674" t="e">
        <f t="shared" si="2"/>
        <v>#DIV/0!</v>
      </c>
      <c r="K170" s="564"/>
      <c r="L170" s="567"/>
      <c r="M170" s="567"/>
      <c r="N170" s="569"/>
      <c r="O170" s="567"/>
      <c r="P170" s="567"/>
      <c r="Q170" s="567"/>
    </row>
    <row r="171" spans="5:17" s="388" customFormat="1" x14ac:dyDescent="0.25">
      <c r="E171" s="567"/>
      <c r="F171" s="570"/>
      <c r="G171" s="567"/>
      <c r="H171" s="567"/>
      <c r="I171" s="567"/>
      <c r="J171" s="674" t="e">
        <f t="shared" si="2"/>
        <v>#DIV/0!</v>
      </c>
      <c r="K171" s="564"/>
      <c r="L171" s="567"/>
      <c r="M171" s="567"/>
      <c r="N171" s="569"/>
      <c r="O171" s="567"/>
      <c r="P171" s="567"/>
      <c r="Q171" s="567"/>
    </row>
    <row r="172" spans="5:17" s="388" customFormat="1" x14ac:dyDescent="0.25">
      <c r="E172" s="567"/>
      <c r="F172" s="570"/>
      <c r="G172" s="567"/>
      <c r="H172" s="567"/>
      <c r="I172" s="567"/>
      <c r="J172" s="674" t="e">
        <f t="shared" si="2"/>
        <v>#DIV/0!</v>
      </c>
      <c r="K172" s="564"/>
      <c r="L172" s="567"/>
      <c r="M172" s="567"/>
      <c r="N172" s="569"/>
      <c r="O172" s="567"/>
      <c r="P172" s="567"/>
      <c r="Q172" s="567"/>
    </row>
    <row r="173" spans="5:17" s="388" customFormat="1" x14ac:dyDescent="0.25">
      <c r="E173" s="567"/>
      <c r="F173" s="570"/>
      <c r="G173" s="567"/>
      <c r="H173" s="567"/>
      <c r="I173" s="567"/>
      <c r="J173" s="674" t="e">
        <f t="shared" si="2"/>
        <v>#DIV/0!</v>
      </c>
      <c r="K173" s="564"/>
      <c r="L173" s="567"/>
      <c r="M173" s="567"/>
      <c r="N173" s="569"/>
      <c r="O173" s="567"/>
      <c r="P173" s="567"/>
      <c r="Q173" s="567"/>
    </row>
    <row r="174" spans="5:17" s="388" customFormat="1" x14ac:dyDescent="0.25">
      <c r="E174" s="567"/>
      <c r="F174" s="570"/>
      <c r="G174" s="567"/>
      <c r="H174" s="567"/>
      <c r="I174" s="567"/>
      <c r="J174" s="674" t="e">
        <f t="shared" si="2"/>
        <v>#DIV/0!</v>
      </c>
      <c r="K174" s="564"/>
      <c r="L174" s="567"/>
      <c r="M174" s="567"/>
      <c r="N174" s="569"/>
      <c r="O174" s="567"/>
      <c r="P174" s="567"/>
      <c r="Q174" s="567"/>
    </row>
    <row r="175" spans="5:17" s="388" customFormat="1" x14ac:dyDescent="0.25">
      <c r="E175" s="567"/>
      <c r="F175" s="570"/>
      <c r="G175" s="567"/>
      <c r="H175" s="567"/>
      <c r="I175" s="567"/>
      <c r="J175" s="674" t="e">
        <f t="shared" si="2"/>
        <v>#DIV/0!</v>
      </c>
      <c r="K175" s="564"/>
      <c r="L175" s="567"/>
      <c r="M175" s="567"/>
      <c r="N175" s="569"/>
      <c r="O175" s="567"/>
      <c r="P175" s="567"/>
      <c r="Q175" s="567"/>
    </row>
    <row r="176" spans="5:17" s="388" customFormat="1" x14ac:dyDescent="0.25">
      <c r="E176" s="567"/>
      <c r="F176" s="570"/>
      <c r="G176" s="567"/>
      <c r="H176" s="567"/>
      <c r="I176" s="567"/>
      <c r="J176" s="674" t="e">
        <f t="shared" si="2"/>
        <v>#DIV/0!</v>
      </c>
      <c r="K176" s="564"/>
      <c r="L176" s="567"/>
      <c r="M176" s="567"/>
      <c r="N176" s="569"/>
      <c r="O176" s="567"/>
      <c r="P176" s="567"/>
      <c r="Q176" s="567"/>
    </row>
    <row r="177" spans="5:17" s="388" customFormat="1" x14ac:dyDescent="0.25">
      <c r="E177" s="567"/>
      <c r="F177" s="570"/>
      <c r="G177" s="567"/>
      <c r="H177" s="567"/>
      <c r="I177" s="567"/>
      <c r="J177" s="674" t="e">
        <f t="shared" si="2"/>
        <v>#DIV/0!</v>
      </c>
      <c r="K177" s="564"/>
      <c r="L177" s="567"/>
      <c r="M177" s="567"/>
      <c r="N177" s="569"/>
      <c r="O177" s="567"/>
      <c r="P177" s="567"/>
      <c r="Q177" s="567"/>
    </row>
    <row r="178" spans="5:17" s="388" customFormat="1" x14ac:dyDescent="0.25">
      <c r="E178" s="567"/>
      <c r="F178" s="570"/>
      <c r="G178" s="567"/>
      <c r="H178" s="567"/>
      <c r="I178" s="567"/>
      <c r="J178" s="674" t="e">
        <f t="shared" si="2"/>
        <v>#DIV/0!</v>
      </c>
      <c r="K178" s="564"/>
      <c r="L178" s="567"/>
      <c r="M178" s="567"/>
      <c r="N178" s="569"/>
      <c r="O178" s="567"/>
      <c r="P178" s="567"/>
      <c r="Q178" s="567"/>
    </row>
    <row r="179" spans="5:17" s="388" customFormat="1" x14ac:dyDescent="0.25">
      <c r="E179" s="567"/>
      <c r="F179" s="570"/>
      <c r="G179" s="567"/>
      <c r="H179" s="567"/>
      <c r="I179" s="567"/>
      <c r="J179" s="674" t="e">
        <f t="shared" si="2"/>
        <v>#DIV/0!</v>
      </c>
      <c r="K179" s="564"/>
      <c r="L179" s="567"/>
      <c r="M179" s="567"/>
      <c r="N179" s="569"/>
      <c r="O179" s="567"/>
      <c r="P179" s="567"/>
      <c r="Q179" s="567"/>
    </row>
    <row r="180" spans="5:17" s="388" customFormat="1" x14ac:dyDescent="0.25">
      <c r="E180" s="567"/>
      <c r="F180" s="570"/>
      <c r="G180" s="567"/>
      <c r="H180" s="567"/>
      <c r="I180" s="567"/>
      <c r="J180" s="674" t="e">
        <f t="shared" si="2"/>
        <v>#DIV/0!</v>
      </c>
      <c r="K180" s="564"/>
      <c r="L180" s="567"/>
      <c r="M180" s="567"/>
      <c r="N180" s="569"/>
      <c r="O180" s="567"/>
      <c r="P180" s="567"/>
      <c r="Q180" s="567"/>
    </row>
    <row r="181" spans="5:17" s="388" customFormat="1" x14ac:dyDescent="0.25">
      <c r="E181" s="567"/>
      <c r="F181" s="570"/>
      <c r="G181" s="567"/>
      <c r="H181" s="567"/>
      <c r="I181" s="567"/>
      <c r="J181" s="674" t="e">
        <f t="shared" si="2"/>
        <v>#DIV/0!</v>
      </c>
      <c r="K181" s="564"/>
      <c r="L181" s="567"/>
      <c r="M181" s="567"/>
      <c r="N181" s="569"/>
      <c r="O181" s="567"/>
      <c r="P181" s="567"/>
      <c r="Q181" s="567"/>
    </row>
    <row r="182" spans="5:17" s="388" customFormat="1" x14ac:dyDescent="0.25">
      <c r="E182" s="567"/>
      <c r="F182" s="570"/>
      <c r="G182" s="567"/>
      <c r="H182" s="567"/>
      <c r="I182" s="567"/>
      <c r="J182" s="674" t="e">
        <f t="shared" si="2"/>
        <v>#DIV/0!</v>
      </c>
      <c r="K182" s="564"/>
      <c r="L182" s="567"/>
      <c r="M182" s="567"/>
      <c r="N182" s="569"/>
      <c r="O182" s="567"/>
      <c r="P182" s="567"/>
      <c r="Q182" s="567"/>
    </row>
    <row r="183" spans="5:17" s="388" customFormat="1" x14ac:dyDescent="0.25">
      <c r="E183" s="567"/>
      <c r="F183" s="570"/>
      <c r="G183" s="567"/>
      <c r="H183" s="567"/>
      <c r="I183" s="567"/>
      <c r="J183" s="674" t="e">
        <f t="shared" si="2"/>
        <v>#DIV/0!</v>
      </c>
      <c r="K183" s="564"/>
      <c r="L183" s="567"/>
      <c r="M183" s="567"/>
      <c r="N183" s="569"/>
      <c r="O183" s="567"/>
      <c r="P183" s="567"/>
      <c r="Q183" s="567"/>
    </row>
    <row r="184" spans="5:17" s="388" customFormat="1" x14ac:dyDescent="0.25">
      <c r="E184" s="567"/>
      <c r="F184" s="570"/>
      <c r="G184" s="567"/>
      <c r="H184" s="567"/>
      <c r="I184" s="567"/>
      <c r="J184" s="674" t="e">
        <f t="shared" si="2"/>
        <v>#DIV/0!</v>
      </c>
      <c r="K184" s="564"/>
      <c r="L184" s="567"/>
      <c r="M184" s="567"/>
      <c r="N184" s="569"/>
      <c r="O184" s="567"/>
      <c r="P184" s="567"/>
      <c r="Q184" s="567"/>
    </row>
    <row r="185" spans="5:17" s="388" customFormat="1" x14ac:dyDescent="0.25">
      <c r="E185" s="567"/>
      <c r="F185" s="570"/>
      <c r="G185" s="567"/>
      <c r="H185" s="567"/>
      <c r="I185" s="567"/>
      <c r="J185" s="674" t="e">
        <f t="shared" si="2"/>
        <v>#DIV/0!</v>
      </c>
      <c r="K185" s="564"/>
      <c r="L185" s="567"/>
      <c r="M185" s="567"/>
      <c r="N185" s="569"/>
      <c r="O185" s="567"/>
      <c r="P185" s="567"/>
      <c r="Q185" s="567"/>
    </row>
    <row r="186" spans="5:17" s="388" customFormat="1" x14ac:dyDescent="0.25">
      <c r="E186" s="567"/>
      <c r="F186" s="570"/>
      <c r="G186" s="567"/>
      <c r="H186" s="567"/>
      <c r="I186" s="567"/>
      <c r="J186" s="674" t="e">
        <f t="shared" si="2"/>
        <v>#DIV/0!</v>
      </c>
      <c r="K186" s="564"/>
      <c r="L186" s="567"/>
      <c r="M186" s="567"/>
      <c r="N186" s="569"/>
      <c r="O186" s="567"/>
      <c r="P186" s="567"/>
      <c r="Q186" s="567"/>
    </row>
    <row r="187" spans="5:17" s="388" customFormat="1" x14ac:dyDescent="0.25">
      <c r="E187" s="567"/>
      <c r="F187" s="570"/>
      <c r="G187" s="567"/>
      <c r="H187" s="567"/>
      <c r="I187" s="567"/>
      <c r="J187" s="674" t="e">
        <f t="shared" si="2"/>
        <v>#DIV/0!</v>
      </c>
      <c r="K187" s="564"/>
      <c r="L187" s="567"/>
      <c r="M187" s="567"/>
      <c r="N187" s="569"/>
      <c r="O187" s="567"/>
      <c r="P187" s="567"/>
      <c r="Q187" s="567"/>
    </row>
    <row r="188" spans="5:17" s="388" customFormat="1" x14ac:dyDescent="0.25">
      <c r="E188" s="567"/>
      <c r="F188" s="570"/>
      <c r="G188" s="567"/>
      <c r="H188" s="567"/>
      <c r="I188" s="567"/>
      <c r="J188" s="674" t="e">
        <f t="shared" si="2"/>
        <v>#DIV/0!</v>
      </c>
      <c r="K188" s="564"/>
      <c r="L188" s="567"/>
      <c r="M188" s="567"/>
      <c r="N188" s="569"/>
      <c r="O188" s="567"/>
      <c r="P188" s="567"/>
      <c r="Q188" s="567"/>
    </row>
    <row r="189" spans="5:17" s="388" customFormat="1" x14ac:dyDescent="0.25">
      <c r="E189" s="567"/>
      <c r="F189" s="570"/>
      <c r="G189" s="567"/>
      <c r="H189" s="567"/>
      <c r="I189" s="567"/>
      <c r="J189" s="674" t="e">
        <f t="shared" si="2"/>
        <v>#DIV/0!</v>
      </c>
      <c r="K189" s="564"/>
      <c r="L189" s="567"/>
      <c r="M189" s="567"/>
      <c r="N189" s="569"/>
      <c r="O189" s="567"/>
      <c r="P189" s="567"/>
      <c r="Q189" s="567"/>
    </row>
    <row r="190" spans="5:17" s="388" customFormat="1" x14ac:dyDescent="0.25">
      <c r="E190" s="567"/>
      <c r="F190" s="570"/>
      <c r="G190" s="567"/>
      <c r="H190" s="567"/>
      <c r="I190" s="567"/>
      <c r="J190" s="674" t="e">
        <f t="shared" si="2"/>
        <v>#DIV/0!</v>
      </c>
      <c r="K190" s="564"/>
      <c r="L190" s="567"/>
      <c r="M190" s="567"/>
      <c r="N190" s="569"/>
      <c r="O190" s="567"/>
      <c r="P190" s="567"/>
      <c r="Q190" s="567"/>
    </row>
    <row r="191" spans="5:17" s="388" customFormat="1" x14ac:dyDescent="0.25">
      <c r="E191" s="567"/>
      <c r="F191" s="570"/>
      <c r="G191" s="567"/>
      <c r="H191" s="567"/>
      <c r="I191" s="567"/>
      <c r="J191" s="674" t="e">
        <f t="shared" si="2"/>
        <v>#DIV/0!</v>
      </c>
      <c r="K191" s="564"/>
      <c r="L191" s="567"/>
      <c r="M191" s="567"/>
      <c r="N191" s="569"/>
      <c r="O191" s="567"/>
      <c r="P191" s="567"/>
      <c r="Q191" s="567"/>
    </row>
    <row r="192" spans="5:17" s="388" customFormat="1" x14ac:dyDescent="0.25">
      <c r="E192" s="567"/>
      <c r="F192" s="570"/>
      <c r="G192" s="567"/>
      <c r="H192" s="567"/>
      <c r="I192" s="567"/>
      <c r="J192" s="674" t="e">
        <f t="shared" si="2"/>
        <v>#DIV/0!</v>
      </c>
      <c r="K192" s="564"/>
      <c r="L192" s="567"/>
      <c r="M192" s="567"/>
      <c r="N192" s="569"/>
      <c r="O192" s="567"/>
      <c r="P192" s="567"/>
      <c r="Q192" s="567"/>
    </row>
    <row r="193" spans="5:17" s="388" customFormat="1" x14ac:dyDescent="0.25">
      <c r="E193" s="567"/>
      <c r="F193" s="570"/>
      <c r="G193" s="567"/>
      <c r="H193" s="567"/>
      <c r="I193" s="567"/>
      <c r="J193" s="674" t="e">
        <f t="shared" si="2"/>
        <v>#DIV/0!</v>
      </c>
      <c r="K193" s="564"/>
      <c r="L193" s="567"/>
      <c r="M193" s="567"/>
      <c r="N193" s="569"/>
      <c r="O193" s="567"/>
      <c r="P193" s="567"/>
      <c r="Q193" s="567"/>
    </row>
    <row r="194" spans="5:17" s="388" customFormat="1" x14ac:dyDescent="0.25">
      <c r="E194" s="567"/>
      <c r="F194" s="570"/>
      <c r="G194" s="567"/>
      <c r="H194" s="567"/>
      <c r="I194" s="567"/>
      <c r="J194" s="674" t="e">
        <f t="shared" si="2"/>
        <v>#DIV/0!</v>
      </c>
      <c r="K194" s="564"/>
      <c r="L194" s="567"/>
      <c r="M194" s="567"/>
      <c r="N194" s="569"/>
      <c r="O194" s="567"/>
      <c r="P194" s="567"/>
      <c r="Q194" s="567"/>
    </row>
    <row r="195" spans="5:17" s="388" customFormat="1" x14ac:dyDescent="0.25">
      <c r="E195" s="567"/>
      <c r="F195" s="570"/>
      <c r="G195" s="567"/>
      <c r="H195" s="567"/>
      <c r="I195" s="567"/>
      <c r="J195" s="674" t="e">
        <f t="shared" si="2"/>
        <v>#DIV/0!</v>
      </c>
      <c r="K195" s="564"/>
      <c r="L195" s="567"/>
      <c r="M195" s="567"/>
      <c r="N195" s="569"/>
      <c r="O195" s="567"/>
      <c r="P195" s="567"/>
      <c r="Q195" s="567"/>
    </row>
    <row r="196" spans="5:17" s="388" customFormat="1" x14ac:dyDescent="0.25">
      <c r="E196" s="567"/>
      <c r="F196" s="570"/>
      <c r="G196" s="567"/>
      <c r="H196" s="567"/>
      <c r="I196" s="567"/>
      <c r="J196" s="674" t="e">
        <f t="shared" si="2"/>
        <v>#DIV/0!</v>
      </c>
      <c r="K196" s="564"/>
      <c r="L196" s="567"/>
      <c r="M196" s="567"/>
      <c r="N196" s="569"/>
      <c r="O196" s="567"/>
      <c r="P196" s="567"/>
      <c r="Q196" s="567"/>
    </row>
    <row r="197" spans="5:17" s="388" customFormat="1" x14ac:dyDescent="0.25">
      <c r="E197" s="567"/>
      <c r="F197" s="570"/>
      <c r="G197" s="567"/>
      <c r="H197" s="567"/>
      <c r="I197" s="567"/>
      <c r="J197" s="674" t="e">
        <f t="shared" ref="J197:J260" si="3">(I197*K197/100)/(H197*G197)*1000</f>
        <v>#DIV/0!</v>
      </c>
      <c r="K197" s="564"/>
      <c r="L197" s="567"/>
      <c r="M197" s="567"/>
      <c r="N197" s="569"/>
      <c r="O197" s="567"/>
      <c r="P197" s="567"/>
      <c r="Q197" s="567"/>
    </row>
    <row r="198" spans="5:17" s="388" customFormat="1" x14ac:dyDescent="0.25">
      <c r="E198" s="567"/>
      <c r="F198" s="570"/>
      <c r="G198" s="567"/>
      <c r="H198" s="567"/>
      <c r="I198" s="567"/>
      <c r="J198" s="674" t="e">
        <f t="shared" si="3"/>
        <v>#DIV/0!</v>
      </c>
      <c r="K198" s="564"/>
      <c r="L198" s="567"/>
      <c r="M198" s="567"/>
      <c r="N198" s="569"/>
      <c r="O198" s="567"/>
      <c r="P198" s="567"/>
      <c r="Q198" s="567"/>
    </row>
    <row r="199" spans="5:17" s="388" customFormat="1" x14ac:dyDescent="0.25">
      <c r="E199" s="567"/>
      <c r="F199" s="570"/>
      <c r="G199" s="567"/>
      <c r="H199" s="567"/>
      <c r="I199" s="567"/>
      <c r="J199" s="674" t="e">
        <f t="shared" si="3"/>
        <v>#DIV/0!</v>
      </c>
      <c r="K199" s="564"/>
      <c r="L199" s="567"/>
      <c r="M199" s="567"/>
      <c r="N199" s="569"/>
      <c r="O199" s="567"/>
      <c r="P199" s="567"/>
      <c r="Q199" s="567"/>
    </row>
    <row r="200" spans="5:17" s="388" customFormat="1" x14ac:dyDescent="0.25">
      <c r="E200" s="567"/>
      <c r="F200" s="570"/>
      <c r="G200" s="567"/>
      <c r="H200" s="567"/>
      <c r="I200" s="567"/>
      <c r="J200" s="674" t="e">
        <f t="shared" si="3"/>
        <v>#DIV/0!</v>
      </c>
      <c r="K200" s="564"/>
      <c r="L200" s="567"/>
      <c r="M200" s="567"/>
      <c r="N200" s="569"/>
      <c r="O200" s="567"/>
      <c r="P200" s="567"/>
      <c r="Q200" s="567"/>
    </row>
    <row r="201" spans="5:17" s="388" customFormat="1" x14ac:dyDescent="0.25">
      <c r="E201" s="567"/>
      <c r="F201" s="570"/>
      <c r="G201" s="567"/>
      <c r="H201" s="567"/>
      <c r="I201" s="567"/>
      <c r="J201" s="674" t="e">
        <f t="shared" si="3"/>
        <v>#DIV/0!</v>
      </c>
      <c r="K201" s="564"/>
      <c r="L201" s="567"/>
      <c r="M201" s="567"/>
      <c r="N201" s="569"/>
      <c r="O201" s="567"/>
      <c r="P201" s="567"/>
      <c r="Q201" s="567"/>
    </row>
    <row r="202" spans="5:17" s="388" customFormat="1" x14ac:dyDescent="0.25">
      <c r="E202" s="567"/>
      <c r="F202" s="570"/>
      <c r="G202" s="567"/>
      <c r="H202" s="567"/>
      <c r="I202" s="567"/>
      <c r="J202" s="674" t="e">
        <f t="shared" si="3"/>
        <v>#DIV/0!</v>
      </c>
      <c r="K202" s="564"/>
      <c r="L202" s="567"/>
      <c r="M202" s="567"/>
      <c r="N202" s="569"/>
      <c r="O202" s="567"/>
      <c r="P202" s="567"/>
      <c r="Q202" s="567"/>
    </row>
    <row r="203" spans="5:17" s="388" customFormat="1" x14ac:dyDescent="0.25">
      <c r="E203" s="567"/>
      <c r="F203" s="570"/>
      <c r="G203" s="567"/>
      <c r="H203" s="567"/>
      <c r="I203" s="567"/>
      <c r="J203" s="674" t="e">
        <f t="shared" si="3"/>
        <v>#DIV/0!</v>
      </c>
      <c r="K203" s="564"/>
      <c r="L203" s="567"/>
      <c r="M203" s="567"/>
      <c r="N203" s="569"/>
      <c r="O203" s="567"/>
      <c r="P203" s="567"/>
      <c r="Q203" s="567"/>
    </row>
    <row r="204" spans="5:17" s="388" customFormat="1" x14ac:dyDescent="0.25">
      <c r="E204" s="567"/>
      <c r="F204" s="570"/>
      <c r="G204" s="567"/>
      <c r="H204" s="567"/>
      <c r="I204" s="567"/>
      <c r="J204" s="674" t="e">
        <f t="shared" si="3"/>
        <v>#DIV/0!</v>
      </c>
      <c r="K204" s="564"/>
      <c r="L204" s="567"/>
      <c r="M204" s="567"/>
      <c r="N204" s="569"/>
      <c r="O204" s="567"/>
      <c r="P204" s="567"/>
      <c r="Q204" s="567"/>
    </row>
    <row r="205" spans="5:17" s="388" customFormat="1" x14ac:dyDescent="0.25">
      <c r="E205" s="567"/>
      <c r="F205" s="570"/>
      <c r="G205" s="567"/>
      <c r="H205" s="567"/>
      <c r="I205" s="567"/>
      <c r="J205" s="674" t="e">
        <f t="shared" si="3"/>
        <v>#DIV/0!</v>
      </c>
      <c r="K205" s="564"/>
      <c r="L205" s="567"/>
      <c r="M205" s="567"/>
      <c r="N205" s="569"/>
      <c r="O205" s="567"/>
      <c r="P205" s="567"/>
      <c r="Q205" s="567"/>
    </row>
    <row r="206" spans="5:17" s="388" customFormat="1" x14ac:dyDescent="0.25">
      <c r="E206" s="567"/>
      <c r="F206" s="570"/>
      <c r="G206" s="567"/>
      <c r="H206" s="567"/>
      <c r="I206" s="567"/>
      <c r="J206" s="674" t="e">
        <f t="shared" si="3"/>
        <v>#DIV/0!</v>
      </c>
      <c r="K206" s="564"/>
      <c r="L206" s="567"/>
      <c r="M206" s="567"/>
      <c r="N206" s="569"/>
      <c r="O206" s="567"/>
      <c r="P206" s="567"/>
      <c r="Q206" s="567"/>
    </row>
    <row r="207" spans="5:17" s="388" customFormat="1" x14ac:dyDescent="0.25">
      <c r="E207" s="567"/>
      <c r="F207" s="570"/>
      <c r="G207" s="567"/>
      <c r="H207" s="567"/>
      <c r="I207" s="567"/>
      <c r="J207" s="674" t="e">
        <f t="shared" si="3"/>
        <v>#DIV/0!</v>
      </c>
      <c r="K207" s="564"/>
      <c r="L207" s="567"/>
      <c r="M207" s="567"/>
      <c r="N207" s="569"/>
      <c r="O207" s="567"/>
      <c r="P207" s="567"/>
      <c r="Q207" s="567"/>
    </row>
    <row r="208" spans="5:17" s="388" customFormat="1" x14ac:dyDescent="0.25">
      <c r="E208" s="567"/>
      <c r="F208" s="570"/>
      <c r="G208" s="567"/>
      <c r="H208" s="567"/>
      <c r="I208" s="567"/>
      <c r="J208" s="674" t="e">
        <f t="shared" si="3"/>
        <v>#DIV/0!</v>
      </c>
      <c r="K208" s="564"/>
      <c r="L208" s="567"/>
      <c r="M208" s="567"/>
      <c r="N208" s="569"/>
      <c r="O208" s="567"/>
      <c r="P208" s="567"/>
      <c r="Q208" s="567"/>
    </row>
    <row r="209" spans="5:17" s="388" customFormat="1" x14ac:dyDescent="0.25">
      <c r="E209" s="567"/>
      <c r="F209" s="570"/>
      <c r="G209" s="567"/>
      <c r="H209" s="567"/>
      <c r="I209" s="567"/>
      <c r="J209" s="674" t="e">
        <f t="shared" si="3"/>
        <v>#DIV/0!</v>
      </c>
      <c r="K209" s="564"/>
      <c r="L209" s="567"/>
      <c r="M209" s="567"/>
      <c r="N209" s="569"/>
      <c r="O209" s="567"/>
      <c r="P209" s="567"/>
      <c r="Q209" s="567"/>
    </row>
    <row r="210" spans="5:17" s="388" customFormat="1" x14ac:dyDescent="0.25">
      <c r="E210" s="567"/>
      <c r="F210" s="570"/>
      <c r="G210" s="567"/>
      <c r="H210" s="567"/>
      <c r="I210" s="567"/>
      <c r="J210" s="674" t="e">
        <f t="shared" si="3"/>
        <v>#DIV/0!</v>
      </c>
      <c r="K210" s="564"/>
      <c r="L210" s="567"/>
      <c r="M210" s="567"/>
      <c r="N210" s="569"/>
      <c r="O210" s="567"/>
      <c r="P210" s="567"/>
      <c r="Q210" s="567"/>
    </row>
    <row r="211" spans="5:17" s="388" customFormat="1" x14ac:dyDescent="0.25">
      <c r="E211" s="567"/>
      <c r="F211" s="570"/>
      <c r="G211" s="567"/>
      <c r="H211" s="567"/>
      <c r="I211" s="567"/>
      <c r="J211" s="674" t="e">
        <f t="shared" si="3"/>
        <v>#DIV/0!</v>
      </c>
      <c r="K211" s="564"/>
      <c r="L211" s="567"/>
      <c r="M211" s="567"/>
      <c r="N211" s="569"/>
      <c r="O211" s="567"/>
      <c r="P211" s="567"/>
      <c r="Q211" s="567"/>
    </row>
    <row r="212" spans="5:17" s="388" customFormat="1" x14ac:dyDescent="0.25">
      <c r="E212" s="567"/>
      <c r="F212" s="570"/>
      <c r="G212" s="567"/>
      <c r="H212" s="567"/>
      <c r="I212" s="567"/>
      <c r="J212" s="674" t="e">
        <f t="shared" si="3"/>
        <v>#DIV/0!</v>
      </c>
      <c r="K212" s="564"/>
      <c r="L212" s="567"/>
      <c r="M212" s="567"/>
      <c r="N212" s="569"/>
      <c r="O212" s="567"/>
      <c r="P212" s="567"/>
      <c r="Q212" s="567"/>
    </row>
    <row r="213" spans="5:17" s="388" customFormat="1" x14ac:dyDescent="0.25">
      <c r="E213" s="567"/>
      <c r="F213" s="570"/>
      <c r="G213" s="567"/>
      <c r="H213" s="567"/>
      <c r="I213" s="567"/>
      <c r="J213" s="674" t="e">
        <f t="shared" si="3"/>
        <v>#DIV/0!</v>
      </c>
      <c r="K213" s="564"/>
      <c r="L213" s="567"/>
      <c r="M213" s="567"/>
      <c r="N213" s="569"/>
      <c r="O213" s="567"/>
      <c r="P213" s="567"/>
      <c r="Q213" s="567"/>
    </row>
    <row r="214" spans="5:17" s="388" customFormat="1" x14ac:dyDescent="0.25">
      <c r="E214" s="567"/>
      <c r="F214" s="570"/>
      <c r="G214" s="567"/>
      <c r="H214" s="567"/>
      <c r="I214" s="567"/>
      <c r="J214" s="674" t="e">
        <f t="shared" si="3"/>
        <v>#DIV/0!</v>
      </c>
      <c r="K214" s="564"/>
      <c r="L214" s="567"/>
      <c r="M214" s="567"/>
      <c r="N214" s="569"/>
      <c r="O214" s="567"/>
      <c r="P214" s="567"/>
      <c r="Q214" s="567"/>
    </row>
    <row r="215" spans="5:17" s="388" customFormat="1" x14ac:dyDescent="0.25">
      <c r="E215" s="567"/>
      <c r="F215" s="570"/>
      <c r="G215" s="567"/>
      <c r="H215" s="567"/>
      <c r="I215" s="567"/>
      <c r="J215" s="674" t="e">
        <f t="shared" si="3"/>
        <v>#DIV/0!</v>
      </c>
      <c r="K215" s="564"/>
      <c r="L215" s="567"/>
      <c r="M215" s="567"/>
      <c r="N215" s="569"/>
      <c r="O215" s="567"/>
      <c r="P215" s="567"/>
      <c r="Q215" s="567"/>
    </row>
    <row r="216" spans="5:17" s="388" customFormat="1" x14ac:dyDescent="0.25">
      <c r="E216" s="567"/>
      <c r="F216" s="570"/>
      <c r="G216" s="567"/>
      <c r="H216" s="567"/>
      <c r="I216" s="567"/>
      <c r="J216" s="674" t="e">
        <f t="shared" si="3"/>
        <v>#DIV/0!</v>
      </c>
      <c r="K216" s="564"/>
      <c r="L216" s="567"/>
      <c r="M216" s="567"/>
      <c r="N216" s="569"/>
      <c r="O216" s="567"/>
      <c r="P216" s="567"/>
      <c r="Q216" s="567"/>
    </row>
    <row r="217" spans="5:17" s="388" customFormat="1" x14ac:dyDescent="0.25">
      <c r="E217" s="567"/>
      <c r="F217" s="570"/>
      <c r="G217" s="567"/>
      <c r="H217" s="567"/>
      <c r="I217" s="567"/>
      <c r="J217" s="674" t="e">
        <f t="shared" si="3"/>
        <v>#DIV/0!</v>
      </c>
      <c r="K217" s="564"/>
      <c r="L217" s="567"/>
      <c r="M217" s="567"/>
      <c r="N217" s="569"/>
      <c r="O217" s="567"/>
      <c r="P217" s="567"/>
      <c r="Q217" s="567"/>
    </row>
    <row r="218" spans="5:17" s="388" customFormat="1" x14ac:dyDescent="0.25">
      <c r="E218" s="567"/>
      <c r="F218" s="570"/>
      <c r="G218" s="567"/>
      <c r="H218" s="567"/>
      <c r="I218" s="567"/>
      <c r="J218" s="674" t="e">
        <f t="shared" si="3"/>
        <v>#DIV/0!</v>
      </c>
      <c r="K218" s="564"/>
      <c r="L218" s="567"/>
      <c r="M218" s="567"/>
      <c r="N218" s="569"/>
      <c r="O218" s="567"/>
      <c r="P218" s="567"/>
      <c r="Q218" s="567"/>
    </row>
    <row r="219" spans="5:17" s="388" customFormat="1" x14ac:dyDescent="0.25">
      <c r="E219" s="567"/>
      <c r="F219" s="570"/>
      <c r="G219" s="567"/>
      <c r="H219" s="567"/>
      <c r="I219" s="567"/>
      <c r="J219" s="674" t="e">
        <f t="shared" si="3"/>
        <v>#DIV/0!</v>
      </c>
      <c r="K219" s="564"/>
      <c r="L219" s="567"/>
      <c r="M219" s="567"/>
      <c r="N219" s="569"/>
      <c r="O219" s="567"/>
      <c r="P219" s="567"/>
      <c r="Q219" s="567"/>
    </row>
    <row r="220" spans="5:17" s="388" customFormat="1" x14ac:dyDescent="0.25">
      <c r="E220" s="571"/>
      <c r="F220" s="572"/>
      <c r="G220" s="571"/>
      <c r="H220" s="571"/>
      <c r="I220" s="571"/>
      <c r="J220" s="675" t="e">
        <f t="shared" si="3"/>
        <v>#DIV/0!</v>
      </c>
      <c r="K220" s="573"/>
      <c r="L220" s="571"/>
      <c r="M220" s="571"/>
      <c r="N220" s="574"/>
      <c r="O220" s="571"/>
      <c r="P220" s="571"/>
      <c r="Q220" s="571"/>
    </row>
    <row r="221" spans="5:17" s="388" customFormat="1" x14ac:dyDescent="0.25">
      <c r="F221" s="224"/>
      <c r="J221" s="676" t="e">
        <f t="shared" si="3"/>
        <v>#DIV/0!</v>
      </c>
      <c r="K221" s="716"/>
      <c r="N221" s="533"/>
    </row>
    <row r="222" spans="5:17" s="388" customFormat="1" x14ac:dyDescent="0.25">
      <c r="F222" s="224"/>
      <c r="J222" s="676" t="e">
        <f t="shared" si="3"/>
        <v>#DIV/0!</v>
      </c>
      <c r="K222" s="716"/>
      <c r="N222" s="533"/>
    </row>
    <row r="223" spans="5:17" s="388" customFormat="1" x14ac:dyDescent="0.25">
      <c r="F223" s="224"/>
      <c r="J223" s="676" t="e">
        <f t="shared" si="3"/>
        <v>#DIV/0!</v>
      </c>
      <c r="K223" s="716"/>
      <c r="N223" s="533"/>
    </row>
    <row r="224" spans="5:17" s="388" customFormat="1" x14ac:dyDescent="0.25">
      <c r="F224" s="224"/>
      <c r="J224" s="676" t="e">
        <f t="shared" si="3"/>
        <v>#DIV/0!</v>
      </c>
      <c r="K224" s="716"/>
      <c r="N224" s="533"/>
    </row>
    <row r="225" spans="10:10" s="388" customFormat="1" x14ac:dyDescent="0.25">
      <c r="J225" s="676" t="e">
        <f t="shared" si="3"/>
        <v>#DIV/0!</v>
      </c>
    </row>
    <row r="226" spans="10:10" s="388" customFormat="1" x14ac:dyDescent="0.25">
      <c r="J226" s="676" t="e">
        <f t="shared" si="3"/>
        <v>#DIV/0!</v>
      </c>
    </row>
    <row r="227" spans="10:10" s="388" customFormat="1" x14ac:dyDescent="0.25">
      <c r="J227" s="676" t="e">
        <f t="shared" si="3"/>
        <v>#DIV/0!</v>
      </c>
    </row>
    <row r="228" spans="10:10" s="388" customFormat="1" x14ac:dyDescent="0.25">
      <c r="J228" s="676" t="e">
        <f t="shared" si="3"/>
        <v>#DIV/0!</v>
      </c>
    </row>
    <row r="229" spans="10:10" s="388" customFormat="1" x14ac:dyDescent="0.25">
      <c r="J229" s="676" t="e">
        <f t="shared" si="3"/>
        <v>#DIV/0!</v>
      </c>
    </row>
    <row r="230" spans="10:10" s="388" customFormat="1" x14ac:dyDescent="0.25">
      <c r="J230" s="676" t="e">
        <f t="shared" si="3"/>
        <v>#DIV/0!</v>
      </c>
    </row>
    <row r="231" spans="10:10" s="388" customFormat="1" x14ac:dyDescent="0.25">
      <c r="J231" s="676" t="e">
        <f t="shared" si="3"/>
        <v>#DIV/0!</v>
      </c>
    </row>
    <row r="232" spans="10:10" s="388" customFormat="1" x14ac:dyDescent="0.25">
      <c r="J232" s="676" t="e">
        <f t="shared" si="3"/>
        <v>#DIV/0!</v>
      </c>
    </row>
    <row r="233" spans="10:10" s="388" customFormat="1" x14ac:dyDescent="0.25">
      <c r="J233" s="676" t="e">
        <f t="shared" si="3"/>
        <v>#DIV/0!</v>
      </c>
    </row>
    <row r="234" spans="10:10" s="388" customFormat="1" x14ac:dyDescent="0.25">
      <c r="J234" s="676" t="e">
        <f t="shared" si="3"/>
        <v>#DIV/0!</v>
      </c>
    </row>
    <row r="235" spans="10:10" s="388" customFormat="1" x14ac:dyDescent="0.25">
      <c r="J235" s="676" t="e">
        <f t="shared" si="3"/>
        <v>#DIV/0!</v>
      </c>
    </row>
    <row r="236" spans="10:10" s="388" customFormat="1" x14ac:dyDescent="0.25">
      <c r="J236" s="676" t="e">
        <f t="shared" si="3"/>
        <v>#DIV/0!</v>
      </c>
    </row>
    <row r="237" spans="10:10" s="388" customFormat="1" x14ac:dyDescent="0.25">
      <c r="J237" s="676" t="e">
        <f t="shared" si="3"/>
        <v>#DIV/0!</v>
      </c>
    </row>
    <row r="238" spans="10:10" s="388" customFormat="1" x14ac:dyDescent="0.25">
      <c r="J238" s="676" t="e">
        <f t="shared" si="3"/>
        <v>#DIV/0!</v>
      </c>
    </row>
    <row r="239" spans="10:10" s="388" customFormat="1" x14ac:dyDescent="0.25">
      <c r="J239" s="676" t="e">
        <f t="shared" si="3"/>
        <v>#DIV/0!</v>
      </c>
    </row>
    <row r="240" spans="10:10" s="388" customFormat="1" x14ac:dyDescent="0.25">
      <c r="J240" s="676" t="e">
        <f t="shared" si="3"/>
        <v>#DIV/0!</v>
      </c>
    </row>
    <row r="241" spans="10:10" s="388" customFormat="1" x14ac:dyDescent="0.25">
      <c r="J241" s="676" t="e">
        <f t="shared" si="3"/>
        <v>#DIV/0!</v>
      </c>
    </row>
    <row r="242" spans="10:10" s="388" customFormat="1" x14ac:dyDescent="0.25">
      <c r="J242" s="676" t="e">
        <f t="shared" si="3"/>
        <v>#DIV/0!</v>
      </c>
    </row>
    <row r="243" spans="10:10" s="388" customFormat="1" x14ac:dyDescent="0.25">
      <c r="J243" s="676" t="e">
        <f t="shared" si="3"/>
        <v>#DIV/0!</v>
      </c>
    </row>
    <row r="244" spans="10:10" s="388" customFormat="1" x14ac:dyDescent="0.25">
      <c r="J244" s="676" t="e">
        <f t="shared" si="3"/>
        <v>#DIV/0!</v>
      </c>
    </row>
    <row r="245" spans="10:10" s="388" customFormat="1" x14ac:dyDescent="0.25">
      <c r="J245" s="676" t="e">
        <f t="shared" si="3"/>
        <v>#DIV/0!</v>
      </c>
    </row>
    <row r="246" spans="10:10" s="388" customFormat="1" x14ac:dyDescent="0.25">
      <c r="J246" s="676" t="e">
        <f t="shared" si="3"/>
        <v>#DIV/0!</v>
      </c>
    </row>
    <row r="247" spans="10:10" s="388" customFormat="1" x14ac:dyDescent="0.25">
      <c r="J247" s="676" t="e">
        <f t="shared" si="3"/>
        <v>#DIV/0!</v>
      </c>
    </row>
    <row r="248" spans="10:10" s="388" customFormat="1" x14ac:dyDescent="0.25">
      <c r="J248" s="676" t="e">
        <f t="shared" si="3"/>
        <v>#DIV/0!</v>
      </c>
    </row>
    <row r="249" spans="10:10" s="388" customFormat="1" x14ac:dyDescent="0.25">
      <c r="J249" s="676" t="e">
        <f t="shared" si="3"/>
        <v>#DIV/0!</v>
      </c>
    </row>
    <row r="250" spans="10:10" s="388" customFormat="1" x14ac:dyDescent="0.25">
      <c r="J250" s="676" t="e">
        <f t="shared" si="3"/>
        <v>#DIV/0!</v>
      </c>
    </row>
    <row r="251" spans="10:10" s="388" customFormat="1" x14ac:dyDescent="0.25">
      <c r="J251" s="676" t="e">
        <f t="shared" si="3"/>
        <v>#DIV/0!</v>
      </c>
    </row>
    <row r="252" spans="10:10" s="388" customFormat="1" x14ac:dyDescent="0.25">
      <c r="J252" s="676" t="e">
        <f t="shared" si="3"/>
        <v>#DIV/0!</v>
      </c>
    </row>
    <row r="253" spans="10:10" s="388" customFormat="1" x14ac:dyDescent="0.25">
      <c r="J253" s="676" t="e">
        <f t="shared" si="3"/>
        <v>#DIV/0!</v>
      </c>
    </row>
    <row r="254" spans="10:10" s="388" customFormat="1" x14ac:dyDescent="0.25">
      <c r="J254" s="676" t="e">
        <f t="shared" si="3"/>
        <v>#DIV/0!</v>
      </c>
    </row>
    <row r="255" spans="10:10" s="388" customFormat="1" x14ac:dyDescent="0.25">
      <c r="J255" s="676" t="e">
        <f t="shared" si="3"/>
        <v>#DIV/0!</v>
      </c>
    </row>
    <row r="256" spans="10:10" s="388" customFormat="1" x14ac:dyDescent="0.25">
      <c r="J256" s="676" t="e">
        <f t="shared" si="3"/>
        <v>#DIV/0!</v>
      </c>
    </row>
    <row r="257" spans="10:10" s="388" customFormat="1" x14ac:dyDescent="0.25">
      <c r="J257" s="676" t="e">
        <f t="shared" si="3"/>
        <v>#DIV/0!</v>
      </c>
    </row>
    <row r="258" spans="10:10" s="388" customFormat="1" x14ac:dyDescent="0.25">
      <c r="J258" s="676" t="e">
        <f t="shared" si="3"/>
        <v>#DIV/0!</v>
      </c>
    </row>
    <row r="259" spans="10:10" s="388" customFormat="1" x14ac:dyDescent="0.25">
      <c r="J259" s="676" t="e">
        <f t="shared" si="3"/>
        <v>#DIV/0!</v>
      </c>
    </row>
    <row r="260" spans="10:10" s="388" customFormat="1" x14ac:dyDescent="0.25">
      <c r="J260" s="676" t="e">
        <f t="shared" si="3"/>
        <v>#DIV/0!</v>
      </c>
    </row>
    <row r="261" spans="10:10" s="388" customFormat="1" x14ac:dyDescent="0.25">
      <c r="J261" s="676" t="e">
        <f t="shared" ref="J261:J324" si="4">(I261*K261/100)/(H261*G261)*1000</f>
        <v>#DIV/0!</v>
      </c>
    </row>
    <row r="262" spans="10:10" s="388" customFormat="1" x14ac:dyDescent="0.25">
      <c r="J262" s="676" t="e">
        <f t="shared" si="4"/>
        <v>#DIV/0!</v>
      </c>
    </row>
    <row r="263" spans="10:10" s="388" customFormat="1" x14ac:dyDescent="0.25">
      <c r="J263" s="676" t="e">
        <f t="shared" si="4"/>
        <v>#DIV/0!</v>
      </c>
    </row>
    <row r="264" spans="10:10" s="388" customFormat="1" x14ac:dyDescent="0.25">
      <c r="J264" s="676" t="e">
        <f t="shared" si="4"/>
        <v>#DIV/0!</v>
      </c>
    </row>
    <row r="265" spans="10:10" s="388" customFormat="1" x14ac:dyDescent="0.25">
      <c r="J265" s="676" t="e">
        <f t="shared" si="4"/>
        <v>#DIV/0!</v>
      </c>
    </row>
    <row r="266" spans="10:10" s="388" customFormat="1" x14ac:dyDescent="0.25">
      <c r="J266" s="676" t="e">
        <f t="shared" si="4"/>
        <v>#DIV/0!</v>
      </c>
    </row>
    <row r="267" spans="10:10" s="388" customFormat="1" x14ac:dyDescent="0.25">
      <c r="J267" s="676" t="e">
        <f t="shared" si="4"/>
        <v>#DIV/0!</v>
      </c>
    </row>
    <row r="268" spans="10:10" s="388" customFormat="1" x14ac:dyDescent="0.25">
      <c r="J268" s="676" t="e">
        <f t="shared" si="4"/>
        <v>#DIV/0!</v>
      </c>
    </row>
    <row r="269" spans="10:10" s="388" customFormat="1" x14ac:dyDescent="0.25">
      <c r="J269" s="676" t="e">
        <f t="shared" si="4"/>
        <v>#DIV/0!</v>
      </c>
    </row>
    <row r="270" spans="10:10" s="388" customFormat="1" x14ac:dyDescent="0.25">
      <c r="J270" s="676" t="e">
        <f t="shared" si="4"/>
        <v>#DIV/0!</v>
      </c>
    </row>
    <row r="271" spans="10:10" s="388" customFormat="1" x14ac:dyDescent="0.25">
      <c r="J271" s="676" t="e">
        <f t="shared" si="4"/>
        <v>#DIV/0!</v>
      </c>
    </row>
    <row r="272" spans="10:10" s="388" customFormat="1" x14ac:dyDescent="0.25">
      <c r="J272" s="676" t="e">
        <f t="shared" si="4"/>
        <v>#DIV/0!</v>
      </c>
    </row>
    <row r="273" spans="10:10" s="388" customFormat="1" x14ac:dyDescent="0.25">
      <c r="J273" s="676" t="e">
        <f t="shared" si="4"/>
        <v>#DIV/0!</v>
      </c>
    </row>
    <row r="274" spans="10:10" s="388" customFormat="1" x14ac:dyDescent="0.25">
      <c r="J274" s="676" t="e">
        <f t="shared" si="4"/>
        <v>#DIV/0!</v>
      </c>
    </row>
    <row r="275" spans="10:10" s="388" customFormat="1" x14ac:dyDescent="0.25">
      <c r="J275" s="676" t="e">
        <f t="shared" si="4"/>
        <v>#DIV/0!</v>
      </c>
    </row>
    <row r="276" spans="10:10" s="388" customFormat="1" x14ac:dyDescent="0.25">
      <c r="J276" s="676" t="e">
        <f t="shared" si="4"/>
        <v>#DIV/0!</v>
      </c>
    </row>
    <row r="277" spans="10:10" s="388" customFormat="1" x14ac:dyDescent="0.25">
      <c r="J277" s="676" t="e">
        <f t="shared" si="4"/>
        <v>#DIV/0!</v>
      </c>
    </row>
    <row r="278" spans="10:10" s="388" customFormat="1" x14ac:dyDescent="0.25">
      <c r="J278" s="676" t="e">
        <f t="shared" si="4"/>
        <v>#DIV/0!</v>
      </c>
    </row>
    <row r="279" spans="10:10" s="388" customFormat="1" x14ac:dyDescent="0.25">
      <c r="J279" s="676" t="e">
        <f t="shared" si="4"/>
        <v>#DIV/0!</v>
      </c>
    </row>
    <row r="280" spans="10:10" s="388" customFormat="1" x14ac:dyDescent="0.25">
      <c r="J280" s="676" t="e">
        <f t="shared" si="4"/>
        <v>#DIV/0!</v>
      </c>
    </row>
    <row r="281" spans="10:10" s="388" customFormat="1" x14ac:dyDescent="0.25">
      <c r="J281" s="676" t="e">
        <f t="shared" si="4"/>
        <v>#DIV/0!</v>
      </c>
    </row>
    <row r="282" spans="10:10" s="388" customFormat="1" x14ac:dyDescent="0.25">
      <c r="J282" s="676" t="e">
        <f t="shared" si="4"/>
        <v>#DIV/0!</v>
      </c>
    </row>
    <row r="283" spans="10:10" s="388" customFormat="1" x14ac:dyDescent="0.25">
      <c r="J283" s="676" t="e">
        <f t="shared" si="4"/>
        <v>#DIV/0!</v>
      </c>
    </row>
    <row r="284" spans="10:10" s="388" customFormat="1" x14ac:dyDescent="0.25">
      <c r="J284" s="676" t="e">
        <f t="shared" si="4"/>
        <v>#DIV/0!</v>
      </c>
    </row>
    <row r="285" spans="10:10" s="388" customFormat="1" x14ac:dyDescent="0.25">
      <c r="J285" s="676" t="e">
        <f t="shared" si="4"/>
        <v>#DIV/0!</v>
      </c>
    </row>
    <row r="286" spans="10:10" s="388" customFormat="1" x14ac:dyDescent="0.25">
      <c r="J286" s="676" t="e">
        <f t="shared" si="4"/>
        <v>#DIV/0!</v>
      </c>
    </row>
    <row r="287" spans="10:10" s="388" customFormat="1" x14ac:dyDescent="0.25">
      <c r="J287" s="676" t="e">
        <f t="shared" si="4"/>
        <v>#DIV/0!</v>
      </c>
    </row>
    <row r="288" spans="10:10" s="388" customFormat="1" x14ac:dyDescent="0.25">
      <c r="J288" s="676" t="e">
        <f t="shared" si="4"/>
        <v>#DIV/0!</v>
      </c>
    </row>
    <row r="289" spans="10:10" s="388" customFormat="1" x14ac:dyDescent="0.25">
      <c r="J289" s="676" t="e">
        <f t="shared" si="4"/>
        <v>#DIV/0!</v>
      </c>
    </row>
    <row r="290" spans="10:10" s="388" customFormat="1" x14ac:dyDescent="0.25">
      <c r="J290" s="676" t="e">
        <f t="shared" si="4"/>
        <v>#DIV/0!</v>
      </c>
    </row>
    <row r="291" spans="10:10" s="388" customFormat="1" x14ac:dyDescent="0.25">
      <c r="J291" s="676" t="e">
        <f t="shared" si="4"/>
        <v>#DIV/0!</v>
      </c>
    </row>
    <row r="292" spans="10:10" s="388" customFormat="1" x14ac:dyDescent="0.25">
      <c r="J292" s="676" t="e">
        <f t="shared" si="4"/>
        <v>#DIV/0!</v>
      </c>
    </row>
    <row r="293" spans="10:10" s="388" customFormat="1" x14ac:dyDescent="0.25">
      <c r="J293" s="676" t="e">
        <f t="shared" si="4"/>
        <v>#DIV/0!</v>
      </c>
    </row>
    <row r="294" spans="10:10" s="388" customFormat="1" x14ac:dyDescent="0.25">
      <c r="J294" s="676" t="e">
        <f t="shared" si="4"/>
        <v>#DIV/0!</v>
      </c>
    </row>
    <row r="295" spans="10:10" s="388" customFormat="1" x14ac:dyDescent="0.25">
      <c r="J295" s="676" t="e">
        <f t="shared" si="4"/>
        <v>#DIV/0!</v>
      </c>
    </row>
    <row r="296" spans="10:10" s="388" customFormat="1" x14ac:dyDescent="0.25">
      <c r="J296" s="676" t="e">
        <f t="shared" si="4"/>
        <v>#DIV/0!</v>
      </c>
    </row>
    <row r="297" spans="10:10" s="388" customFormat="1" x14ac:dyDescent="0.25">
      <c r="J297" s="676" t="e">
        <f t="shared" si="4"/>
        <v>#DIV/0!</v>
      </c>
    </row>
    <row r="298" spans="10:10" s="388" customFormat="1" x14ac:dyDescent="0.25">
      <c r="J298" s="676" t="e">
        <f t="shared" si="4"/>
        <v>#DIV/0!</v>
      </c>
    </row>
    <row r="299" spans="10:10" s="388" customFormat="1" x14ac:dyDescent="0.25">
      <c r="J299" s="676" t="e">
        <f t="shared" si="4"/>
        <v>#DIV/0!</v>
      </c>
    </row>
    <row r="300" spans="10:10" s="388" customFormat="1" x14ac:dyDescent="0.25">
      <c r="J300" s="676" t="e">
        <f t="shared" si="4"/>
        <v>#DIV/0!</v>
      </c>
    </row>
    <row r="301" spans="10:10" s="388" customFormat="1" x14ac:dyDescent="0.25">
      <c r="J301" s="676" t="e">
        <f t="shared" si="4"/>
        <v>#DIV/0!</v>
      </c>
    </row>
    <row r="302" spans="10:10" s="388" customFormat="1" x14ac:dyDescent="0.25">
      <c r="J302" s="676" t="e">
        <f t="shared" si="4"/>
        <v>#DIV/0!</v>
      </c>
    </row>
    <row r="303" spans="10:10" s="388" customFormat="1" x14ac:dyDescent="0.25">
      <c r="J303" s="676" t="e">
        <f t="shared" si="4"/>
        <v>#DIV/0!</v>
      </c>
    </row>
    <row r="304" spans="10:10" s="388" customFormat="1" x14ac:dyDescent="0.25">
      <c r="J304" s="676" t="e">
        <f t="shared" si="4"/>
        <v>#DIV/0!</v>
      </c>
    </row>
    <row r="305" spans="10:10" s="388" customFormat="1" x14ac:dyDescent="0.25">
      <c r="J305" s="676" t="e">
        <f t="shared" si="4"/>
        <v>#DIV/0!</v>
      </c>
    </row>
    <row r="306" spans="10:10" s="388" customFormat="1" x14ac:dyDescent="0.25">
      <c r="J306" s="676" t="e">
        <f t="shared" si="4"/>
        <v>#DIV/0!</v>
      </c>
    </row>
    <row r="307" spans="10:10" s="388" customFormat="1" x14ac:dyDescent="0.25">
      <c r="J307" s="676" t="e">
        <f t="shared" si="4"/>
        <v>#DIV/0!</v>
      </c>
    </row>
    <row r="308" spans="10:10" s="388" customFormat="1" x14ac:dyDescent="0.25">
      <c r="J308" s="676" t="e">
        <f t="shared" si="4"/>
        <v>#DIV/0!</v>
      </c>
    </row>
    <row r="309" spans="10:10" s="388" customFormat="1" x14ac:dyDescent="0.25">
      <c r="J309" s="676" t="e">
        <f t="shared" si="4"/>
        <v>#DIV/0!</v>
      </c>
    </row>
    <row r="310" spans="10:10" s="388" customFormat="1" x14ac:dyDescent="0.25">
      <c r="J310" s="676" t="e">
        <f t="shared" si="4"/>
        <v>#DIV/0!</v>
      </c>
    </row>
    <row r="311" spans="10:10" s="388" customFormat="1" x14ac:dyDescent="0.25">
      <c r="J311" s="676" t="e">
        <f t="shared" si="4"/>
        <v>#DIV/0!</v>
      </c>
    </row>
    <row r="312" spans="10:10" s="388" customFormat="1" x14ac:dyDescent="0.25">
      <c r="J312" s="676" t="e">
        <f t="shared" si="4"/>
        <v>#DIV/0!</v>
      </c>
    </row>
    <row r="313" spans="10:10" s="388" customFormat="1" x14ac:dyDescent="0.25">
      <c r="J313" s="676" t="e">
        <f t="shared" si="4"/>
        <v>#DIV/0!</v>
      </c>
    </row>
    <row r="314" spans="10:10" s="388" customFormat="1" x14ac:dyDescent="0.25">
      <c r="J314" s="676" t="e">
        <f t="shared" si="4"/>
        <v>#DIV/0!</v>
      </c>
    </row>
    <row r="315" spans="10:10" s="388" customFormat="1" x14ac:dyDescent="0.25">
      <c r="J315" s="676" t="e">
        <f t="shared" si="4"/>
        <v>#DIV/0!</v>
      </c>
    </row>
    <row r="316" spans="10:10" s="388" customFormat="1" x14ac:dyDescent="0.25">
      <c r="J316" s="676" t="e">
        <f t="shared" si="4"/>
        <v>#DIV/0!</v>
      </c>
    </row>
    <row r="317" spans="10:10" s="388" customFormat="1" x14ac:dyDescent="0.25">
      <c r="J317" s="676" t="e">
        <f t="shared" si="4"/>
        <v>#DIV/0!</v>
      </c>
    </row>
    <row r="318" spans="10:10" s="388" customFormat="1" x14ac:dyDescent="0.25">
      <c r="J318" s="676" t="e">
        <f t="shared" si="4"/>
        <v>#DIV/0!</v>
      </c>
    </row>
    <row r="319" spans="10:10" s="388" customFormat="1" x14ac:dyDescent="0.25">
      <c r="J319" s="676" t="e">
        <f t="shared" si="4"/>
        <v>#DIV/0!</v>
      </c>
    </row>
    <row r="320" spans="10:10" s="388" customFormat="1" x14ac:dyDescent="0.25">
      <c r="J320" s="676" t="e">
        <f t="shared" si="4"/>
        <v>#DIV/0!</v>
      </c>
    </row>
    <row r="321" spans="10:10" s="388" customFormat="1" x14ac:dyDescent="0.25">
      <c r="J321" s="676" t="e">
        <f t="shared" si="4"/>
        <v>#DIV/0!</v>
      </c>
    </row>
    <row r="322" spans="10:10" s="388" customFormat="1" x14ac:dyDescent="0.25">
      <c r="J322" s="676" t="e">
        <f t="shared" si="4"/>
        <v>#DIV/0!</v>
      </c>
    </row>
    <row r="323" spans="10:10" s="388" customFormat="1" x14ac:dyDescent="0.25">
      <c r="J323" s="676" t="e">
        <f t="shared" si="4"/>
        <v>#DIV/0!</v>
      </c>
    </row>
    <row r="324" spans="10:10" s="388" customFormat="1" x14ac:dyDescent="0.25">
      <c r="J324" s="676" t="e">
        <f t="shared" si="4"/>
        <v>#DIV/0!</v>
      </c>
    </row>
    <row r="325" spans="10:10" s="388" customFormat="1" x14ac:dyDescent="0.25">
      <c r="J325" s="676" t="e">
        <f t="shared" ref="J325:J388" si="5">(I325*K325/100)/(H325*G325)*1000</f>
        <v>#DIV/0!</v>
      </c>
    </row>
    <row r="326" spans="10:10" s="388" customFormat="1" x14ac:dyDescent="0.25">
      <c r="J326" s="676" t="e">
        <f t="shared" si="5"/>
        <v>#DIV/0!</v>
      </c>
    </row>
    <row r="327" spans="10:10" s="388" customFormat="1" x14ac:dyDescent="0.25">
      <c r="J327" s="676" t="e">
        <f t="shared" si="5"/>
        <v>#DIV/0!</v>
      </c>
    </row>
    <row r="328" spans="10:10" s="388" customFormat="1" x14ac:dyDescent="0.25">
      <c r="J328" s="676" t="e">
        <f t="shared" si="5"/>
        <v>#DIV/0!</v>
      </c>
    </row>
    <row r="329" spans="10:10" s="388" customFormat="1" x14ac:dyDescent="0.25">
      <c r="J329" s="676" t="e">
        <f t="shared" si="5"/>
        <v>#DIV/0!</v>
      </c>
    </row>
    <row r="330" spans="10:10" s="388" customFormat="1" x14ac:dyDescent="0.25">
      <c r="J330" s="676" t="e">
        <f t="shared" si="5"/>
        <v>#DIV/0!</v>
      </c>
    </row>
    <row r="331" spans="10:10" s="388" customFormat="1" x14ac:dyDescent="0.25">
      <c r="J331" s="676" t="e">
        <f t="shared" si="5"/>
        <v>#DIV/0!</v>
      </c>
    </row>
    <row r="332" spans="10:10" s="388" customFormat="1" x14ac:dyDescent="0.25">
      <c r="J332" s="676" t="e">
        <f t="shared" si="5"/>
        <v>#DIV/0!</v>
      </c>
    </row>
    <row r="333" spans="10:10" s="388" customFormat="1" x14ac:dyDescent="0.25">
      <c r="J333" s="676" t="e">
        <f t="shared" si="5"/>
        <v>#DIV/0!</v>
      </c>
    </row>
    <row r="334" spans="10:10" s="388" customFormat="1" x14ac:dyDescent="0.25">
      <c r="J334" s="676" t="e">
        <f t="shared" si="5"/>
        <v>#DIV/0!</v>
      </c>
    </row>
    <row r="335" spans="10:10" s="388" customFormat="1" x14ac:dyDescent="0.25">
      <c r="J335" s="676" t="e">
        <f t="shared" si="5"/>
        <v>#DIV/0!</v>
      </c>
    </row>
    <row r="336" spans="10:10" s="388" customFormat="1" x14ac:dyDescent="0.25">
      <c r="J336" s="676" t="e">
        <f t="shared" si="5"/>
        <v>#DIV/0!</v>
      </c>
    </row>
    <row r="337" spans="10:10" s="388" customFormat="1" x14ac:dyDescent="0.25">
      <c r="J337" s="676" t="e">
        <f t="shared" si="5"/>
        <v>#DIV/0!</v>
      </c>
    </row>
    <row r="338" spans="10:10" s="388" customFormat="1" x14ac:dyDescent="0.25">
      <c r="J338" s="676" t="e">
        <f t="shared" si="5"/>
        <v>#DIV/0!</v>
      </c>
    </row>
    <row r="339" spans="10:10" s="388" customFormat="1" x14ac:dyDescent="0.25">
      <c r="J339" s="676" t="e">
        <f t="shared" si="5"/>
        <v>#DIV/0!</v>
      </c>
    </row>
    <row r="340" spans="10:10" s="388" customFormat="1" x14ac:dyDescent="0.25">
      <c r="J340" s="676" t="e">
        <f t="shared" si="5"/>
        <v>#DIV/0!</v>
      </c>
    </row>
    <row r="341" spans="10:10" s="388" customFormat="1" x14ac:dyDescent="0.25">
      <c r="J341" s="676" t="e">
        <f t="shared" si="5"/>
        <v>#DIV/0!</v>
      </c>
    </row>
    <row r="342" spans="10:10" s="388" customFormat="1" x14ac:dyDescent="0.25">
      <c r="J342" s="676" t="e">
        <f t="shared" si="5"/>
        <v>#DIV/0!</v>
      </c>
    </row>
    <row r="343" spans="10:10" s="388" customFormat="1" x14ac:dyDescent="0.25">
      <c r="J343" s="676" t="e">
        <f t="shared" si="5"/>
        <v>#DIV/0!</v>
      </c>
    </row>
    <row r="344" spans="10:10" s="388" customFormat="1" x14ac:dyDescent="0.25">
      <c r="J344" s="676" t="e">
        <f t="shared" si="5"/>
        <v>#DIV/0!</v>
      </c>
    </row>
    <row r="345" spans="10:10" s="388" customFormat="1" x14ac:dyDescent="0.25">
      <c r="J345" s="676" t="e">
        <f t="shared" si="5"/>
        <v>#DIV/0!</v>
      </c>
    </row>
    <row r="346" spans="10:10" s="388" customFormat="1" x14ac:dyDescent="0.25">
      <c r="J346" s="676" t="e">
        <f t="shared" si="5"/>
        <v>#DIV/0!</v>
      </c>
    </row>
    <row r="347" spans="10:10" s="388" customFormat="1" x14ac:dyDescent="0.25">
      <c r="J347" s="676" t="e">
        <f t="shared" si="5"/>
        <v>#DIV/0!</v>
      </c>
    </row>
    <row r="348" spans="10:10" s="388" customFormat="1" x14ac:dyDescent="0.25">
      <c r="J348" s="676" t="e">
        <f t="shared" si="5"/>
        <v>#DIV/0!</v>
      </c>
    </row>
    <row r="349" spans="10:10" s="388" customFormat="1" x14ac:dyDescent="0.25">
      <c r="J349" s="676" t="e">
        <f t="shared" si="5"/>
        <v>#DIV/0!</v>
      </c>
    </row>
    <row r="350" spans="10:10" s="388" customFormat="1" x14ac:dyDescent="0.25">
      <c r="J350" s="676" t="e">
        <f t="shared" si="5"/>
        <v>#DIV/0!</v>
      </c>
    </row>
    <row r="351" spans="10:10" s="388" customFormat="1" x14ac:dyDescent="0.25">
      <c r="J351" s="676" t="e">
        <f t="shared" si="5"/>
        <v>#DIV/0!</v>
      </c>
    </row>
    <row r="352" spans="10:10" s="388" customFormat="1" x14ac:dyDescent="0.25">
      <c r="J352" s="676" t="e">
        <f t="shared" si="5"/>
        <v>#DIV/0!</v>
      </c>
    </row>
    <row r="353" spans="10:10" s="388" customFormat="1" x14ac:dyDescent="0.25">
      <c r="J353" s="676" t="e">
        <f t="shared" si="5"/>
        <v>#DIV/0!</v>
      </c>
    </row>
    <row r="354" spans="10:10" s="388" customFormat="1" x14ac:dyDescent="0.25">
      <c r="J354" s="676" t="e">
        <f t="shared" si="5"/>
        <v>#DIV/0!</v>
      </c>
    </row>
    <row r="355" spans="10:10" s="388" customFormat="1" x14ac:dyDescent="0.25">
      <c r="J355" s="676" t="e">
        <f t="shared" si="5"/>
        <v>#DIV/0!</v>
      </c>
    </row>
    <row r="356" spans="10:10" s="388" customFormat="1" x14ac:dyDescent="0.25">
      <c r="J356" s="676" t="e">
        <f t="shared" si="5"/>
        <v>#DIV/0!</v>
      </c>
    </row>
    <row r="357" spans="10:10" s="388" customFormat="1" x14ac:dyDescent="0.25">
      <c r="J357" s="676" t="e">
        <f t="shared" si="5"/>
        <v>#DIV/0!</v>
      </c>
    </row>
    <row r="358" spans="10:10" s="388" customFormat="1" x14ac:dyDescent="0.25">
      <c r="J358" s="676" t="e">
        <f t="shared" si="5"/>
        <v>#DIV/0!</v>
      </c>
    </row>
    <row r="359" spans="10:10" s="388" customFormat="1" x14ac:dyDescent="0.25">
      <c r="J359" s="676" t="e">
        <f t="shared" si="5"/>
        <v>#DIV/0!</v>
      </c>
    </row>
    <row r="360" spans="10:10" s="388" customFormat="1" x14ac:dyDescent="0.25">
      <c r="J360" s="676" t="e">
        <f t="shared" si="5"/>
        <v>#DIV/0!</v>
      </c>
    </row>
    <row r="361" spans="10:10" s="388" customFormat="1" x14ac:dyDescent="0.25">
      <c r="J361" s="676" t="e">
        <f t="shared" si="5"/>
        <v>#DIV/0!</v>
      </c>
    </row>
    <row r="362" spans="10:10" s="388" customFormat="1" x14ac:dyDescent="0.25">
      <c r="J362" s="676" t="e">
        <f t="shared" si="5"/>
        <v>#DIV/0!</v>
      </c>
    </row>
    <row r="363" spans="10:10" s="388" customFormat="1" x14ac:dyDescent="0.25">
      <c r="J363" s="676" t="e">
        <f t="shared" si="5"/>
        <v>#DIV/0!</v>
      </c>
    </row>
    <row r="364" spans="10:10" s="388" customFormat="1" x14ac:dyDescent="0.25">
      <c r="J364" s="676" t="e">
        <f t="shared" si="5"/>
        <v>#DIV/0!</v>
      </c>
    </row>
    <row r="365" spans="10:10" s="388" customFormat="1" x14ac:dyDescent="0.25">
      <c r="J365" s="676" t="e">
        <f t="shared" si="5"/>
        <v>#DIV/0!</v>
      </c>
    </row>
    <row r="366" spans="10:10" s="388" customFormat="1" x14ac:dyDescent="0.25">
      <c r="J366" s="676" t="e">
        <f t="shared" si="5"/>
        <v>#DIV/0!</v>
      </c>
    </row>
    <row r="367" spans="10:10" s="388" customFormat="1" x14ac:dyDescent="0.25">
      <c r="J367" s="676" t="e">
        <f t="shared" si="5"/>
        <v>#DIV/0!</v>
      </c>
    </row>
    <row r="368" spans="10:10" s="388" customFormat="1" x14ac:dyDescent="0.25">
      <c r="J368" s="676" t="e">
        <f t="shared" si="5"/>
        <v>#DIV/0!</v>
      </c>
    </row>
    <row r="369" spans="10:10" s="388" customFormat="1" x14ac:dyDescent="0.25">
      <c r="J369" s="676" t="e">
        <f t="shared" si="5"/>
        <v>#DIV/0!</v>
      </c>
    </row>
    <row r="370" spans="10:10" s="388" customFormat="1" x14ac:dyDescent="0.25">
      <c r="J370" s="676" t="e">
        <f t="shared" si="5"/>
        <v>#DIV/0!</v>
      </c>
    </row>
    <row r="371" spans="10:10" s="388" customFormat="1" x14ac:dyDescent="0.25">
      <c r="J371" s="676" t="e">
        <f t="shared" si="5"/>
        <v>#DIV/0!</v>
      </c>
    </row>
    <row r="372" spans="10:10" s="388" customFormat="1" x14ac:dyDescent="0.25">
      <c r="J372" s="676" t="e">
        <f t="shared" si="5"/>
        <v>#DIV/0!</v>
      </c>
    </row>
    <row r="373" spans="10:10" s="388" customFormat="1" x14ac:dyDescent="0.25">
      <c r="J373" s="676" t="e">
        <f t="shared" si="5"/>
        <v>#DIV/0!</v>
      </c>
    </row>
    <row r="374" spans="10:10" s="388" customFormat="1" x14ac:dyDescent="0.25">
      <c r="J374" s="676" t="e">
        <f t="shared" si="5"/>
        <v>#DIV/0!</v>
      </c>
    </row>
    <row r="375" spans="10:10" s="388" customFormat="1" x14ac:dyDescent="0.25">
      <c r="J375" s="676" t="e">
        <f t="shared" si="5"/>
        <v>#DIV/0!</v>
      </c>
    </row>
    <row r="376" spans="10:10" s="388" customFormat="1" x14ac:dyDescent="0.25">
      <c r="J376" s="676" t="e">
        <f t="shared" si="5"/>
        <v>#DIV/0!</v>
      </c>
    </row>
    <row r="377" spans="10:10" s="388" customFormat="1" x14ac:dyDescent="0.25">
      <c r="J377" s="676" t="e">
        <f t="shared" si="5"/>
        <v>#DIV/0!</v>
      </c>
    </row>
    <row r="378" spans="10:10" s="388" customFormat="1" x14ac:dyDescent="0.25">
      <c r="J378" s="676" t="e">
        <f t="shared" si="5"/>
        <v>#DIV/0!</v>
      </c>
    </row>
    <row r="379" spans="10:10" s="388" customFormat="1" x14ac:dyDescent="0.25">
      <c r="J379" s="676" t="e">
        <f t="shared" si="5"/>
        <v>#DIV/0!</v>
      </c>
    </row>
    <row r="380" spans="10:10" s="388" customFormat="1" x14ac:dyDescent="0.25">
      <c r="J380" s="676" t="e">
        <f t="shared" si="5"/>
        <v>#DIV/0!</v>
      </c>
    </row>
    <row r="381" spans="10:10" s="388" customFormat="1" x14ac:dyDescent="0.25">
      <c r="J381" s="676" t="e">
        <f t="shared" si="5"/>
        <v>#DIV/0!</v>
      </c>
    </row>
    <row r="382" spans="10:10" s="388" customFormat="1" x14ac:dyDescent="0.25">
      <c r="J382" s="676" t="e">
        <f t="shared" si="5"/>
        <v>#DIV/0!</v>
      </c>
    </row>
    <row r="383" spans="10:10" s="388" customFormat="1" x14ac:dyDescent="0.25">
      <c r="J383" s="676" t="e">
        <f t="shared" si="5"/>
        <v>#DIV/0!</v>
      </c>
    </row>
    <row r="384" spans="10:10" s="388" customFormat="1" x14ac:dyDescent="0.25">
      <c r="J384" s="676" t="e">
        <f t="shared" si="5"/>
        <v>#DIV/0!</v>
      </c>
    </row>
    <row r="385" spans="10:10" s="388" customFormat="1" x14ac:dyDescent="0.25">
      <c r="J385" s="676" t="e">
        <f t="shared" si="5"/>
        <v>#DIV/0!</v>
      </c>
    </row>
    <row r="386" spans="10:10" s="388" customFormat="1" x14ac:dyDescent="0.25">
      <c r="J386" s="676" t="e">
        <f t="shared" si="5"/>
        <v>#DIV/0!</v>
      </c>
    </row>
    <row r="387" spans="10:10" s="388" customFormat="1" x14ac:dyDescent="0.25">
      <c r="J387" s="676" t="e">
        <f t="shared" si="5"/>
        <v>#DIV/0!</v>
      </c>
    </row>
    <row r="388" spans="10:10" s="388" customFormat="1" x14ac:dyDescent="0.25">
      <c r="J388" s="676" t="e">
        <f t="shared" si="5"/>
        <v>#DIV/0!</v>
      </c>
    </row>
    <row r="389" spans="10:10" s="388" customFormat="1" x14ac:dyDescent="0.25">
      <c r="J389" s="676" t="e">
        <f t="shared" ref="J389:J452" si="6">(I389*K389/100)/(H389*G389)*1000</f>
        <v>#DIV/0!</v>
      </c>
    </row>
    <row r="390" spans="10:10" s="388" customFormat="1" x14ac:dyDescent="0.25">
      <c r="J390" s="676" t="e">
        <f t="shared" si="6"/>
        <v>#DIV/0!</v>
      </c>
    </row>
    <row r="391" spans="10:10" s="388" customFormat="1" x14ac:dyDescent="0.25">
      <c r="J391" s="676" t="e">
        <f t="shared" si="6"/>
        <v>#DIV/0!</v>
      </c>
    </row>
    <row r="392" spans="10:10" s="388" customFormat="1" x14ac:dyDescent="0.25">
      <c r="J392" s="676" t="e">
        <f t="shared" si="6"/>
        <v>#DIV/0!</v>
      </c>
    </row>
    <row r="393" spans="10:10" s="388" customFormat="1" x14ac:dyDescent="0.25">
      <c r="J393" s="676" t="e">
        <f t="shared" si="6"/>
        <v>#DIV/0!</v>
      </c>
    </row>
    <row r="394" spans="10:10" s="388" customFormat="1" x14ac:dyDescent="0.25">
      <c r="J394" s="676" t="e">
        <f t="shared" si="6"/>
        <v>#DIV/0!</v>
      </c>
    </row>
    <row r="395" spans="10:10" s="388" customFormat="1" x14ac:dyDescent="0.25">
      <c r="J395" s="676" t="e">
        <f t="shared" si="6"/>
        <v>#DIV/0!</v>
      </c>
    </row>
    <row r="396" spans="10:10" s="388" customFormat="1" x14ac:dyDescent="0.25">
      <c r="J396" s="676" t="e">
        <f t="shared" si="6"/>
        <v>#DIV/0!</v>
      </c>
    </row>
    <row r="397" spans="10:10" s="388" customFormat="1" x14ac:dyDescent="0.25">
      <c r="J397" s="676" t="e">
        <f t="shared" si="6"/>
        <v>#DIV/0!</v>
      </c>
    </row>
    <row r="398" spans="10:10" s="388" customFormat="1" x14ac:dyDescent="0.25">
      <c r="J398" s="676" t="e">
        <f t="shared" si="6"/>
        <v>#DIV/0!</v>
      </c>
    </row>
    <row r="399" spans="10:10" s="388" customFormat="1" x14ac:dyDescent="0.25">
      <c r="J399" s="676" t="e">
        <f t="shared" si="6"/>
        <v>#DIV/0!</v>
      </c>
    </row>
    <row r="400" spans="10:10" s="388" customFormat="1" x14ac:dyDescent="0.25">
      <c r="J400" s="676" t="e">
        <f t="shared" si="6"/>
        <v>#DIV/0!</v>
      </c>
    </row>
    <row r="401" spans="10:10" s="388" customFormat="1" x14ac:dyDescent="0.25">
      <c r="J401" s="676" t="e">
        <f t="shared" si="6"/>
        <v>#DIV/0!</v>
      </c>
    </row>
    <row r="402" spans="10:10" s="388" customFormat="1" x14ac:dyDescent="0.25">
      <c r="J402" s="676" t="e">
        <f t="shared" si="6"/>
        <v>#DIV/0!</v>
      </c>
    </row>
    <row r="403" spans="10:10" s="388" customFormat="1" x14ac:dyDescent="0.25">
      <c r="J403" s="676" t="e">
        <f t="shared" si="6"/>
        <v>#DIV/0!</v>
      </c>
    </row>
    <row r="404" spans="10:10" s="388" customFormat="1" x14ac:dyDescent="0.25">
      <c r="J404" s="676" t="e">
        <f t="shared" si="6"/>
        <v>#DIV/0!</v>
      </c>
    </row>
    <row r="405" spans="10:10" s="388" customFormat="1" x14ac:dyDescent="0.25">
      <c r="J405" s="676" t="e">
        <f t="shared" si="6"/>
        <v>#DIV/0!</v>
      </c>
    </row>
    <row r="406" spans="10:10" s="388" customFormat="1" x14ac:dyDescent="0.25">
      <c r="J406" s="676" t="e">
        <f t="shared" si="6"/>
        <v>#DIV/0!</v>
      </c>
    </row>
    <row r="407" spans="10:10" s="388" customFormat="1" x14ac:dyDescent="0.25">
      <c r="J407" s="676" t="e">
        <f t="shared" si="6"/>
        <v>#DIV/0!</v>
      </c>
    </row>
    <row r="408" spans="10:10" s="388" customFormat="1" x14ac:dyDescent="0.25">
      <c r="J408" s="676" t="e">
        <f t="shared" si="6"/>
        <v>#DIV/0!</v>
      </c>
    </row>
    <row r="409" spans="10:10" s="388" customFormat="1" x14ac:dyDescent="0.25">
      <c r="J409" s="676" t="e">
        <f t="shared" si="6"/>
        <v>#DIV/0!</v>
      </c>
    </row>
    <row r="410" spans="10:10" s="388" customFormat="1" x14ac:dyDescent="0.25">
      <c r="J410" s="676" t="e">
        <f t="shared" si="6"/>
        <v>#DIV/0!</v>
      </c>
    </row>
    <row r="411" spans="10:10" s="388" customFormat="1" x14ac:dyDescent="0.25">
      <c r="J411" s="676" t="e">
        <f t="shared" si="6"/>
        <v>#DIV/0!</v>
      </c>
    </row>
    <row r="412" spans="10:10" s="388" customFormat="1" x14ac:dyDescent="0.25">
      <c r="J412" s="676" t="e">
        <f t="shared" si="6"/>
        <v>#DIV/0!</v>
      </c>
    </row>
    <row r="413" spans="10:10" s="388" customFormat="1" x14ac:dyDescent="0.25">
      <c r="J413" s="676" t="e">
        <f t="shared" si="6"/>
        <v>#DIV/0!</v>
      </c>
    </row>
    <row r="414" spans="10:10" s="388" customFormat="1" x14ac:dyDescent="0.25">
      <c r="J414" s="676" t="e">
        <f t="shared" si="6"/>
        <v>#DIV/0!</v>
      </c>
    </row>
    <row r="415" spans="10:10" s="388" customFormat="1" x14ac:dyDescent="0.25">
      <c r="J415" s="676" t="e">
        <f t="shared" si="6"/>
        <v>#DIV/0!</v>
      </c>
    </row>
    <row r="416" spans="10:10" s="388" customFormat="1" x14ac:dyDescent="0.25">
      <c r="J416" s="676" t="e">
        <f t="shared" si="6"/>
        <v>#DIV/0!</v>
      </c>
    </row>
    <row r="417" spans="10:10" s="388" customFormat="1" x14ac:dyDescent="0.25">
      <c r="J417" s="676" t="e">
        <f t="shared" si="6"/>
        <v>#DIV/0!</v>
      </c>
    </row>
    <row r="418" spans="10:10" s="388" customFormat="1" x14ac:dyDescent="0.25">
      <c r="J418" s="676" t="e">
        <f t="shared" si="6"/>
        <v>#DIV/0!</v>
      </c>
    </row>
    <row r="419" spans="10:10" s="388" customFormat="1" x14ac:dyDescent="0.25">
      <c r="J419" s="676" t="e">
        <f t="shared" si="6"/>
        <v>#DIV/0!</v>
      </c>
    </row>
    <row r="420" spans="10:10" s="388" customFormat="1" x14ac:dyDescent="0.25">
      <c r="J420" s="676" t="e">
        <f t="shared" si="6"/>
        <v>#DIV/0!</v>
      </c>
    </row>
    <row r="421" spans="10:10" s="388" customFormat="1" x14ac:dyDescent="0.25">
      <c r="J421" s="676" t="e">
        <f t="shared" si="6"/>
        <v>#DIV/0!</v>
      </c>
    </row>
    <row r="422" spans="10:10" s="388" customFormat="1" x14ac:dyDescent="0.25">
      <c r="J422" s="676" t="e">
        <f t="shared" si="6"/>
        <v>#DIV/0!</v>
      </c>
    </row>
    <row r="423" spans="10:10" s="388" customFormat="1" x14ac:dyDescent="0.25">
      <c r="J423" s="676" t="e">
        <f t="shared" si="6"/>
        <v>#DIV/0!</v>
      </c>
    </row>
    <row r="424" spans="10:10" s="388" customFormat="1" x14ac:dyDescent="0.25">
      <c r="J424" s="676" t="e">
        <f t="shared" si="6"/>
        <v>#DIV/0!</v>
      </c>
    </row>
    <row r="425" spans="10:10" s="388" customFormat="1" x14ac:dyDescent="0.25">
      <c r="J425" s="676" t="e">
        <f t="shared" si="6"/>
        <v>#DIV/0!</v>
      </c>
    </row>
    <row r="426" spans="10:10" s="388" customFormat="1" x14ac:dyDescent="0.25">
      <c r="J426" s="676" t="e">
        <f t="shared" si="6"/>
        <v>#DIV/0!</v>
      </c>
    </row>
    <row r="427" spans="10:10" s="388" customFormat="1" x14ac:dyDescent="0.25">
      <c r="J427" s="676" t="e">
        <f t="shared" si="6"/>
        <v>#DIV/0!</v>
      </c>
    </row>
    <row r="428" spans="10:10" s="388" customFormat="1" x14ac:dyDescent="0.25">
      <c r="J428" s="676" t="e">
        <f t="shared" si="6"/>
        <v>#DIV/0!</v>
      </c>
    </row>
    <row r="429" spans="10:10" s="388" customFormat="1" x14ac:dyDescent="0.25">
      <c r="J429" s="676" t="e">
        <f t="shared" si="6"/>
        <v>#DIV/0!</v>
      </c>
    </row>
    <row r="430" spans="10:10" s="388" customFormat="1" x14ac:dyDescent="0.25">
      <c r="J430" s="676" t="e">
        <f t="shared" si="6"/>
        <v>#DIV/0!</v>
      </c>
    </row>
    <row r="431" spans="10:10" s="388" customFormat="1" x14ac:dyDescent="0.25">
      <c r="J431" s="676" t="e">
        <f t="shared" si="6"/>
        <v>#DIV/0!</v>
      </c>
    </row>
    <row r="432" spans="10:10" s="388" customFormat="1" x14ac:dyDescent="0.25">
      <c r="J432" s="676" t="e">
        <f t="shared" si="6"/>
        <v>#DIV/0!</v>
      </c>
    </row>
    <row r="433" spans="10:10" s="388" customFormat="1" x14ac:dyDescent="0.25">
      <c r="J433" s="676" t="e">
        <f t="shared" si="6"/>
        <v>#DIV/0!</v>
      </c>
    </row>
    <row r="434" spans="10:10" s="388" customFormat="1" x14ac:dyDescent="0.25">
      <c r="J434" s="676" t="e">
        <f t="shared" si="6"/>
        <v>#DIV/0!</v>
      </c>
    </row>
    <row r="435" spans="10:10" s="388" customFormat="1" x14ac:dyDescent="0.25">
      <c r="J435" s="676" t="e">
        <f t="shared" si="6"/>
        <v>#DIV/0!</v>
      </c>
    </row>
    <row r="436" spans="10:10" s="388" customFormat="1" x14ac:dyDescent="0.25">
      <c r="J436" s="676" t="e">
        <f t="shared" si="6"/>
        <v>#DIV/0!</v>
      </c>
    </row>
    <row r="437" spans="10:10" s="388" customFormat="1" x14ac:dyDescent="0.25">
      <c r="J437" s="676" t="e">
        <f t="shared" si="6"/>
        <v>#DIV/0!</v>
      </c>
    </row>
    <row r="438" spans="10:10" s="388" customFormat="1" x14ac:dyDescent="0.25">
      <c r="J438" s="676" t="e">
        <f t="shared" si="6"/>
        <v>#DIV/0!</v>
      </c>
    </row>
    <row r="439" spans="10:10" s="388" customFormat="1" x14ac:dyDescent="0.25">
      <c r="J439" s="676" t="e">
        <f t="shared" si="6"/>
        <v>#DIV/0!</v>
      </c>
    </row>
    <row r="440" spans="10:10" s="388" customFormat="1" x14ac:dyDescent="0.25">
      <c r="J440" s="676" t="e">
        <f t="shared" si="6"/>
        <v>#DIV/0!</v>
      </c>
    </row>
    <row r="441" spans="10:10" s="388" customFormat="1" x14ac:dyDescent="0.25">
      <c r="J441" s="676" t="e">
        <f t="shared" si="6"/>
        <v>#DIV/0!</v>
      </c>
    </row>
    <row r="442" spans="10:10" s="388" customFormat="1" x14ac:dyDescent="0.25">
      <c r="J442" s="676" t="e">
        <f t="shared" si="6"/>
        <v>#DIV/0!</v>
      </c>
    </row>
    <row r="443" spans="10:10" s="388" customFormat="1" x14ac:dyDescent="0.25">
      <c r="J443" s="676" t="e">
        <f t="shared" si="6"/>
        <v>#DIV/0!</v>
      </c>
    </row>
    <row r="444" spans="10:10" s="388" customFormat="1" x14ac:dyDescent="0.25">
      <c r="J444" s="676" t="e">
        <f t="shared" si="6"/>
        <v>#DIV/0!</v>
      </c>
    </row>
    <row r="445" spans="10:10" s="388" customFormat="1" x14ac:dyDescent="0.25">
      <c r="J445" s="676" t="e">
        <f t="shared" si="6"/>
        <v>#DIV/0!</v>
      </c>
    </row>
    <row r="446" spans="10:10" s="388" customFormat="1" x14ac:dyDescent="0.25">
      <c r="J446" s="676" t="e">
        <f t="shared" si="6"/>
        <v>#DIV/0!</v>
      </c>
    </row>
    <row r="447" spans="10:10" s="388" customFormat="1" x14ac:dyDescent="0.25">
      <c r="J447" s="676" t="e">
        <f t="shared" si="6"/>
        <v>#DIV/0!</v>
      </c>
    </row>
    <row r="448" spans="10:10" s="388" customFormat="1" x14ac:dyDescent="0.25">
      <c r="J448" s="676" t="e">
        <f t="shared" si="6"/>
        <v>#DIV/0!</v>
      </c>
    </row>
    <row r="449" spans="10:10" s="388" customFormat="1" x14ac:dyDescent="0.25">
      <c r="J449" s="676" t="e">
        <f t="shared" si="6"/>
        <v>#DIV/0!</v>
      </c>
    </row>
    <row r="450" spans="10:10" s="388" customFormat="1" x14ac:dyDescent="0.25">
      <c r="J450" s="676" t="e">
        <f t="shared" si="6"/>
        <v>#DIV/0!</v>
      </c>
    </row>
    <row r="451" spans="10:10" s="388" customFormat="1" x14ac:dyDescent="0.25">
      <c r="J451" s="676" t="e">
        <f t="shared" si="6"/>
        <v>#DIV/0!</v>
      </c>
    </row>
    <row r="452" spans="10:10" s="388" customFormat="1" x14ac:dyDescent="0.25">
      <c r="J452" s="676" t="e">
        <f t="shared" si="6"/>
        <v>#DIV/0!</v>
      </c>
    </row>
  </sheetData>
  <sheetProtection password="CC5F" sheet="1" objects="1" scenarios="1"/>
  <mergeCells count="2">
    <mergeCell ref="A1:Q1"/>
    <mergeCell ref="A2:Q2"/>
  </mergeCells>
  <conditionalFormatting sqref="L3:Q3">
    <cfRule type="cellIs" dxfId="5" priority="6" operator="equal">
      <formula>"sous surveillance"</formula>
    </cfRule>
  </conditionalFormatting>
  <conditionalFormatting sqref="G6">
    <cfRule type="expression" dxfId="4" priority="5">
      <formula>AND($T6="Empty")</formula>
    </cfRule>
  </conditionalFormatting>
  <conditionalFormatting sqref="G8">
    <cfRule type="expression" dxfId="3" priority="4">
      <formula>AND($T8="Empty")</formula>
    </cfRule>
  </conditionalFormatting>
  <conditionalFormatting sqref="F8">
    <cfRule type="expression" dxfId="2" priority="3">
      <formula>AND($T8="Empty")</formula>
    </cfRule>
  </conditionalFormatting>
  <conditionalFormatting sqref="G10">
    <cfRule type="expression" dxfId="1" priority="2">
      <formula>AND($T10="Empty")</formula>
    </cfRule>
  </conditionalFormatting>
  <conditionalFormatting sqref="E11">
    <cfRule type="expression" dxfId="0" priority="1">
      <formula>AND($T11="Empty")</formula>
    </cfRule>
  </conditionalFormatting>
  <dataValidations count="7">
    <dataValidation type="list" allowBlank="1" showInputMessage="1" sqref="O45">
      <formula1>INDIRECT(C45)</formula1>
    </dataValidation>
    <dataValidation type="list" allowBlank="1" showInputMessage="1" showErrorMessage="1" sqref="L14:L19">
      <formula1>"H2O mQ, DMSO, eq NaOH, EtOH, eq HCl,Citrate buffer, directly in ACSF, O2 sucrose"</formula1>
    </dataValidation>
    <dataValidation type="list" allowBlank="1" showInputMessage="1" showErrorMessage="1" sqref="L32 L23:L27 L7:L9 L13 L38:L45 L20:L21 L34 L36 L4">
      <formula1>"H2O mQ, DMSO, eq NaOH, EtOH, eq HCl,Citrate buffer, directly in ACSF"</formula1>
    </dataValidation>
    <dataValidation errorStyle="warning" allowBlank="1" showInputMessage="1" showErrorMessage="1" sqref="L3:P3"/>
    <dataValidation type="list" allowBlank="1" showInputMessage="1" showErrorMessage="1" sqref="L22">
      <formula1>"H2O mQ, DMSO, eq NaOH, EtOH, eq HCl,Citrate buffer, directly in ACSF,PBS sterile"</formula1>
    </dataValidation>
    <dataValidation type="list" allowBlank="1" showInputMessage="1" showErrorMessage="1" sqref="L37 L10:L12 L28:L31 L33 L35">
      <formula1>"Medium NBA, H2O mQ, DMSO, eq NaOH, EtOH, eq HCl,Citrate buffer, directly in ACSF"</formula1>
    </dataValidation>
    <dataValidation type="list" allowBlank="1" showInputMessage="1" showErrorMessage="1" sqref="L5:L6">
      <formula1>"medium NBA, H2O mQ, DMSO, eq NaOH, EtOH, eq HCl,Citrate buffer, directly in ACSF"</formula1>
    </dataValidation>
  </dataValidations>
  <pageMargins left="0.7" right="0.7" top="0.75" bottom="0.75" header="0.3" footer="0.3"/>
  <pageSetup scale="1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tabColor theme="4" tint="0.59999389629810485"/>
    <pageSetUpPr fitToPage="1"/>
  </sheetPr>
  <dimension ref="A4:W7"/>
  <sheetViews>
    <sheetView showGridLines="0" workbookViewId="0">
      <selection activeCell="A26" sqref="A25:A26"/>
    </sheetView>
  </sheetViews>
  <sheetFormatPr baseColWidth="10" defaultColWidth="11.42578125" defaultRowHeight="15" x14ac:dyDescent="0.25"/>
  <sheetData>
    <row r="4" spans="1:23" s="3" customFormat="1" ht="23.25" x14ac:dyDescent="0.35">
      <c r="A4" s="4"/>
      <c r="B4" s="4"/>
      <c r="C4" s="4"/>
      <c r="D4" s="4" t="s">
        <v>1342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s="3" customFormat="1" ht="40.15" customHeight="1" x14ac:dyDescent="0.35">
      <c r="A5" s="5"/>
      <c r="B5" s="5"/>
      <c r="C5" s="5"/>
      <c r="D5" s="5" t="s">
        <v>1247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3" customFormat="1" ht="40.15" customHeight="1" x14ac:dyDescent="0.35">
      <c r="A6" s="5"/>
      <c r="B6" s="5"/>
      <c r="C6" s="5"/>
      <c r="D6" s="5" t="s">
        <v>1348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7"/>
      <c r="R6" s="7"/>
    </row>
    <row r="7" spans="1:23" s="3" customFormat="1" ht="40.15" customHeight="1" x14ac:dyDescent="0.35">
      <c r="A7" s="5"/>
      <c r="B7" s="5"/>
      <c r="C7" s="5"/>
      <c r="D7" s="5" t="s">
        <v>1341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7"/>
      <c r="R7" s="7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&amp;L&amp;12Version xxApplication: mm/dd/yyyy&amp;R&amp;"-,Gras"&amp;14DR- &amp;YP NS N°XX&amp;Y-N°YY</oddHeader>
    <oddFooter>&amp;L&amp;A&amp;R&amp;P/&amp;N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/>
  <dimension ref="A1:H1605"/>
  <sheetViews>
    <sheetView topLeftCell="A132" zoomScale="70" zoomScaleNormal="70" workbookViewId="0">
      <selection activeCell="L756" sqref="L756"/>
    </sheetView>
  </sheetViews>
  <sheetFormatPr baseColWidth="10" defaultColWidth="11.42578125" defaultRowHeight="15" x14ac:dyDescent="0.25"/>
  <cols>
    <col min="1" max="1" width="23.85546875" customWidth="1"/>
    <col min="2" max="2" width="11.28515625" bestFit="1" customWidth="1"/>
    <col min="7" max="7" width="11.42578125" style="463"/>
    <col min="8" max="8" width="15.28515625" style="227" bestFit="1" customWidth="1"/>
  </cols>
  <sheetData>
    <row r="1" spans="1:8" ht="30" x14ac:dyDescent="0.25">
      <c r="A1" s="22" t="s">
        <v>1242</v>
      </c>
      <c r="B1" s="25" t="s">
        <v>17</v>
      </c>
      <c r="C1" s="26" t="s">
        <v>18</v>
      </c>
      <c r="D1" s="27" t="s">
        <v>23</v>
      </c>
      <c r="E1" s="28" t="s">
        <v>28</v>
      </c>
      <c r="F1" s="27" t="s">
        <v>29</v>
      </c>
      <c r="G1" s="461" t="s">
        <v>1344</v>
      </c>
      <c r="H1" s="226" t="s">
        <v>1243</v>
      </c>
    </row>
    <row r="2" spans="1:8" ht="45" x14ac:dyDescent="0.25">
      <c r="A2" s="225" t="str">
        <f>Database!A7</f>
        <v>06REF001</v>
      </c>
      <c r="B2" s="34" t="str">
        <f>Database!E7</f>
        <v>NEUROSERVICE</v>
      </c>
      <c r="C2" s="34" t="str">
        <f>Database!F7</f>
        <v>Serotonin hydrochloride</v>
      </c>
      <c r="D2" s="34">
        <f>Database!K7</f>
        <v>212.68</v>
      </c>
      <c r="E2" s="34" t="str">
        <f>Database!P7</f>
        <v>100 mg</v>
      </c>
      <c r="F2" s="34" t="str">
        <f>Database!Q7</f>
        <v>H2O mQ</v>
      </c>
      <c r="G2" s="462">
        <f>Database!R7</f>
        <v>0</v>
      </c>
      <c r="H2" s="35">
        <f>Database!N7</f>
        <v>38992</v>
      </c>
    </row>
    <row r="3" spans="1:8" ht="45" x14ac:dyDescent="0.25">
      <c r="A3" s="225" t="str">
        <f>Database!A8</f>
        <v>06REF002</v>
      </c>
      <c r="B3" s="34" t="str">
        <f>Database!E8</f>
        <v>NEUROSERVICE</v>
      </c>
      <c r="C3" s="34" t="str">
        <f>Database!F8</f>
        <v>Nicotine hydrogen tartrate salt</v>
      </c>
      <c r="D3" s="34">
        <f>Database!K8</f>
        <v>462.4</v>
      </c>
      <c r="E3" s="34" t="str">
        <f>Database!P8</f>
        <v>25 g</v>
      </c>
      <c r="F3" s="34" t="str">
        <f>Database!Q8</f>
        <v>H2O mQ</v>
      </c>
      <c r="G3" s="462">
        <f>Database!R8</f>
        <v>0</v>
      </c>
      <c r="H3" s="35">
        <f>Database!N8</f>
        <v>39002</v>
      </c>
    </row>
    <row r="4" spans="1:8" ht="45" x14ac:dyDescent="0.25">
      <c r="A4" s="225" t="str">
        <f>Database!A9</f>
        <v>06REF003</v>
      </c>
      <c r="B4" s="34" t="str">
        <f>Database!E9</f>
        <v>NEUROSERVICE</v>
      </c>
      <c r="C4" s="34" t="str">
        <f>Database!F9</f>
        <v>Eserine hemisulfate salt</v>
      </c>
      <c r="D4" s="34">
        <f>Database!K9</f>
        <v>324.39999999999998</v>
      </c>
      <c r="E4" s="34" t="str">
        <f>Database!P9</f>
        <v>500 mg</v>
      </c>
      <c r="F4" s="34" t="str">
        <f>Database!Q9</f>
        <v>H2O mQ</v>
      </c>
      <c r="G4" s="462">
        <f>Database!R9</f>
        <v>0</v>
      </c>
      <c r="H4" s="35">
        <f>Database!N9</f>
        <v>39035</v>
      </c>
    </row>
    <row r="5" spans="1:8" ht="45" x14ac:dyDescent="0.25">
      <c r="A5" s="225" t="str">
        <f>Database!A10</f>
        <v>07REF001</v>
      </c>
      <c r="B5" s="34" t="str">
        <f>Database!E10</f>
        <v>NEUROSERVICE</v>
      </c>
      <c r="C5" s="34" t="str">
        <f>Database!F10</f>
        <v>Dopamine Hydrochloride</v>
      </c>
      <c r="D5" s="34">
        <f>Database!K10</f>
        <v>189.64</v>
      </c>
      <c r="E5" s="34" t="str">
        <f>Database!P10</f>
        <v>5 g</v>
      </c>
      <c r="F5" s="34" t="str">
        <f>Database!Q10</f>
        <v>H2O mQ</v>
      </c>
      <c r="G5" s="462">
        <f>Database!R10</f>
        <v>0</v>
      </c>
      <c r="H5" s="35">
        <f>Database!N10</f>
        <v>39231</v>
      </c>
    </row>
    <row r="6" spans="1:8" ht="23.25" x14ac:dyDescent="0.25">
      <c r="A6" s="225" t="str">
        <f>Database!A11</f>
        <v/>
      </c>
      <c r="B6" s="34">
        <f>Database!E11</f>
        <v>0</v>
      </c>
      <c r="C6" s="34">
        <f>Database!F11</f>
        <v>0</v>
      </c>
      <c r="D6" s="34">
        <f>Database!K11</f>
        <v>0</v>
      </c>
      <c r="E6" s="34">
        <f>Database!P11</f>
        <v>0</v>
      </c>
      <c r="F6" s="34">
        <f>Database!Q11</f>
        <v>0</v>
      </c>
      <c r="G6" s="462">
        <f>Database!R11</f>
        <v>0</v>
      </c>
      <c r="H6" s="35">
        <f>Database!N11</f>
        <v>0</v>
      </c>
    </row>
    <row r="7" spans="1:8" ht="23.25" x14ac:dyDescent="0.25">
      <c r="A7" s="225" t="str">
        <f>Database!A12</f>
        <v/>
      </c>
      <c r="B7" s="34">
        <f>Database!E12</f>
        <v>0</v>
      </c>
      <c r="C7" s="34">
        <f>Database!F12</f>
        <v>0</v>
      </c>
      <c r="D7" s="34">
        <f>Database!K12</f>
        <v>0</v>
      </c>
      <c r="E7" s="34">
        <f>Database!P12</f>
        <v>0</v>
      </c>
      <c r="F7" s="34">
        <f>Database!Q12</f>
        <v>0</v>
      </c>
      <c r="G7" s="462">
        <f>Database!R12</f>
        <v>0</v>
      </c>
      <c r="H7" s="35">
        <f>Database!N12</f>
        <v>0</v>
      </c>
    </row>
    <row r="8" spans="1:8" ht="30" x14ac:dyDescent="0.25">
      <c r="A8" s="225" t="str">
        <f>Database!A13</f>
        <v>08SAM001</v>
      </c>
      <c r="B8" s="34" t="str">
        <f>Database!E13</f>
        <v>PFIZER</v>
      </c>
      <c r="C8" s="34" t="str">
        <f>Database!F13</f>
        <v>ORL-1 ant-01</v>
      </c>
      <c r="D8" s="34">
        <f>Database!K13</f>
        <v>436.03</v>
      </c>
      <c r="E8" s="34" t="str">
        <f>Database!P13</f>
        <v>24.16 mg</v>
      </c>
      <c r="F8" s="34">
        <f>Database!Q13</f>
        <v>0</v>
      </c>
      <c r="G8" s="462">
        <f>Database!R13</f>
        <v>0</v>
      </c>
      <c r="H8" s="35">
        <f>Database!N13</f>
        <v>39555</v>
      </c>
    </row>
    <row r="9" spans="1:8" ht="30" x14ac:dyDescent="0.25">
      <c r="A9" s="225" t="str">
        <f>Database!A14</f>
        <v>08SAM002</v>
      </c>
      <c r="B9" s="34" t="str">
        <f>Database!E14</f>
        <v>PFIZER</v>
      </c>
      <c r="C9" s="34" t="str">
        <f>Database!F14</f>
        <v>ORL-1 ant-02</v>
      </c>
      <c r="D9" s="34">
        <f>Database!K14</f>
        <v>458.5</v>
      </c>
      <c r="E9" s="34" t="str">
        <f>Database!P14</f>
        <v>20.3 mg</v>
      </c>
      <c r="F9" s="34">
        <f>Database!Q14</f>
        <v>0</v>
      </c>
      <c r="G9" s="462">
        <f>Database!R14</f>
        <v>0</v>
      </c>
      <c r="H9" s="35">
        <f>Database!N14</f>
        <v>39710</v>
      </c>
    </row>
    <row r="10" spans="1:8" ht="30" x14ac:dyDescent="0.25">
      <c r="A10" s="225" t="str">
        <f>Database!A15</f>
        <v>08SAM003</v>
      </c>
      <c r="B10" s="34" t="str">
        <f>Database!E15</f>
        <v>PFIZER</v>
      </c>
      <c r="C10" s="34" t="str">
        <f>Database!F15</f>
        <v>ORL-1 ant -03</v>
      </c>
      <c r="D10" s="34">
        <f>Database!K15</f>
        <v>595.6</v>
      </c>
      <c r="E10" s="34" t="str">
        <f>Database!P15</f>
        <v>21.2 mg</v>
      </c>
      <c r="F10" s="34">
        <f>Database!Q15</f>
        <v>0</v>
      </c>
      <c r="G10" s="462">
        <f>Database!R15</f>
        <v>0</v>
      </c>
      <c r="H10" s="35">
        <f>Database!N15</f>
        <v>39745</v>
      </c>
    </row>
    <row r="11" spans="1:8" ht="30" x14ac:dyDescent="0.25">
      <c r="A11" s="225" t="str">
        <f>Database!A16</f>
        <v>08SAM004</v>
      </c>
      <c r="B11" s="34" t="str">
        <f>Database!E16</f>
        <v>AFRAXIS</v>
      </c>
      <c r="C11" s="34" t="str">
        <f>Database!F16</f>
        <v>FRAX000074:01</v>
      </c>
      <c r="D11" s="34">
        <f>Database!K16</f>
        <v>247.29</v>
      </c>
      <c r="E11" s="34" t="str">
        <f>Database!P16</f>
        <v>7.5 mg</v>
      </c>
      <c r="F11" s="34">
        <f>Database!Q16</f>
        <v>0</v>
      </c>
      <c r="G11" s="462">
        <f>Database!R16</f>
        <v>0</v>
      </c>
      <c r="H11" s="35">
        <f>Database!N16</f>
        <v>39640</v>
      </c>
    </row>
    <row r="12" spans="1:8" ht="30" x14ac:dyDescent="0.25">
      <c r="A12" s="225" t="str">
        <f>Database!A17</f>
        <v>08SAM005</v>
      </c>
      <c r="B12" s="34" t="str">
        <f>Database!E17</f>
        <v>ARDEO PHARMA</v>
      </c>
      <c r="C12" s="34" t="str">
        <f>Database!F17</f>
        <v>Bucillamine</v>
      </c>
      <c r="D12" s="34">
        <f>Database!K17</f>
        <v>223.33</v>
      </c>
      <c r="E12" s="34" t="str">
        <f>Database!P17</f>
        <v>2 g</v>
      </c>
      <c r="F12" s="34">
        <f>Database!Q17</f>
        <v>0</v>
      </c>
      <c r="G12" s="462">
        <f>Database!R17</f>
        <v>0</v>
      </c>
      <c r="H12" s="35">
        <f>Database!N17</f>
        <v>39536</v>
      </c>
    </row>
    <row r="13" spans="1:8" ht="23.25" x14ac:dyDescent="0.25">
      <c r="A13" s="225" t="str">
        <f>Database!A18</f>
        <v>08SAM006</v>
      </c>
      <c r="B13" s="34" t="str">
        <f>Database!E18</f>
        <v>J&amp;J</v>
      </c>
      <c r="C13" s="34" t="str">
        <f>Database!F18</f>
        <v>39393406</v>
      </c>
      <c r="D13" s="34">
        <f>Database!K18</f>
        <v>416.39</v>
      </c>
      <c r="E13" s="34" t="str">
        <f>Database!P18</f>
        <v>103.09 mg</v>
      </c>
      <c r="F13" s="34">
        <f>Database!Q18</f>
        <v>0</v>
      </c>
      <c r="G13" s="462">
        <f>Database!R18</f>
        <v>0</v>
      </c>
      <c r="H13" s="35">
        <f>Database!N18</f>
        <v>39485</v>
      </c>
    </row>
    <row r="14" spans="1:8" ht="23.25" x14ac:dyDescent="0.25">
      <c r="A14" s="225" t="str">
        <f>Database!A19</f>
        <v/>
      </c>
      <c r="B14" s="34">
        <f>Database!E19</f>
        <v>0</v>
      </c>
      <c r="C14" s="34">
        <f>Database!F19</f>
        <v>0</v>
      </c>
      <c r="D14" s="34">
        <f>Database!K19</f>
        <v>0</v>
      </c>
      <c r="E14" s="34">
        <f>Database!P19</f>
        <v>0</v>
      </c>
      <c r="F14" s="34">
        <f>Database!Q19</f>
        <v>0</v>
      </c>
      <c r="G14" s="462">
        <f>Database!R19</f>
        <v>0</v>
      </c>
      <c r="H14" s="35">
        <f>Database!N19</f>
        <v>0</v>
      </c>
    </row>
    <row r="15" spans="1:8" ht="23.25" x14ac:dyDescent="0.25">
      <c r="A15" s="225" t="str">
        <f>Database!A20</f>
        <v/>
      </c>
      <c r="B15" s="34">
        <f>Database!E20</f>
        <v>0</v>
      </c>
      <c r="C15" s="34">
        <f>Database!F20</f>
        <v>0</v>
      </c>
      <c r="D15" s="34">
        <f>Database!K20</f>
        <v>0</v>
      </c>
      <c r="E15" s="34">
        <f>Database!P20</f>
        <v>0</v>
      </c>
      <c r="F15" s="34">
        <f>Database!Q20</f>
        <v>0</v>
      </c>
      <c r="G15" s="462">
        <f>Database!R20</f>
        <v>0</v>
      </c>
      <c r="H15" s="35">
        <f>Database!N20</f>
        <v>0</v>
      </c>
    </row>
    <row r="16" spans="1:8" ht="23.25" x14ac:dyDescent="0.25">
      <c r="A16" s="225" t="str">
        <f>Database!A21</f>
        <v/>
      </c>
      <c r="B16" s="34">
        <f>Database!E21</f>
        <v>0</v>
      </c>
      <c r="C16" s="34">
        <f>Database!F21</f>
        <v>0</v>
      </c>
      <c r="D16" s="34">
        <f>Database!K21</f>
        <v>0</v>
      </c>
      <c r="E16" s="34">
        <f>Database!P21</f>
        <v>0</v>
      </c>
      <c r="F16" s="34">
        <f>Database!Q21</f>
        <v>0</v>
      </c>
      <c r="G16" s="462">
        <f>Database!R21</f>
        <v>0</v>
      </c>
      <c r="H16" s="35">
        <f>Database!N21</f>
        <v>0</v>
      </c>
    </row>
    <row r="17" spans="1:8" ht="30" x14ac:dyDescent="0.25">
      <c r="A17" s="225" t="str">
        <f>Database!A22</f>
        <v>09SAM001</v>
      </c>
      <c r="B17" s="34" t="str">
        <f>Database!E22</f>
        <v>UCB</v>
      </c>
      <c r="C17" s="34" t="str">
        <f>Database!F22</f>
        <v>UCB1402633-000</v>
      </c>
      <c r="D17" s="34">
        <f>Database!K22</f>
        <v>244.27</v>
      </c>
      <c r="E17" s="34" t="str">
        <f>Database!P22</f>
        <v>10 mg</v>
      </c>
      <c r="F17" s="34">
        <f>Database!Q22</f>
        <v>0</v>
      </c>
      <c r="G17" s="462">
        <f>Database!R22</f>
        <v>0</v>
      </c>
      <c r="H17" s="35">
        <f>Database!N22</f>
        <v>39827</v>
      </c>
    </row>
    <row r="18" spans="1:8" ht="23.25" x14ac:dyDescent="0.25">
      <c r="A18" s="225" t="str">
        <f>Database!A23</f>
        <v>09SAM002</v>
      </c>
      <c r="B18" s="34" t="str">
        <f>Database!E23</f>
        <v>LUNDBECK</v>
      </c>
      <c r="C18" s="34" t="str">
        <f>Database!F23</f>
        <v>DGC-1</v>
      </c>
      <c r="D18" s="34" t="str">
        <f>Database!K23</f>
        <v>NC</v>
      </c>
      <c r="E18" s="34" t="str">
        <f>Database!P23</f>
        <v>4.60 mg</v>
      </c>
      <c r="F18" s="34">
        <f>Database!Q23</f>
        <v>0</v>
      </c>
      <c r="G18" s="462">
        <f>Database!R23</f>
        <v>0</v>
      </c>
      <c r="H18" s="35">
        <f>Database!N23</f>
        <v>39945</v>
      </c>
    </row>
    <row r="19" spans="1:8" ht="23.25" x14ac:dyDescent="0.25">
      <c r="A19" s="225" t="str">
        <f>Database!A24</f>
        <v>09SAM003</v>
      </c>
      <c r="B19" s="34" t="str">
        <f>Database!E24</f>
        <v>LUNDBECK</v>
      </c>
      <c r="C19" s="34" t="str">
        <f>Database!F24</f>
        <v>DGC-2</v>
      </c>
      <c r="D19" s="34" t="str">
        <f>Database!K24</f>
        <v>NC</v>
      </c>
      <c r="E19" s="34" t="str">
        <f>Database!P24</f>
        <v>5.224 mg</v>
      </c>
      <c r="F19" s="34">
        <f>Database!Q24</f>
        <v>0</v>
      </c>
      <c r="G19" s="462">
        <f>Database!R24</f>
        <v>0</v>
      </c>
      <c r="H19" s="35">
        <f>Database!N24</f>
        <v>39945</v>
      </c>
    </row>
    <row r="20" spans="1:8" ht="23.25" x14ac:dyDescent="0.25">
      <c r="A20" s="225" t="str">
        <f>Database!A25</f>
        <v>09SAM004</v>
      </c>
      <c r="B20" s="34" t="str">
        <f>Database!E25</f>
        <v>LUNDBECK</v>
      </c>
      <c r="C20" s="34" t="str">
        <f>Database!F25</f>
        <v>DGC-3</v>
      </c>
      <c r="D20" s="34" t="str">
        <f>Database!K25</f>
        <v>NC</v>
      </c>
      <c r="E20" s="34" t="str">
        <f>Database!P25</f>
        <v>Y</v>
      </c>
      <c r="F20" s="34">
        <f>Database!Q25</f>
        <v>0</v>
      </c>
      <c r="G20" s="462">
        <f>Database!R25</f>
        <v>0</v>
      </c>
      <c r="H20" s="35" t="str">
        <f>Database!N25</f>
        <v>DGU</v>
      </c>
    </row>
    <row r="21" spans="1:8" ht="23.25" x14ac:dyDescent="0.25">
      <c r="A21" s="225" t="str">
        <f>Database!A26</f>
        <v>09SAM005</v>
      </c>
      <c r="B21" s="34" t="str">
        <f>Database!E26</f>
        <v>LUNDBECK</v>
      </c>
      <c r="C21" s="34" t="str">
        <f>Database!F26</f>
        <v>AB 10481</v>
      </c>
      <c r="D21" s="34" t="str">
        <f>Database!K26</f>
        <v>NC</v>
      </c>
      <c r="E21" s="34" t="str">
        <f>Database!P26</f>
        <v>5.194 mg</v>
      </c>
      <c r="F21" s="34">
        <f>Database!Q26</f>
        <v>0</v>
      </c>
      <c r="G21" s="462">
        <f>Database!R26</f>
        <v>0</v>
      </c>
      <c r="H21" s="35">
        <f>Database!N26</f>
        <v>39945</v>
      </c>
    </row>
    <row r="22" spans="1:8" ht="23.25" x14ac:dyDescent="0.25">
      <c r="A22" s="225" t="str">
        <f>Database!A27</f>
        <v>09SAM006</v>
      </c>
      <c r="B22" s="34" t="str">
        <f>Database!E27</f>
        <v>MERCK</v>
      </c>
      <c r="C22" s="34">
        <f>Database!F27</f>
        <v>0</v>
      </c>
      <c r="D22" s="34">
        <f>Database!K27</f>
        <v>452.46</v>
      </c>
      <c r="E22" s="34" t="str">
        <f>Database!P27</f>
        <v>16.53 mg</v>
      </c>
      <c r="F22" s="34">
        <f>Database!Q27</f>
        <v>0</v>
      </c>
      <c r="G22" s="462">
        <f>Database!R27</f>
        <v>0</v>
      </c>
      <c r="H22" s="35">
        <f>Database!N27</f>
        <v>39951</v>
      </c>
    </row>
    <row r="23" spans="1:8" ht="23.25" x14ac:dyDescent="0.25">
      <c r="A23" s="225" t="str">
        <f>Database!A28</f>
        <v>09SAM007</v>
      </c>
      <c r="B23" s="34" t="str">
        <f>Database!E28</f>
        <v>LUNDBECK</v>
      </c>
      <c r="C23" s="34" t="str">
        <f>Database!F28</f>
        <v>cPP</v>
      </c>
      <c r="D23" s="34">
        <f>Database!K28</f>
        <v>4207.67</v>
      </c>
      <c r="E23" s="34" t="str">
        <f>Database!P28</f>
        <v>8*1 mg</v>
      </c>
      <c r="F23" s="34">
        <f>Database!Q28</f>
        <v>0</v>
      </c>
      <c r="G23" s="462">
        <f>Database!R28</f>
        <v>0</v>
      </c>
      <c r="H23" s="35">
        <f>Database!N28</f>
        <v>40007</v>
      </c>
    </row>
    <row r="24" spans="1:8" ht="23.25" x14ac:dyDescent="0.25">
      <c r="A24" s="225" t="str">
        <f>Database!A29</f>
        <v>09SAM008</v>
      </c>
      <c r="B24" s="34" t="str">
        <f>Database!E29</f>
        <v>LUNDBECK</v>
      </c>
      <c r="C24" s="34" t="str">
        <f>Database!F29</f>
        <v>hPP</v>
      </c>
      <c r="D24" s="34">
        <f>Database!K29</f>
        <v>4181.7700000000004</v>
      </c>
      <c r="E24" s="34" t="str">
        <f>Database!P29</f>
        <v>3* 1 mg</v>
      </c>
      <c r="F24" s="34">
        <f>Database!Q29</f>
        <v>0</v>
      </c>
      <c r="G24" s="462">
        <f>Database!R29</f>
        <v>0</v>
      </c>
      <c r="H24" s="35">
        <f>Database!N29</f>
        <v>40042</v>
      </c>
    </row>
    <row r="25" spans="1:8" ht="23.25" x14ac:dyDescent="0.25">
      <c r="A25" s="225" t="str">
        <f>Database!A30</f>
        <v>09SAM009</v>
      </c>
      <c r="B25" s="34" t="str">
        <f>Database!E30</f>
        <v>LUNDBECK</v>
      </c>
      <c r="C25" s="34" t="str">
        <f>Database!F30</f>
        <v>cPP</v>
      </c>
      <c r="D25" s="34">
        <f>Database!K30</f>
        <v>4208.66</v>
      </c>
      <c r="E25" s="34" t="str">
        <f>Database!P30</f>
        <v>9*1 mg</v>
      </c>
      <c r="F25" s="34">
        <f>Database!Q30</f>
        <v>0</v>
      </c>
      <c r="G25" s="462">
        <f>Database!R30</f>
        <v>0</v>
      </c>
      <c r="H25" s="35">
        <f>Database!N30</f>
        <v>40070</v>
      </c>
    </row>
    <row r="26" spans="1:8" ht="23.25" x14ac:dyDescent="0.25">
      <c r="A26" s="225" t="str">
        <f>Database!A31</f>
        <v>09SAM010</v>
      </c>
      <c r="B26" s="34" t="str">
        <f>Database!E31</f>
        <v>ABBOTT</v>
      </c>
      <c r="C26" s="34">
        <f>Database!F31</f>
        <v>0</v>
      </c>
      <c r="D26" s="34">
        <f>Database!K31</f>
        <v>1072.6500000000001</v>
      </c>
      <c r="E26" s="34" t="str">
        <f>Database!P31</f>
        <v>25 g</v>
      </c>
      <c r="F26" s="34">
        <f>Database!Q31</f>
        <v>0</v>
      </c>
      <c r="G26" s="462">
        <f>Database!R31</f>
        <v>0</v>
      </c>
      <c r="H26" s="35">
        <f>Database!N31</f>
        <v>40070</v>
      </c>
    </row>
    <row r="27" spans="1:8" ht="30" x14ac:dyDescent="0.25">
      <c r="A27" s="225" t="str">
        <f>Database!A32</f>
        <v>09SAM011</v>
      </c>
      <c r="B27" s="34" t="str">
        <f>Database!E32</f>
        <v>SOLVAY</v>
      </c>
      <c r="C27" s="34" t="str">
        <f>Database!F32</f>
        <v>D-Serine</v>
      </c>
      <c r="D27" s="34">
        <f>Database!K32</f>
        <v>105.09</v>
      </c>
      <c r="E27" s="34" t="str">
        <f>Database!P32</f>
        <v>5102.14 mg</v>
      </c>
      <c r="F27" s="34" t="str">
        <f>Database!Q32</f>
        <v>100 mM in ACSF</v>
      </c>
      <c r="G27" s="462">
        <f>Database!R32</f>
        <v>0</v>
      </c>
      <c r="H27" s="35">
        <f>Database!N32</f>
        <v>40144</v>
      </c>
    </row>
    <row r="28" spans="1:8" ht="30" x14ac:dyDescent="0.25">
      <c r="A28" s="225" t="str">
        <f>Database!A33</f>
        <v>09SAM012</v>
      </c>
      <c r="B28" s="34" t="str">
        <f>Database!E33</f>
        <v>SOLVAY</v>
      </c>
      <c r="C28" s="34" t="str">
        <f>Database!F33</f>
        <v>Dizocilpine/MK801</v>
      </c>
      <c r="D28" s="34">
        <f>Database!K33</f>
        <v>340.78</v>
      </c>
      <c r="E28" s="34" t="str">
        <f>Database!P33</f>
        <v>100 mg</v>
      </c>
      <c r="F28" s="34" t="str">
        <f>Database!Q33</f>
        <v>10 mM in H2O mQ</v>
      </c>
      <c r="G28" s="462">
        <f>Database!R33</f>
        <v>0</v>
      </c>
      <c r="H28" s="35">
        <f>Database!N33</f>
        <v>40144</v>
      </c>
    </row>
    <row r="29" spans="1:8" ht="30" x14ac:dyDescent="0.25">
      <c r="A29" s="225" t="str">
        <f>Database!A34</f>
        <v>09SAM013</v>
      </c>
      <c r="B29" s="34" t="str">
        <f>Database!E34</f>
        <v>SOLVAY</v>
      </c>
      <c r="C29" s="34" t="str">
        <f>Database!F34</f>
        <v>DAAOi</v>
      </c>
      <c r="D29" s="34">
        <f>Database!K34</f>
        <v>174.81</v>
      </c>
      <c r="E29" s="34" t="str">
        <f>Database!P34</f>
        <v>201.24 mg</v>
      </c>
      <c r="F29" s="34" t="str">
        <f>Database!Q34</f>
        <v>100 mM in DMSO</v>
      </c>
      <c r="G29" s="462">
        <f>Database!R34</f>
        <v>0</v>
      </c>
      <c r="H29" s="35">
        <f>Database!N34</f>
        <v>40144</v>
      </c>
    </row>
    <row r="30" spans="1:8" ht="23.25" x14ac:dyDescent="0.25">
      <c r="A30" s="225" t="str">
        <f>Database!A35</f>
        <v>09SAM014</v>
      </c>
      <c r="B30" s="34" t="str">
        <f>Database!E35</f>
        <v>ABBOTT</v>
      </c>
      <c r="C30" s="34" t="str">
        <f>Database!F35</f>
        <v>DHA</v>
      </c>
      <c r="D30" s="34" t="str">
        <f>Database!K35</f>
        <v>NC</v>
      </c>
      <c r="E30" s="34" t="str">
        <f>Database!P35</f>
        <v>500 mg</v>
      </c>
      <c r="F30" s="34">
        <f>Database!Q35</f>
        <v>0</v>
      </c>
      <c r="G30" s="462">
        <f>Database!R35</f>
        <v>0</v>
      </c>
      <c r="H30" s="35">
        <f>Database!N35</f>
        <v>40158</v>
      </c>
    </row>
    <row r="31" spans="1:8" ht="30" x14ac:dyDescent="0.25">
      <c r="A31" s="225" t="str">
        <f>Database!A36</f>
        <v>09REF015</v>
      </c>
      <c r="B31" s="34" t="str">
        <f>Database!E36</f>
        <v>NEUROSERVICE</v>
      </c>
      <c r="C31" s="34" t="str">
        <f>Database!F36</f>
        <v>Diazepam</v>
      </c>
      <c r="D31" s="34">
        <f>Database!K36</f>
        <v>284.7</v>
      </c>
      <c r="E31" s="34" t="str">
        <f>Database!P36</f>
        <v>100 mg</v>
      </c>
      <c r="F31" s="34" t="str">
        <f>Database!Q36</f>
        <v>H2O mQ</v>
      </c>
      <c r="G31" s="462">
        <f>Database!R36</f>
        <v>0</v>
      </c>
      <c r="H31" s="35">
        <f>Database!N36</f>
        <v>40165</v>
      </c>
    </row>
    <row r="32" spans="1:8" ht="23.25" x14ac:dyDescent="0.25">
      <c r="A32" s="225">
        <f>Database!A37</f>
        <v>0</v>
      </c>
      <c r="B32" s="34">
        <f>Database!E37</f>
        <v>0</v>
      </c>
      <c r="C32" s="34">
        <f>Database!F37</f>
        <v>0</v>
      </c>
      <c r="D32" s="34">
        <f>Database!K37</f>
        <v>0</v>
      </c>
      <c r="E32" s="34">
        <f>Database!P37</f>
        <v>0</v>
      </c>
      <c r="F32" s="34">
        <f>Database!Q37</f>
        <v>0</v>
      </c>
      <c r="G32" s="462">
        <f>Database!R37</f>
        <v>0</v>
      </c>
      <c r="H32" s="35">
        <f>Database!N37</f>
        <v>0</v>
      </c>
    </row>
    <row r="33" spans="1:8" ht="23.25" x14ac:dyDescent="0.25">
      <c r="A33" s="225" t="str">
        <f>Database!A38</f>
        <v/>
      </c>
      <c r="B33" s="34">
        <f>Database!E38</f>
        <v>0</v>
      </c>
      <c r="C33" s="34">
        <f>Database!F38</f>
        <v>0</v>
      </c>
      <c r="D33" s="34">
        <f>Database!K38</f>
        <v>0</v>
      </c>
      <c r="E33" s="34">
        <f>Database!P38</f>
        <v>0</v>
      </c>
      <c r="F33" s="34">
        <f>Database!Q38</f>
        <v>0</v>
      </c>
      <c r="G33" s="462">
        <f>Database!R38</f>
        <v>0</v>
      </c>
      <c r="H33" s="35">
        <f>Database!N38</f>
        <v>0</v>
      </c>
    </row>
    <row r="34" spans="1:8" ht="30" x14ac:dyDescent="0.25">
      <c r="A34" s="225" t="str">
        <f>Database!A39</f>
        <v>10REF001</v>
      </c>
      <c r="B34" s="34" t="str">
        <f>Database!E39</f>
        <v>NEUROSERVICE</v>
      </c>
      <c r="C34" s="34" t="str">
        <f>Database!F39</f>
        <v>Mecamylamine</v>
      </c>
      <c r="D34" s="34">
        <f>Database!K39</f>
        <v>203.8</v>
      </c>
      <c r="E34" s="34" t="str">
        <f>Database!P39</f>
        <v>25 mg</v>
      </c>
      <c r="F34" s="34" t="str">
        <f>Database!Q39</f>
        <v>H2O mQ</v>
      </c>
      <c r="G34" s="462">
        <f>Database!R39</f>
        <v>0</v>
      </c>
      <c r="H34" s="35">
        <f>Database!N39</f>
        <v>40301</v>
      </c>
    </row>
    <row r="35" spans="1:8" ht="30" x14ac:dyDescent="0.25">
      <c r="A35" s="225" t="str">
        <f>Database!A40</f>
        <v>10SAM002</v>
      </c>
      <c r="B35" s="34" t="str">
        <f>Database!E40</f>
        <v>ABBOTT</v>
      </c>
      <c r="C35" s="34" t="str">
        <f>Database!F40</f>
        <v>DHA</v>
      </c>
      <c r="D35" s="34">
        <f>Database!K40</f>
        <v>356.5</v>
      </c>
      <c r="E35" s="34" t="str">
        <f>Database!P40</f>
        <v>500 mg in 1mL EtOH</v>
      </c>
      <c r="F35" s="34">
        <f>Database!Q40</f>
        <v>0</v>
      </c>
      <c r="G35" s="462">
        <f>Database!R40</f>
        <v>0</v>
      </c>
      <c r="H35" s="35">
        <f>Database!N40</f>
        <v>40240</v>
      </c>
    </row>
    <row r="36" spans="1:8" ht="30" x14ac:dyDescent="0.25">
      <c r="A36" s="225" t="str">
        <f>Database!A41</f>
        <v>10SAM003</v>
      </c>
      <c r="B36" s="34" t="str">
        <f>Database!E41</f>
        <v>SOLVAY</v>
      </c>
      <c r="C36" s="34" t="str">
        <f>Database!F41</f>
        <v>(SOBA20757706)</v>
      </c>
      <c r="D36" s="34">
        <f>Database!K41</f>
        <v>224.84</v>
      </c>
      <c r="E36" s="34" t="str">
        <f>Database!P41</f>
        <v>5.99 mg</v>
      </c>
      <c r="F36" s="34">
        <f>Database!Q41</f>
        <v>0</v>
      </c>
      <c r="G36" s="462">
        <f>Database!R41</f>
        <v>0</v>
      </c>
      <c r="H36" s="35">
        <f>Database!N41</f>
        <v>40256</v>
      </c>
    </row>
    <row r="37" spans="1:8" ht="30" x14ac:dyDescent="0.25">
      <c r="A37" s="225" t="str">
        <f>Database!A42</f>
        <v>10SAM004</v>
      </c>
      <c r="B37" s="34" t="str">
        <f>Database!E42</f>
        <v>SOLVAY</v>
      </c>
      <c r="C37" s="34" t="str">
        <f>Database!F42</f>
        <v>SOBA 20731928</v>
      </c>
      <c r="D37" s="34">
        <f>Database!K42</f>
        <v>439.3</v>
      </c>
      <c r="E37" s="34" t="str">
        <f>Database!P42</f>
        <v>5.75 mg</v>
      </c>
      <c r="F37" s="34">
        <f>Database!Q42</f>
        <v>0</v>
      </c>
      <c r="G37" s="462">
        <f>Database!R42</f>
        <v>0</v>
      </c>
      <c r="H37" s="35">
        <f>Database!N42</f>
        <v>40313</v>
      </c>
    </row>
    <row r="38" spans="1:8" ht="30" x14ac:dyDescent="0.25">
      <c r="A38" s="225" t="str">
        <f>Database!A43</f>
        <v>10SAM005</v>
      </c>
      <c r="B38" s="34" t="str">
        <f>Database!E43</f>
        <v>SOLVAY</v>
      </c>
      <c r="C38" s="34" t="str">
        <f>Database!F43</f>
        <v>SOBA 20752261</v>
      </c>
      <c r="D38" s="34">
        <f>Database!K43</f>
        <v>353.34</v>
      </c>
      <c r="E38" s="34" t="str">
        <f>Database!P43</f>
        <v>5.97 mg</v>
      </c>
      <c r="F38" s="34">
        <f>Database!Q43</f>
        <v>0</v>
      </c>
      <c r="G38" s="462">
        <f>Database!R43</f>
        <v>0</v>
      </c>
      <c r="H38" s="35">
        <f>Database!N43</f>
        <v>40313</v>
      </c>
    </row>
    <row r="39" spans="1:8" ht="30" x14ac:dyDescent="0.25">
      <c r="A39" s="225" t="str">
        <f>Database!A44</f>
        <v>10SAM006</v>
      </c>
      <c r="B39" s="34" t="str">
        <f>Database!E44</f>
        <v>SOLVAY</v>
      </c>
      <c r="C39" s="34" t="str">
        <f>Database!F44</f>
        <v>SOBA 20727680</v>
      </c>
      <c r="D39" s="34">
        <f>Database!K44</f>
        <v>498.43</v>
      </c>
      <c r="E39" s="34" t="str">
        <f>Database!P44</f>
        <v>5.24 mg</v>
      </c>
      <c r="F39" s="34">
        <f>Database!Q44</f>
        <v>0</v>
      </c>
      <c r="G39" s="462">
        <f>Database!R44</f>
        <v>0</v>
      </c>
      <c r="H39" s="35">
        <f>Database!N44</f>
        <v>40313</v>
      </c>
    </row>
    <row r="40" spans="1:8" ht="45" x14ac:dyDescent="0.25">
      <c r="A40" s="225" t="str">
        <f>Database!A45</f>
        <v>10SAM007</v>
      </c>
      <c r="B40" s="34" t="str">
        <f>Database!E45</f>
        <v>BIOLINE</v>
      </c>
      <c r="C40" s="34" t="str">
        <f>Database!F45</f>
        <v>BL-1021 fumarate salt</v>
      </c>
      <c r="D40" s="34">
        <f>Database!K45</f>
        <v>464.55</v>
      </c>
      <c r="E40" s="34" t="str">
        <f>Database!P45</f>
        <v>1 g</v>
      </c>
      <c r="F40" s="34">
        <f>Database!Q45</f>
        <v>0</v>
      </c>
      <c r="G40" s="462">
        <f>Database!R45</f>
        <v>0</v>
      </c>
      <c r="H40" s="35">
        <f>Database!N45</f>
        <v>40459</v>
      </c>
    </row>
    <row r="41" spans="1:8" ht="45" x14ac:dyDescent="0.25">
      <c r="A41" s="225" t="str">
        <f>Database!A46</f>
        <v>10SAM008</v>
      </c>
      <c r="B41" s="34" t="str">
        <f>Database!E46</f>
        <v>BIOLINE</v>
      </c>
      <c r="C41" s="34" t="str">
        <f>Database!F46</f>
        <v>BL-1021 fumarate salt</v>
      </c>
      <c r="D41" s="34">
        <f>Database!K46</f>
        <v>464.55</v>
      </c>
      <c r="E41" s="34" t="str">
        <f>Database!P46</f>
        <v>3 g</v>
      </c>
      <c r="F41" s="34">
        <f>Database!Q46</f>
        <v>0</v>
      </c>
      <c r="G41" s="462">
        <f>Database!R46</f>
        <v>0</v>
      </c>
      <c r="H41" s="35">
        <f>Database!N46</f>
        <v>40518</v>
      </c>
    </row>
    <row r="42" spans="1:8" ht="45" x14ac:dyDescent="0.25">
      <c r="A42" s="225" t="str">
        <f>Database!A47</f>
        <v>10SAM009</v>
      </c>
      <c r="B42" s="34" t="str">
        <f>Database!E47</f>
        <v>BIOLINE</v>
      </c>
      <c r="C42" s="34" t="str">
        <f>Database!F47</f>
        <v>BL-1021 fumarate salt</v>
      </c>
      <c r="D42" s="34">
        <f>Database!K47</f>
        <v>464.55</v>
      </c>
      <c r="E42" s="34" t="str">
        <f>Database!P47</f>
        <v>3 g</v>
      </c>
      <c r="F42" s="34">
        <f>Database!Q47</f>
        <v>0</v>
      </c>
      <c r="G42" s="462">
        <f>Database!R47</f>
        <v>0</v>
      </c>
      <c r="H42" s="35">
        <f>Database!N47</f>
        <v>40518</v>
      </c>
    </row>
    <row r="43" spans="1:8" ht="30" x14ac:dyDescent="0.25">
      <c r="A43" s="225" t="str">
        <f>Database!A48</f>
        <v>10SAM010</v>
      </c>
      <c r="B43" s="34" t="str">
        <f>Database!E48</f>
        <v>BIOLINE</v>
      </c>
      <c r="C43" s="34" t="str">
        <f>Database!F48</f>
        <v>Nortriptyline HCL</v>
      </c>
      <c r="D43" s="34">
        <f>Database!K48</f>
        <v>299.69</v>
      </c>
      <c r="E43" s="34" t="str">
        <f>Database!P48</f>
        <v>1 g</v>
      </c>
      <c r="F43" s="34">
        <f>Database!Q48</f>
        <v>0</v>
      </c>
      <c r="G43" s="462">
        <f>Database!R48</f>
        <v>0</v>
      </c>
      <c r="H43" s="35">
        <f>Database!N48</f>
        <v>40518</v>
      </c>
    </row>
    <row r="44" spans="1:8" ht="60" x14ac:dyDescent="0.25">
      <c r="A44" s="225" t="str">
        <f>Database!A49</f>
        <v>10REF011</v>
      </c>
      <c r="B44" s="34" t="str">
        <f>Database!E49</f>
        <v>NEUROSERVICE</v>
      </c>
      <c r="C44" s="34" t="str">
        <f>Database!F49</f>
        <v>Sarpogrelate Hydrochloride</v>
      </c>
      <c r="D44" s="34">
        <f>Database!K49</f>
        <v>465.97</v>
      </c>
      <c r="E44" s="34" t="str">
        <f>Database!P49</f>
        <v>5mg</v>
      </c>
      <c r="F44" s="34" t="str">
        <f>Database!Q49</f>
        <v>5mg/mL</v>
      </c>
      <c r="G44" s="462">
        <f>Database!R49</f>
        <v>0</v>
      </c>
      <c r="H44" s="35">
        <f>Database!N49</f>
        <v>40378</v>
      </c>
    </row>
    <row r="45" spans="1:8" ht="60" x14ac:dyDescent="0.25">
      <c r="A45" s="225" t="str">
        <f>Database!A50</f>
        <v>10REF012</v>
      </c>
      <c r="B45" s="34" t="str">
        <f>Database!E50</f>
        <v>NEUROSERVICE</v>
      </c>
      <c r="C45" s="34" t="str">
        <f>Database!F50</f>
        <v>Sarpogrelate Hydrochloride</v>
      </c>
      <c r="D45" s="34">
        <f>Database!K50</f>
        <v>465.97</v>
      </c>
      <c r="E45" s="34" t="str">
        <f>Database!P50</f>
        <v>5mg</v>
      </c>
      <c r="F45" s="34" t="str">
        <f>Database!Q50</f>
        <v>5mg/mL</v>
      </c>
      <c r="G45" s="462">
        <f>Database!R50</f>
        <v>0</v>
      </c>
      <c r="H45" s="35">
        <f>Database!N50</f>
        <v>40378</v>
      </c>
    </row>
    <row r="46" spans="1:8" ht="23.25" x14ac:dyDescent="0.25">
      <c r="A46" s="225" t="str">
        <f>Database!A51</f>
        <v/>
      </c>
      <c r="B46" s="34">
        <f>Database!E51</f>
        <v>0</v>
      </c>
      <c r="C46" s="34">
        <f>Database!F51</f>
        <v>0</v>
      </c>
      <c r="D46" s="34">
        <f>Database!K51</f>
        <v>0</v>
      </c>
      <c r="E46" s="34">
        <f>Database!P51</f>
        <v>0</v>
      </c>
      <c r="F46" s="34">
        <f>Database!Q51</f>
        <v>0</v>
      </c>
      <c r="G46" s="462">
        <f>Database!R51</f>
        <v>0</v>
      </c>
      <c r="H46" s="35">
        <f>Database!N51</f>
        <v>0</v>
      </c>
    </row>
    <row r="47" spans="1:8" ht="30" x14ac:dyDescent="0.25">
      <c r="A47" s="225" t="str">
        <f>Database!A52</f>
        <v>11REF001</v>
      </c>
      <c r="B47" s="34" t="str">
        <f>Database!E52</f>
        <v>NEUROSERVICE</v>
      </c>
      <c r="C47" s="34" t="str">
        <f>Database!F52</f>
        <v>NMDA</v>
      </c>
      <c r="D47" s="34">
        <f>Database!K52</f>
        <v>156.13999999999999</v>
      </c>
      <c r="E47" s="34" t="str">
        <f>Database!P52</f>
        <v>50 mg</v>
      </c>
      <c r="F47" s="34" t="str">
        <f>Database!Q52</f>
        <v>H2O mQ</v>
      </c>
      <c r="G47" s="462">
        <f>Database!R52</f>
        <v>0</v>
      </c>
      <c r="H47" s="35">
        <f>Database!N52</f>
        <v>40668</v>
      </c>
    </row>
    <row r="48" spans="1:8" ht="45" x14ac:dyDescent="0.25">
      <c r="A48" s="225" t="str">
        <f>Database!A53</f>
        <v>11REF002</v>
      </c>
      <c r="B48" s="34" t="str">
        <f>Database!E53</f>
        <v>NEUROSERVICE</v>
      </c>
      <c r="C48" s="34" t="str">
        <f>Database!F53</f>
        <v>Quinpirole hydrochloride</v>
      </c>
      <c r="D48" s="34">
        <f>Database!K53</f>
        <v>255.8</v>
      </c>
      <c r="E48" s="34" t="str">
        <f>Database!P53</f>
        <v>10 mg</v>
      </c>
      <c r="F48" s="34" t="str">
        <f>Database!Q53</f>
        <v>H2O mQ</v>
      </c>
      <c r="G48" s="462">
        <f>Database!R53</f>
        <v>0</v>
      </c>
      <c r="H48" s="35">
        <f>Database!N53</f>
        <v>40626</v>
      </c>
    </row>
    <row r="49" spans="1:8" ht="75" x14ac:dyDescent="0.25">
      <c r="A49" s="225" t="str">
        <f>Database!A54</f>
        <v>11REF003</v>
      </c>
      <c r="B49" s="34" t="str">
        <f>Database!E54</f>
        <v>NEUROSERVICE</v>
      </c>
      <c r="C49" s="34" t="str">
        <f>Database!F54</f>
        <v>Amyloid b- protein (1-42) hydrochloride salt</v>
      </c>
      <c r="D49" s="34">
        <f>Database!K54</f>
        <v>4514.1000000000004</v>
      </c>
      <c r="E49" s="34" t="str">
        <f>Database!P54</f>
        <v xml:space="preserve">0.5 mg </v>
      </c>
      <c r="F49" s="34">
        <f>Database!Q54</f>
        <v>0</v>
      </c>
      <c r="G49" s="462">
        <f>Database!R54</f>
        <v>0</v>
      </c>
      <c r="H49" s="35">
        <f>Database!N54</f>
        <v>40637</v>
      </c>
    </row>
    <row r="50" spans="1:8" ht="45" x14ac:dyDescent="0.25">
      <c r="A50" s="225" t="str">
        <f>Database!A55</f>
        <v>11REF004</v>
      </c>
      <c r="B50" s="34" t="str">
        <f>Database!E55</f>
        <v>NEUROSERVICE</v>
      </c>
      <c r="C50" s="34" t="str">
        <f>Database!F55</f>
        <v>Amyloid b- protein (1-42) human</v>
      </c>
      <c r="D50" s="34">
        <f>Database!K55</f>
        <v>4514.08</v>
      </c>
      <c r="E50" s="34" t="str">
        <f>Database!P55</f>
        <v>1 mg</v>
      </c>
      <c r="F50" s="34">
        <f>Database!Q55</f>
        <v>0</v>
      </c>
      <c r="G50" s="462">
        <f>Database!R55</f>
        <v>0</v>
      </c>
      <c r="H50" s="35">
        <f>Database!N55</f>
        <v>40637</v>
      </c>
    </row>
    <row r="51" spans="1:8" ht="30" x14ac:dyDescent="0.25">
      <c r="A51" s="225" t="str">
        <f>Database!A56</f>
        <v>11REF005</v>
      </c>
      <c r="B51" s="34" t="str">
        <f>Database!E56</f>
        <v>NEUROSERVICE</v>
      </c>
      <c r="C51" s="34" t="str">
        <f>Database!F56</f>
        <v>Atropine</v>
      </c>
      <c r="D51" s="34">
        <f>Database!K56</f>
        <v>289.37</v>
      </c>
      <c r="E51" s="34" t="str">
        <f>Database!P56</f>
        <v>1 g</v>
      </c>
      <c r="F51" s="34">
        <f>Database!Q56</f>
        <v>0</v>
      </c>
      <c r="G51" s="462">
        <f>Database!R56</f>
        <v>0</v>
      </c>
      <c r="H51" s="35">
        <f>Database!N56</f>
        <v>40883</v>
      </c>
    </row>
    <row r="52" spans="1:8" ht="45" x14ac:dyDescent="0.25">
      <c r="A52" s="225" t="str">
        <f>Database!A57</f>
        <v>11REF006</v>
      </c>
      <c r="B52" s="34" t="str">
        <f>Database!E57</f>
        <v>NEUROSERVICE</v>
      </c>
      <c r="C52" s="34" t="str">
        <f>Database!F57</f>
        <v>Fluoxeine hydrochloride</v>
      </c>
      <c r="D52" s="34">
        <f>Database!K57</f>
        <v>345.79</v>
      </c>
      <c r="E52" s="34" t="str">
        <f>Database!P57</f>
        <v>10 mg</v>
      </c>
      <c r="F52" s="34">
        <f>Database!Q57</f>
        <v>0</v>
      </c>
      <c r="G52" s="462">
        <f>Database!R57</f>
        <v>0</v>
      </c>
      <c r="H52" s="35">
        <f>Database!N57</f>
        <v>40626</v>
      </c>
    </row>
    <row r="53" spans="1:8" ht="30" x14ac:dyDescent="0.25">
      <c r="A53" s="225" t="str">
        <f>Database!A58</f>
        <v>11REF007</v>
      </c>
      <c r="B53" s="34" t="str">
        <f>Database!E58</f>
        <v>NEUROSERVICE</v>
      </c>
      <c r="C53" s="34" t="str">
        <f>Database!F58</f>
        <v>Moclobemide</v>
      </c>
      <c r="D53" s="34">
        <f>Database!K58</f>
        <v>268.74</v>
      </c>
      <c r="E53" s="34" t="str">
        <f>Database!P58</f>
        <v>10 mg</v>
      </c>
      <c r="F53" s="34">
        <f>Database!Q58</f>
        <v>0</v>
      </c>
      <c r="G53" s="462">
        <f>Database!R58</f>
        <v>0</v>
      </c>
      <c r="H53" s="35">
        <f>Database!N58</f>
        <v>40630</v>
      </c>
    </row>
    <row r="54" spans="1:8" ht="30" x14ac:dyDescent="0.25">
      <c r="A54" s="225" t="str">
        <f>Database!A59</f>
        <v>11REF008</v>
      </c>
      <c r="B54" s="34" t="str">
        <f>Database!E59</f>
        <v>NEUROSERVICE</v>
      </c>
      <c r="C54" s="34" t="str">
        <f>Database!F59</f>
        <v>Clonazepam</v>
      </c>
      <c r="D54" s="34">
        <f>Database!K59</f>
        <v>315.7</v>
      </c>
      <c r="E54" s="34" t="str">
        <f>Database!P59</f>
        <v>50 mg</v>
      </c>
      <c r="F54" s="34" t="str">
        <f>Database!Q59</f>
        <v>DMSO</v>
      </c>
      <c r="G54" s="462">
        <f>Database!R59</f>
        <v>0</v>
      </c>
      <c r="H54" s="35">
        <f>Database!N59</f>
        <v>40788</v>
      </c>
    </row>
    <row r="55" spans="1:8" ht="45" x14ac:dyDescent="0.25">
      <c r="A55" s="225" t="str">
        <f>Database!A60</f>
        <v>11REF009</v>
      </c>
      <c r="B55" s="34" t="str">
        <f>Database!E60</f>
        <v>NEUROSERVICE</v>
      </c>
      <c r="C55" s="34" t="str">
        <f>Database!F60</f>
        <v>Phenobarbital sodium salt</v>
      </c>
      <c r="D55" s="34">
        <f>Database!K60</f>
        <v>254.22</v>
      </c>
      <c r="E55" s="34" t="str">
        <f>Database!P60</f>
        <v>25 mg</v>
      </c>
      <c r="F55" s="34" t="str">
        <f>Database!Q60</f>
        <v>H2O mQ</v>
      </c>
      <c r="G55" s="462">
        <f>Database!R60</f>
        <v>0</v>
      </c>
      <c r="H55" s="35">
        <f>Database!N60</f>
        <v>40787</v>
      </c>
    </row>
    <row r="56" spans="1:8" ht="45" x14ac:dyDescent="0.25">
      <c r="A56" s="225" t="str">
        <f>Database!A61</f>
        <v>11SAM010</v>
      </c>
      <c r="B56" s="34" t="str">
        <f>Database!E61</f>
        <v>ABBOTT</v>
      </c>
      <c r="C56" s="34" t="str">
        <f>Database!F61</f>
        <v>Liposomes control DOPC</v>
      </c>
      <c r="D56" s="34" t="str">
        <f>Database!K61</f>
        <v>-</v>
      </c>
      <c r="E56" s="34" t="str">
        <f>Database!P61</f>
        <v>100 mL</v>
      </c>
      <c r="F56" s="34">
        <f>Database!Q61</f>
        <v>0</v>
      </c>
      <c r="G56" s="462">
        <f>Database!R61</f>
        <v>0</v>
      </c>
      <c r="H56" s="35">
        <f>Database!N61</f>
        <v>40577</v>
      </c>
    </row>
    <row r="57" spans="1:8" ht="45" x14ac:dyDescent="0.25">
      <c r="A57" s="225" t="str">
        <f>Database!A62</f>
        <v>11SAM011</v>
      </c>
      <c r="B57" s="34" t="str">
        <f>Database!E62</f>
        <v>ABBOTT</v>
      </c>
      <c r="C57" s="34" t="str">
        <f>Database!F62</f>
        <v>Liposomes control DPPC</v>
      </c>
      <c r="D57" s="34" t="str">
        <f>Database!K62</f>
        <v>-</v>
      </c>
      <c r="E57" s="34" t="str">
        <f>Database!P62</f>
        <v>100 mL</v>
      </c>
      <c r="F57" s="34">
        <f>Database!Q62</f>
        <v>0</v>
      </c>
      <c r="G57" s="462">
        <f>Database!R62</f>
        <v>0</v>
      </c>
      <c r="H57" s="35">
        <f>Database!N62</f>
        <v>40577</v>
      </c>
    </row>
    <row r="58" spans="1:8" ht="30" x14ac:dyDescent="0.25">
      <c r="A58" s="225" t="str">
        <f>Database!A63</f>
        <v>11SAM012</v>
      </c>
      <c r="B58" s="34" t="str">
        <f>Database!E63</f>
        <v>ARAGON PH.</v>
      </c>
      <c r="C58" s="34" t="str">
        <f>Database!F63</f>
        <v>ARN000673.012</v>
      </c>
      <c r="D58" s="34">
        <f>Database!K63</f>
        <v>463.36</v>
      </c>
      <c r="E58" s="34" t="str">
        <f>Database!P63</f>
        <v>22.1 mg</v>
      </c>
      <c r="F58" s="34" t="str">
        <f>Database!Q63</f>
        <v>DMSO</v>
      </c>
      <c r="G58" s="462">
        <f>Database!R63</f>
        <v>0</v>
      </c>
      <c r="H58" s="35">
        <f>Database!N63</f>
        <v>40654</v>
      </c>
    </row>
    <row r="59" spans="1:8" ht="30" x14ac:dyDescent="0.25">
      <c r="A59" s="225" t="str">
        <f>Database!A64</f>
        <v>11SAM013</v>
      </c>
      <c r="B59" s="34" t="str">
        <f>Database!E64</f>
        <v>ESAI</v>
      </c>
      <c r="C59" s="34" t="str">
        <f>Database!F64</f>
        <v>ER-901791-00-03</v>
      </c>
      <c r="D59" s="34">
        <f>Database!K64</f>
        <v>399.49</v>
      </c>
      <c r="E59" s="34" t="str">
        <f>Database!P64</f>
        <v>34 mg</v>
      </c>
      <c r="F59" s="34" t="str">
        <f>Database!Q64</f>
        <v>DMSO</v>
      </c>
      <c r="G59" s="462">
        <f>Database!R64</f>
        <v>0</v>
      </c>
      <c r="H59" s="35">
        <f>Database!N64</f>
        <v>40884</v>
      </c>
    </row>
    <row r="60" spans="1:8" ht="30" x14ac:dyDescent="0.25">
      <c r="A60" s="225" t="str">
        <f>Database!A65</f>
        <v>11SAM014</v>
      </c>
      <c r="B60" s="34" t="str">
        <f>Database!E65</f>
        <v>ESAI</v>
      </c>
      <c r="C60" s="34" t="str">
        <f>Database!F65</f>
        <v>ER-901631-01-02</v>
      </c>
      <c r="D60" s="34">
        <f>Database!K65</f>
        <v>468.99</v>
      </c>
      <c r="E60" s="34" t="str">
        <f>Database!P65</f>
        <v>45.08 mg</v>
      </c>
      <c r="F60" s="34">
        <f>Database!Q65</f>
        <v>0</v>
      </c>
      <c r="G60" s="462">
        <f>Database!R65</f>
        <v>0</v>
      </c>
      <c r="H60" s="35">
        <f>Database!N65</f>
        <v>40884</v>
      </c>
    </row>
    <row r="61" spans="1:8" ht="30" x14ac:dyDescent="0.25">
      <c r="A61" s="225" t="str">
        <f>Database!A66</f>
        <v>11SAM015</v>
      </c>
      <c r="B61" s="34" t="str">
        <f>Database!E66</f>
        <v>HEPTARES</v>
      </c>
      <c r="C61" s="34" t="str">
        <f>Database!F66</f>
        <v>HTL2345-006</v>
      </c>
      <c r="D61" s="34">
        <f>Database!K66</f>
        <v>353.5</v>
      </c>
      <c r="E61" s="34" t="str">
        <f>Database!P66</f>
        <v>10.02 mg</v>
      </c>
      <c r="F61" s="34">
        <f>Database!Q66</f>
        <v>0</v>
      </c>
      <c r="G61" s="462">
        <f>Database!R66</f>
        <v>0</v>
      </c>
      <c r="H61" s="35">
        <f>Database!N66</f>
        <v>40602</v>
      </c>
    </row>
    <row r="62" spans="1:8" ht="23.25" x14ac:dyDescent="0.25">
      <c r="A62" s="225" t="str">
        <f>Database!A67</f>
        <v>11SAM016</v>
      </c>
      <c r="B62" s="34" t="str">
        <f>Database!E67</f>
        <v>HEPTARES</v>
      </c>
      <c r="C62" s="34" t="str">
        <f>Database!F67</f>
        <v>1A/104452</v>
      </c>
      <c r="D62" s="34">
        <f>Database!K67</f>
        <v>244.78</v>
      </c>
      <c r="E62" s="34" t="str">
        <f>Database!P67</f>
        <v>10 mg</v>
      </c>
      <c r="F62" s="34">
        <f>Database!Q67</f>
        <v>0</v>
      </c>
      <c r="G62" s="462">
        <f>Database!R67</f>
        <v>0</v>
      </c>
      <c r="H62" s="35">
        <f>Database!N67</f>
        <v>40808</v>
      </c>
    </row>
    <row r="63" spans="1:8" ht="23.25" x14ac:dyDescent="0.25">
      <c r="A63" s="225" t="str">
        <f>Database!A68</f>
        <v>11SAM017</v>
      </c>
      <c r="B63" s="34" t="str">
        <f>Database!E68</f>
        <v>SAGE</v>
      </c>
      <c r="C63" s="34">
        <f>Database!F68</f>
        <v>0</v>
      </c>
      <c r="D63" s="34">
        <f>Database!K68</f>
        <v>388.63</v>
      </c>
      <c r="E63" s="34" t="str">
        <f>Database!P68</f>
        <v>52.6 mg</v>
      </c>
      <c r="F63" s="34">
        <f>Database!Q68</f>
        <v>0</v>
      </c>
      <c r="G63" s="462">
        <f>Database!R68</f>
        <v>0</v>
      </c>
      <c r="H63" s="35">
        <f>Database!N68</f>
        <v>40856</v>
      </c>
    </row>
    <row r="64" spans="1:8" ht="30" x14ac:dyDescent="0.25">
      <c r="A64" s="225" t="str">
        <f>Database!A69</f>
        <v>11SAM018</v>
      </c>
      <c r="B64" s="34" t="str">
        <f>Database!E69</f>
        <v xml:space="preserve">TAKEDA </v>
      </c>
      <c r="C64" s="34" t="str">
        <f>Database!F69</f>
        <v>PGM020382:02</v>
      </c>
      <c r="D64" s="34">
        <f>Database!K69</f>
        <v>429.41</v>
      </c>
      <c r="E64" s="34" t="str">
        <f>Database!P69</f>
        <v>20.26 mg</v>
      </c>
      <c r="F64" s="34">
        <f>Database!Q69</f>
        <v>0</v>
      </c>
      <c r="G64" s="462">
        <f>Database!R69</f>
        <v>0</v>
      </c>
      <c r="H64" s="35">
        <f>Database!N69</f>
        <v>40709</v>
      </c>
    </row>
    <row r="65" spans="1:8" ht="30" x14ac:dyDescent="0.25">
      <c r="A65" s="225" t="str">
        <f>Database!A70</f>
        <v>11SAM019</v>
      </c>
      <c r="B65" s="34" t="str">
        <f>Database!E70</f>
        <v>UNIVERSITE DESCARTES</v>
      </c>
      <c r="C65" s="34" t="str">
        <f>Database!F70</f>
        <v>made44</v>
      </c>
      <c r="D65" s="34" t="str">
        <f>Database!K70</f>
        <v>-</v>
      </c>
      <c r="E65" s="34" t="str">
        <f>Database!P70</f>
        <v>800 µL 20 mM</v>
      </c>
      <c r="F65" s="34">
        <f>Database!Q70</f>
        <v>0</v>
      </c>
      <c r="G65" s="462">
        <f>Database!R70</f>
        <v>0</v>
      </c>
      <c r="H65" s="35">
        <f>Database!N70</f>
        <v>40611</v>
      </c>
    </row>
    <row r="66" spans="1:8" ht="30" x14ac:dyDescent="0.25">
      <c r="A66" s="225" t="str">
        <f>Database!A71</f>
        <v>11SAM020</v>
      </c>
      <c r="B66" s="34" t="str">
        <f>Database!E71</f>
        <v>UNIVERSITE DESCARTES</v>
      </c>
      <c r="C66" s="34" t="str">
        <f>Database!F71</f>
        <v>MRT7-005</v>
      </c>
      <c r="D66" s="34" t="str">
        <f>Database!K71</f>
        <v>-</v>
      </c>
      <c r="E66" s="34" t="str">
        <f>Database!P71</f>
        <v>800 µL 20 mM</v>
      </c>
      <c r="F66" s="34">
        <f>Database!Q71</f>
        <v>0</v>
      </c>
      <c r="G66" s="462">
        <f>Database!R71</f>
        <v>0</v>
      </c>
      <c r="H66" s="35">
        <f>Database!N71</f>
        <v>40611</v>
      </c>
    </row>
    <row r="67" spans="1:8" ht="30" x14ac:dyDescent="0.25">
      <c r="A67" s="225" t="str">
        <f>Database!A72</f>
        <v>11REF021</v>
      </c>
      <c r="B67" s="34" t="str">
        <f>Database!E72</f>
        <v>NEUROSERVICE</v>
      </c>
      <c r="C67" s="34" t="str">
        <f>Database!F72</f>
        <v>Kainate</v>
      </c>
      <c r="D67" s="34">
        <f>Database!K72</f>
        <v>213.23</v>
      </c>
      <c r="E67" s="34" t="str">
        <f>Database!P72</f>
        <v>50 mg</v>
      </c>
      <c r="F67" s="34" t="str">
        <f>Database!Q72</f>
        <v>H2O mQ to 25 mM</v>
      </c>
      <c r="G67" s="462">
        <f>Database!R72</f>
        <v>0</v>
      </c>
      <c r="H67" s="35" t="str">
        <f>Database!N72</f>
        <v>NC</v>
      </c>
    </row>
    <row r="68" spans="1:8" ht="30" x14ac:dyDescent="0.25">
      <c r="A68" s="225" t="str">
        <f>Database!A73</f>
        <v>11SAM022</v>
      </c>
      <c r="B68" s="34" t="str">
        <f>Database!E73</f>
        <v>ASTRAZENECA</v>
      </c>
      <c r="C68" s="34" t="str">
        <f>Database!F73</f>
        <v>AZN2157</v>
      </c>
      <c r="D68" s="34">
        <f>Database!K73</f>
        <v>240.69</v>
      </c>
      <c r="E68" s="34" t="str">
        <f>Database!P73</f>
        <v>103.9 mg</v>
      </c>
      <c r="F68" s="34">
        <f>Database!Q73</f>
        <v>0</v>
      </c>
      <c r="G68" s="462">
        <f>Database!R73</f>
        <v>0</v>
      </c>
      <c r="H68" s="35">
        <f>Database!N73</f>
        <v>40610</v>
      </c>
    </row>
    <row r="69" spans="1:8" ht="30" x14ac:dyDescent="0.25">
      <c r="A69" s="225" t="str">
        <f>Database!A74</f>
        <v>11REF023</v>
      </c>
      <c r="B69" s="34" t="str">
        <f>Database!E74</f>
        <v>NEUROSERVICE</v>
      </c>
      <c r="C69" s="34" t="str">
        <f>Database!F74</f>
        <v>Picrotoxin</v>
      </c>
      <c r="D69" s="34">
        <f>Database!K74</f>
        <v>602.58000000000004</v>
      </c>
      <c r="E69" s="34" t="str">
        <f>Database!P74</f>
        <v>5g</v>
      </c>
      <c r="F69" s="34" t="str">
        <f>Database!Q74</f>
        <v>DMSO</v>
      </c>
      <c r="G69" s="462">
        <f>Database!R74</f>
        <v>0</v>
      </c>
      <c r="H69" s="35">
        <f>Database!N74</f>
        <v>40626</v>
      </c>
    </row>
    <row r="70" spans="1:8" ht="30" x14ac:dyDescent="0.25">
      <c r="A70" s="225" t="str">
        <f>Database!A75</f>
        <v>11REF024</v>
      </c>
      <c r="B70" s="34" t="str">
        <f>Database!E75</f>
        <v>NEUROSERVICE</v>
      </c>
      <c r="C70" s="34" t="str">
        <f>Database!F75</f>
        <v>Caffeine</v>
      </c>
      <c r="D70" s="34">
        <f>Database!K75</f>
        <v>194.19</v>
      </c>
      <c r="E70" s="34" t="str">
        <f>Database!P75</f>
        <v>5 g</v>
      </c>
      <c r="F70" s="34" t="str">
        <f>Database!Q75</f>
        <v>15 mg/mL in H2O mQ</v>
      </c>
      <c r="G70" s="462">
        <f>Database!R75</f>
        <v>0</v>
      </c>
      <c r="H70" s="35">
        <f>Database!N75</f>
        <v>40695</v>
      </c>
    </row>
    <row r="71" spans="1:8" ht="30" x14ac:dyDescent="0.25">
      <c r="A71" s="225" t="str">
        <f>Database!A77</f>
        <v>12REF001</v>
      </c>
      <c r="B71" s="34" t="str">
        <f>Database!E77</f>
        <v>NEUROSERVICE</v>
      </c>
      <c r="C71" s="34" t="str">
        <f>Database!F77</f>
        <v>Carbachol</v>
      </c>
      <c r="D71" s="34">
        <f>Database!K77</f>
        <v>182.65</v>
      </c>
      <c r="E71" s="34" t="str">
        <f>Database!P77</f>
        <v>1 g</v>
      </c>
      <c r="F71" s="34" t="str">
        <f>Database!Q77</f>
        <v>H2O mQ</v>
      </c>
      <c r="G71" s="462">
        <f>Database!R77</f>
        <v>0</v>
      </c>
      <c r="H71" s="35">
        <f>Database!N77</f>
        <v>41124</v>
      </c>
    </row>
    <row r="72" spans="1:8" ht="30" x14ac:dyDescent="0.25">
      <c r="A72" s="225" t="str">
        <f>Database!A78</f>
        <v>12REF002</v>
      </c>
      <c r="B72" s="34" t="str">
        <f>Database!E78</f>
        <v>NEUROSERVICE</v>
      </c>
      <c r="C72" s="34" t="str">
        <f>Database!F78</f>
        <v>L-leucine</v>
      </c>
      <c r="D72" s="34">
        <f>Database!K78</f>
        <v>131.16999999999999</v>
      </c>
      <c r="E72" s="34" t="str">
        <f>Database!P78</f>
        <v>25 g</v>
      </c>
      <c r="F72" s="34" t="str">
        <f>Database!Q78</f>
        <v>directl in ACSF</v>
      </c>
      <c r="G72" s="462">
        <f>Database!R78</f>
        <v>0</v>
      </c>
      <c r="H72" s="35">
        <f>Database!N78</f>
        <v>41178</v>
      </c>
    </row>
    <row r="73" spans="1:8" ht="30" x14ac:dyDescent="0.25">
      <c r="A73" s="225" t="str">
        <f>Database!A79</f>
        <v>12REF003</v>
      </c>
      <c r="B73" s="34" t="str">
        <f>Database!E79</f>
        <v>NEUROSERVICE</v>
      </c>
      <c r="C73" s="34" t="str">
        <f>Database!F79</f>
        <v>MSOP</v>
      </c>
      <c r="D73" s="34">
        <f>Database!K79</f>
        <v>230.62</v>
      </c>
      <c r="E73" s="34" t="str">
        <f>Database!P79</f>
        <v>10 mg</v>
      </c>
      <c r="F73" s="34">
        <f>Database!Q79</f>
        <v>0</v>
      </c>
      <c r="G73" s="462">
        <f>Database!R79</f>
        <v>0</v>
      </c>
      <c r="H73" s="35">
        <f>Database!N79</f>
        <v>40959</v>
      </c>
    </row>
    <row r="74" spans="1:8" ht="45" x14ac:dyDescent="0.25">
      <c r="A74" s="225" t="str">
        <f>Database!A80</f>
        <v>12REF004</v>
      </c>
      <c r="B74" s="34" t="str">
        <f>Database!E80</f>
        <v>NEUROSERVICE</v>
      </c>
      <c r="C74" s="34" t="str">
        <f>Database!F80</f>
        <v>Pilocarpine hydrochloride</v>
      </c>
      <c r="D74" s="34">
        <f>Database!K80</f>
        <v>244.72</v>
      </c>
      <c r="E74" s="34" t="str">
        <f>Database!P80</f>
        <v>5 g</v>
      </c>
      <c r="F74" s="34" t="str">
        <f>Database!Q80</f>
        <v>H2O mQ</v>
      </c>
      <c r="G74" s="462">
        <f>Database!R80</f>
        <v>0</v>
      </c>
      <c r="H74" s="35">
        <f>Database!N80</f>
        <v>41247</v>
      </c>
    </row>
    <row r="75" spans="1:8" ht="60" x14ac:dyDescent="0.25">
      <c r="A75" s="225" t="str">
        <f>Database!A81</f>
        <v>12SAM005</v>
      </c>
      <c r="B75" s="34" t="str">
        <f>Database!E81</f>
        <v>ABBOTT</v>
      </c>
      <c r="C75" s="34" t="str">
        <f>Database!F81</f>
        <v>HMB (3-hydroxy-3-methylbutyric Acid)</v>
      </c>
      <c r="D75" s="34" t="str">
        <f>Database!K81</f>
        <v>NC</v>
      </c>
      <c r="E75" s="34" t="str">
        <f>Database!P81</f>
        <v>500 g</v>
      </c>
      <c r="F75" s="34">
        <f>Database!Q81</f>
        <v>0</v>
      </c>
      <c r="G75" s="462">
        <f>Database!R81</f>
        <v>0</v>
      </c>
      <c r="H75" s="35">
        <f>Database!N81</f>
        <v>41059</v>
      </c>
    </row>
    <row r="76" spans="1:8" ht="30" x14ac:dyDescent="0.25">
      <c r="A76" s="225" t="str">
        <f>Database!A82</f>
        <v>12SAM006</v>
      </c>
      <c r="B76" s="34" t="str">
        <f>Database!E82</f>
        <v>CALCIMEDICA</v>
      </c>
      <c r="C76" s="34" t="str">
        <f>Database!F82</f>
        <v>CM_EX_137</v>
      </c>
      <c r="D76" s="34">
        <f>Database!K82</f>
        <v>417.28</v>
      </c>
      <c r="E76" s="34" t="str">
        <f>Database!P82</f>
        <v>15.6 mg</v>
      </c>
      <c r="F76" s="34">
        <f>Database!Q82</f>
        <v>0</v>
      </c>
      <c r="G76" s="462">
        <f>Database!R82</f>
        <v>0</v>
      </c>
      <c r="H76" s="35">
        <f>Database!N82</f>
        <v>41242</v>
      </c>
    </row>
    <row r="77" spans="1:8" ht="23.25" x14ac:dyDescent="0.25">
      <c r="A77" s="225" t="str">
        <f>Database!A83</f>
        <v>12SAM007</v>
      </c>
      <c r="B77" s="34" t="str">
        <f>Database!E83</f>
        <v>PFIZER</v>
      </c>
      <c r="C77" s="34" t="str">
        <f>Database!F83</f>
        <v>SB00477203</v>
      </c>
      <c r="D77" s="34">
        <f>Database!K83</f>
        <v>435.46</v>
      </c>
      <c r="E77" s="34" t="str">
        <f>Database!P83</f>
        <v>30 mg</v>
      </c>
      <c r="F77" s="34">
        <f>Database!Q83</f>
        <v>0</v>
      </c>
      <c r="G77" s="462">
        <f>Database!R83</f>
        <v>0</v>
      </c>
      <c r="H77" s="35">
        <f>Database!N83</f>
        <v>41176</v>
      </c>
    </row>
    <row r="78" spans="1:8" ht="30" x14ac:dyDescent="0.25">
      <c r="A78" s="225" t="str">
        <f>Database!A84</f>
        <v>12REF008</v>
      </c>
      <c r="B78" s="34" t="str">
        <f>Database!E84</f>
        <v>NEUROSERVICE</v>
      </c>
      <c r="C78" s="34" t="str">
        <f>Database!F84</f>
        <v>Anthranilic acid</v>
      </c>
      <c r="D78" s="34">
        <f>Database!K84</f>
        <v>137.13999999999999</v>
      </c>
      <c r="E78" s="34" t="str">
        <f>Database!P84</f>
        <v>25 g</v>
      </c>
      <c r="F78" s="34" t="str">
        <f>Database!Q84</f>
        <v>DMSO</v>
      </c>
      <c r="G78" s="462">
        <f>Database!R84</f>
        <v>0</v>
      </c>
      <c r="H78" s="35">
        <f>Database!N84</f>
        <v>41156</v>
      </c>
    </row>
    <row r="79" spans="1:8" ht="23.25" x14ac:dyDescent="0.25">
      <c r="A79" s="225" t="str">
        <f>Database!A85</f>
        <v>12SAM009</v>
      </c>
      <c r="B79" s="34" t="str">
        <f>Database!E85</f>
        <v>MERZ</v>
      </c>
      <c r="C79" s="34" t="str">
        <f>Database!F85</f>
        <v>MRZ-1</v>
      </c>
      <c r="D79" s="34">
        <f>Database!K85</f>
        <v>233.76</v>
      </c>
      <c r="E79" s="34" t="str">
        <f>Database!P85</f>
        <v>53.84 mg</v>
      </c>
      <c r="F79" s="34">
        <f>Database!Q85</f>
        <v>0</v>
      </c>
      <c r="G79" s="462">
        <f>Database!R85</f>
        <v>0</v>
      </c>
      <c r="H79" s="35">
        <f>Database!N85</f>
        <v>41001</v>
      </c>
    </row>
    <row r="80" spans="1:8" ht="30" x14ac:dyDescent="0.25">
      <c r="A80" s="225" t="str">
        <f>Database!A86</f>
        <v>12SAM010</v>
      </c>
      <c r="B80" s="34" t="str">
        <f>Database!E86</f>
        <v>AMGEN</v>
      </c>
      <c r="C80" s="34" t="str">
        <f>Database!F86</f>
        <v>AMG2286212#4</v>
      </c>
      <c r="D80" s="34">
        <f>Database!K86</f>
        <v>541.09</v>
      </c>
      <c r="E80" s="34" t="str">
        <f>Database!P86</f>
        <v>51.53 mg</v>
      </c>
      <c r="F80" s="34">
        <f>Database!Q86</f>
        <v>0</v>
      </c>
      <c r="G80" s="462">
        <f>Database!R86</f>
        <v>0</v>
      </c>
      <c r="H80" s="35">
        <f>Database!N86</f>
        <v>41211</v>
      </c>
    </row>
    <row r="81" spans="1:8" ht="30" x14ac:dyDescent="0.25">
      <c r="A81" s="225" t="str">
        <f>Database!A87</f>
        <v>12SAM011</v>
      </c>
      <c r="B81" s="34" t="str">
        <f>Database!E87</f>
        <v>PIERRE FABRE</v>
      </c>
      <c r="C81" s="34" t="str">
        <f>Database!F87</f>
        <v>N-acetyl-L-leucine</v>
      </c>
      <c r="D81" s="34">
        <f>Database!K87</f>
        <v>173.21</v>
      </c>
      <c r="E81" s="34" t="str">
        <f>Database!P87</f>
        <v>1.15 g</v>
      </c>
      <c r="F81" s="34" t="str">
        <f>Database!Q87</f>
        <v>DMSO</v>
      </c>
      <c r="G81" s="462">
        <f>Database!R87</f>
        <v>0</v>
      </c>
      <c r="H81" s="35">
        <f>Database!N87</f>
        <v>40932</v>
      </c>
    </row>
    <row r="82" spans="1:8" ht="30" x14ac:dyDescent="0.25">
      <c r="A82" s="225" t="str">
        <f>Database!A88</f>
        <v>12SAM012</v>
      </c>
      <c r="B82" s="34" t="str">
        <f>Database!E88</f>
        <v>PIERRE FABRE</v>
      </c>
      <c r="C82" s="34" t="str">
        <f>Database!F88</f>
        <v>N-acetyl-L-leucine</v>
      </c>
      <c r="D82" s="34">
        <f>Database!K88</f>
        <v>173.21</v>
      </c>
      <c r="E82" s="34" t="str">
        <f>Database!P88</f>
        <v>15.16 g</v>
      </c>
      <c r="F82" s="34" t="str">
        <f>Database!Q88</f>
        <v>DMSO</v>
      </c>
      <c r="G82" s="462">
        <f>Database!R88</f>
        <v>0</v>
      </c>
      <c r="H82" s="35">
        <f>Database!N88</f>
        <v>40991</v>
      </c>
    </row>
    <row r="83" spans="1:8" ht="30" x14ac:dyDescent="0.25">
      <c r="A83" s="225" t="str">
        <f>Database!A89</f>
        <v>12SAM013</v>
      </c>
      <c r="B83" s="34" t="str">
        <f>Database!E89</f>
        <v>PIERRE FABRE</v>
      </c>
      <c r="C83" s="34" t="str">
        <f>Database!F89</f>
        <v>N-acetyl-D-leucine</v>
      </c>
      <c r="D83" s="34">
        <f>Database!K89</f>
        <v>173.21</v>
      </c>
      <c r="E83" s="34" t="str">
        <f>Database!P89</f>
        <v>15.90 g</v>
      </c>
      <c r="F83" s="34">
        <f>Database!Q89</f>
        <v>0</v>
      </c>
      <c r="G83" s="462">
        <f>Database!R89</f>
        <v>0</v>
      </c>
      <c r="H83" s="35">
        <f>Database!N89</f>
        <v>40991</v>
      </c>
    </row>
    <row r="84" spans="1:8" ht="30" x14ac:dyDescent="0.25">
      <c r="A84" s="225" t="str">
        <f>Database!A90</f>
        <v>12SAM014</v>
      </c>
      <c r="B84" s="34" t="str">
        <f>Database!E90</f>
        <v>GSK</v>
      </c>
      <c r="C84" s="34" t="str">
        <f>Database!F90</f>
        <v>N-16321-53-A1</v>
      </c>
      <c r="D84" s="34">
        <f>Database!K90</f>
        <v>477.6</v>
      </c>
      <c r="E84" s="34" t="str">
        <f>Database!P90</f>
        <v>295 mg</v>
      </c>
      <c r="F84" s="34" t="str">
        <f>Database!Q90</f>
        <v>DMSO</v>
      </c>
      <c r="G84" s="462">
        <f>Database!R90</f>
        <v>0</v>
      </c>
      <c r="H84" s="35">
        <f>Database!N90</f>
        <v>41058</v>
      </c>
    </row>
    <row r="85" spans="1:8" ht="30" x14ac:dyDescent="0.25">
      <c r="A85" s="225" t="str">
        <f>Database!A91</f>
        <v>12SAM015</v>
      </c>
      <c r="B85" s="34" t="str">
        <f>Database!E91</f>
        <v>GSK</v>
      </c>
      <c r="C85" s="34" t="str">
        <f>Database!F91</f>
        <v>N21273-7-B3</v>
      </c>
      <c r="D85" s="34">
        <f>Database!K91</f>
        <v>477.5</v>
      </c>
      <c r="E85" s="34" t="str">
        <f>Database!P91</f>
        <v>197 mg</v>
      </c>
      <c r="F85" s="34" t="str">
        <f>Database!Q91</f>
        <v>DMSO</v>
      </c>
      <c r="G85" s="462">
        <f>Database!R91</f>
        <v>0</v>
      </c>
      <c r="H85" s="35">
        <f>Database!N91</f>
        <v>41058</v>
      </c>
    </row>
    <row r="86" spans="1:8" ht="23.25" x14ac:dyDescent="0.25">
      <c r="A86" s="225" t="str">
        <f>Database!A92</f>
        <v>12SAM016</v>
      </c>
      <c r="B86" s="34" t="str">
        <f>Database!E92</f>
        <v>GSK</v>
      </c>
      <c r="C86" s="34" t="str">
        <f>Database!F92</f>
        <v>N255-5-1</v>
      </c>
      <c r="D86" s="34">
        <f>Database!K92</f>
        <v>363.39</v>
      </c>
      <c r="E86" s="34" t="str">
        <f>Database!P92</f>
        <v>317.94 mg</v>
      </c>
      <c r="F86" s="34" t="str">
        <f>Database!Q92</f>
        <v>DMSO</v>
      </c>
      <c r="G86" s="462">
        <f>Database!R92</f>
        <v>0</v>
      </c>
      <c r="H86" s="35">
        <f>Database!N92</f>
        <v>41058</v>
      </c>
    </row>
    <row r="87" spans="1:8" ht="23.25" x14ac:dyDescent="0.25">
      <c r="A87" s="225" t="str">
        <f>Database!A93</f>
        <v>12SAM017</v>
      </c>
      <c r="B87" s="34" t="str">
        <f>Database!E93</f>
        <v>GSK</v>
      </c>
      <c r="C87" s="34" t="str">
        <f>Database!F93</f>
        <v>N1093-59-1</v>
      </c>
      <c r="D87" s="34">
        <f>Database!K93</f>
        <v>471</v>
      </c>
      <c r="E87" s="34" t="str">
        <f>Database!P93</f>
        <v>299.22 mg</v>
      </c>
      <c r="F87" s="34" t="str">
        <f>Database!Q93</f>
        <v>DMSO</v>
      </c>
      <c r="G87" s="462">
        <f>Database!R93</f>
        <v>0</v>
      </c>
      <c r="H87" s="35">
        <f>Database!N93</f>
        <v>41058</v>
      </c>
    </row>
    <row r="88" spans="1:8" ht="30" x14ac:dyDescent="0.25">
      <c r="A88" s="225" t="str">
        <f>Database!A94</f>
        <v>12SAM018</v>
      </c>
      <c r="B88" s="34" t="str">
        <f>Database!E94</f>
        <v>GSK</v>
      </c>
      <c r="C88" s="34" t="str">
        <f>Database!F94</f>
        <v>N11237-75-3</v>
      </c>
      <c r="D88" s="34">
        <f>Database!K94</f>
        <v>469.47</v>
      </c>
      <c r="E88" s="34" t="str">
        <f>Database!P94</f>
        <v>302.27 mg</v>
      </c>
      <c r="F88" s="34" t="str">
        <f>Database!Q94</f>
        <v>DMSO</v>
      </c>
      <c r="G88" s="462">
        <f>Database!R94</f>
        <v>0</v>
      </c>
      <c r="H88" s="35">
        <f>Database!N94</f>
        <v>41058</v>
      </c>
    </row>
    <row r="89" spans="1:8" ht="23.25" x14ac:dyDescent="0.25">
      <c r="A89" s="225" t="str">
        <f>Database!A95</f>
        <v>12SAM019</v>
      </c>
      <c r="B89" s="34" t="str">
        <f>Database!E95</f>
        <v>GSK</v>
      </c>
      <c r="C89" s="34" t="str">
        <f>Database!F95</f>
        <v>N9931-87-4</v>
      </c>
      <c r="D89" s="34">
        <f>Database!K95</f>
        <v>466.01</v>
      </c>
      <c r="E89" s="34" t="str">
        <f>Database!P95</f>
        <v>310.62 mg</v>
      </c>
      <c r="F89" s="34" t="str">
        <f>Database!Q95</f>
        <v>DMSO</v>
      </c>
      <c r="G89" s="462">
        <f>Database!R95</f>
        <v>0</v>
      </c>
      <c r="H89" s="35">
        <f>Database!N95</f>
        <v>41058</v>
      </c>
    </row>
    <row r="90" spans="1:8" ht="23.25" x14ac:dyDescent="0.25">
      <c r="A90" s="225" t="str">
        <f>Database!A96</f>
        <v/>
      </c>
      <c r="B90" s="34">
        <f>Database!E96</f>
        <v>0</v>
      </c>
      <c r="C90" s="34">
        <f>Database!F96</f>
        <v>0</v>
      </c>
      <c r="D90" s="34">
        <f>Database!K96</f>
        <v>0</v>
      </c>
      <c r="E90" s="34">
        <f>Database!P96</f>
        <v>0</v>
      </c>
      <c r="F90" s="34">
        <f>Database!Q96</f>
        <v>0</v>
      </c>
      <c r="G90" s="462">
        <f>Database!R96</f>
        <v>0</v>
      </c>
      <c r="H90" s="35">
        <f>Database!N96</f>
        <v>0</v>
      </c>
    </row>
    <row r="91" spans="1:8" ht="30" x14ac:dyDescent="0.25">
      <c r="A91" s="225" t="str">
        <f>Database!A97</f>
        <v>13REF001</v>
      </c>
      <c r="B91" s="34" t="str">
        <f>Database!E97</f>
        <v>NEUROSERVICE</v>
      </c>
      <c r="C91" s="34" t="str">
        <f>Database!F97</f>
        <v>Sodium L-Ascorbate</v>
      </c>
      <c r="D91" s="34">
        <f>Database!K97</f>
        <v>198.11</v>
      </c>
      <c r="E91" s="34" t="str">
        <f>Database!P97</f>
        <v>50 g</v>
      </c>
      <c r="F91" s="34" t="str">
        <f>Database!Q97</f>
        <v>H2O mQ / ACSF</v>
      </c>
      <c r="G91" s="462">
        <f>Database!R97</f>
        <v>0</v>
      </c>
      <c r="H91" s="35">
        <f>Database!N97</f>
        <v>41465</v>
      </c>
    </row>
    <row r="92" spans="1:8" ht="30" x14ac:dyDescent="0.25">
      <c r="A92" s="225" t="str">
        <f>Database!A98</f>
        <v>13REF002</v>
      </c>
      <c r="B92" s="34" t="str">
        <f>Database!E98</f>
        <v>NEUROSERVICE</v>
      </c>
      <c r="C92" s="34" t="str">
        <f>Database!F98</f>
        <v>4-AP</v>
      </c>
      <c r="D92" s="34">
        <f>Database!K98</f>
        <v>94.12</v>
      </c>
      <c r="E92" s="34" t="str">
        <f>Database!P98</f>
        <v>100 mg</v>
      </c>
      <c r="F92" s="34" t="str">
        <f>Database!Q98</f>
        <v>H2O mQ</v>
      </c>
      <c r="G92" s="462">
        <f>Database!R98</f>
        <v>0</v>
      </c>
      <c r="H92" s="35">
        <f>Database!N98</f>
        <v>41298</v>
      </c>
    </row>
    <row r="93" spans="1:8" ht="30" x14ac:dyDescent="0.25">
      <c r="A93" s="225" t="str">
        <f>Database!A99</f>
        <v>13REF003</v>
      </c>
      <c r="B93" s="34" t="str">
        <f>Database!E99</f>
        <v>NEUROSERVICE</v>
      </c>
      <c r="C93" s="34" t="str">
        <f>Database!F99</f>
        <v>Bicuculline methiodide</v>
      </c>
      <c r="D93" s="34">
        <f>Database!K99</f>
        <v>509.29</v>
      </c>
      <c r="E93" s="34" t="str">
        <f>Database!P99</f>
        <v>50 mg</v>
      </c>
      <c r="F93" s="34" t="str">
        <f>Database!Q99</f>
        <v>10 mM in H2O mQ</v>
      </c>
      <c r="G93" s="462">
        <f>Database!R99</f>
        <v>0</v>
      </c>
      <c r="H93" s="35">
        <f>Database!N99</f>
        <v>41359</v>
      </c>
    </row>
    <row r="94" spans="1:8" ht="30" x14ac:dyDescent="0.25">
      <c r="A94" s="225" t="str">
        <f>Database!A100</f>
        <v>13REF004</v>
      </c>
      <c r="B94" s="34" t="str">
        <f>Database!E100</f>
        <v>NEUROSERVICE</v>
      </c>
      <c r="C94" s="34" t="str">
        <f>Database!F100</f>
        <v>CGS 21680</v>
      </c>
      <c r="D94" s="34">
        <f>Database!K100</f>
        <v>544.99</v>
      </c>
      <c r="E94" s="34" t="str">
        <f>Database!P100</f>
        <v>10 mg</v>
      </c>
      <c r="F94" s="34">
        <f>Database!Q100</f>
        <v>0</v>
      </c>
      <c r="G94" s="462">
        <f>Database!R100</f>
        <v>0</v>
      </c>
      <c r="H94" s="35">
        <f>Database!N100</f>
        <v>41450</v>
      </c>
    </row>
    <row r="95" spans="1:8" ht="30" x14ac:dyDescent="0.25">
      <c r="A95" s="225" t="str">
        <f>Database!A101</f>
        <v>13REF005</v>
      </c>
      <c r="B95" s="34" t="str">
        <f>Database!E101</f>
        <v>NEUROSERVICE</v>
      </c>
      <c r="C95" s="34" t="str">
        <f>Database!F101</f>
        <v>CHPG</v>
      </c>
      <c r="D95" s="34">
        <f>Database!K101</f>
        <v>223.59</v>
      </c>
      <c r="E95" s="34" t="str">
        <f>Database!P101</f>
        <v>50 mg</v>
      </c>
      <c r="F95" s="34">
        <f>Database!Q101</f>
        <v>0</v>
      </c>
      <c r="G95" s="462">
        <f>Database!R101</f>
        <v>0</v>
      </c>
      <c r="H95" s="35">
        <f>Database!N101</f>
        <v>41466</v>
      </c>
    </row>
    <row r="96" spans="1:8" ht="30" x14ac:dyDescent="0.25">
      <c r="A96" s="225" t="str">
        <f>Database!A102</f>
        <v>13REF006</v>
      </c>
      <c r="B96" s="34" t="str">
        <f>Database!E102</f>
        <v>NEUROSERVICE</v>
      </c>
      <c r="C96" s="34" t="str">
        <f>Database!F102</f>
        <v>Picrotoxin</v>
      </c>
      <c r="D96" s="34">
        <f>Database!K102</f>
        <v>602.58000000000004</v>
      </c>
      <c r="E96" s="34" t="str">
        <f>Database!P102</f>
        <v>5 g</v>
      </c>
      <c r="F96" s="34">
        <f>Database!Q102</f>
        <v>0</v>
      </c>
      <c r="G96" s="462">
        <f>Database!R102</f>
        <v>0</v>
      </c>
      <c r="H96" s="35">
        <f>Database!N102</f>
        <v>41543</v>
      </c>
    </row>
    <row r="97" spans="1:8" ht="30" x14ac:dyDescent="0.25">
      <c r="A97" s="225" t="str">
        <f>Database!A103</f>
        <v>13REF007</v>
      </c>
      <c r="B97" s="34" t="str">
        <f>Database!E103</f>
        <v>NEUROSERVICE</v>
      </c>
      <c r="C97" s="34" t="str">
        <f>Database!F103</f>
        <v>SR-95531</v>
      </c>
      <c r="D97" s="34">
        <f>Database!K103</f>
        <v>368.23</v>
      </c>
      <c r="E97" s="34" t="str">
        <f>Database!P103</f>
        <v>10 mg</v>
      </c>
      <c r="F97" s="34" t="str">
        <f>Database!Q103</f>
        <v>H2O mQ</v>
      </c>
      <c r="G97" s="462">
        <f>Database!R103</f>
        <v>0</v>
      </c>
      <c r="H97" s="35">
        <f>Database!N103</f>
        <v>41506</v>
      </c>
    </row>
    <row r="98" spans="1:8" ht="30" x14ac:dyDescent="0.25">
      <c r="A98" s="225" t="str">
        <f>Database!A104</f>
        <v>13REF008</v>
      </c>
      <c r="B98" s="34" t="str">
        <f>Database!E104</f>
        <v>NEUROSERVICE</v>
      </c>
      <c r="C98" s="34" t="str">
        <f>Database!F104</f>
        <v>VU0155041</v>
      </c>
      <c r="D98" s="34">
        <f>Database!K104</f>
        <v>338.16</v>
      </c>
      <c r="E98" s="34" t="str">
        <f>Database!P104</f>
        <v>50 mg</v>
      </c>
      <c r="F98" s="34">
        <f>Database!Q104</f>
        <v>0</v>
      </c>
      <c r="G98" s="462">
        <f>Database!R104</f>
        <v>0</v>
      </c>
      <c r="H98" s="35">
        <f>Database!N104</f>
        <v>41450</v>
      </c>
    </row>
    <row r="99" spans="1:8" ht="30" x14ac:dyDescent="0.25">
      <c r="A99" s="225" t="str">
        <f>Database!A105</f>
        <v>13REF009</v>
      </c>
      <c r="B99" s="34" t="str">
        <f>Database!E105</f>
        <v>NEUROSERVICE</v>
      </c>
      <c r="C99" s="34" t="str">
        <f>Database!F105</f>
        <v>Xanomeline</v>
      </c>
      <c r="D99" s="34">
        <f>Database!K105</f>
        <v>375.95</v>
      </c>
      <c r="E99" s="34" t="str">
        <f>Database!P105</f>
        <v>10 mg</v>
      </c>
      <c r="F99" s="34">
        <f>Database!Q105</f>
        <v>0</v>
      </c>
      <c r="G99" s="462">
        <f>Database!R105</f>
        <v>0</v>
      </c>
      <c r="H99" s="35">
        <f>Database!N105</f>
        <v>41281</v>
      </c>
    </row>
    <row r="100" spans="1:8" ht="30" x14ac:dyDescent="0.25">
      <c r="A100" s="225" t="str">
        <f>Database!A106</f>
        <v>13REF010</v>
      </c>
      <c r="B100" s="34" t="str">
        <f>Database!E106</f>
        <v>NEUROSERVICE</v>
      </c>
      <c r="C100" s="34" t="str">
        <f>Database!F106</f>
        <v>ZM 241385</v>
      </c>
      <c r="D100" s="34">
        <f>Database!K106</f>
        <v>337.34</v>
      </c>
      <c r="E100" s="34" t="str">
        <f>Database!P106</f>
        <v>10 mg</v>
      </c>
      <c r="F100" s="34">
        <f>Database!Q106</f>
        <v>0</v>
      </c>
      <c r="G100" s="462">
        <f>Database!R106</f>
        <v>0</v>
      </c>
      <c r="H100" s="35">
        <f>Database!N106</f>
        <v>41450</v>
      </c>
    </row>
    <row r="101" spans="1:8" ht="30" x14ac:dyDescent="0.25">
      <c r="A101" s="225" t="str">
        <f>Database!A107</f>
        <v>13SAM011</v>
      </c>
      <c r="B101" s="34" t="str">
        <f>Database!E107</f>
        <v>ASTRAZENECA</v>
      </c>
      <c r="C101" s="34" t="str">
        <f>Database!F107</f>
        <v>AZ12995239-014</v>
      </c>
      <c r="D101" s="34">
        <f>Database!K107</f>
        <v>474.44</v>
      </c>
      <c r="E101" s="34" t="str">
        <f>Database!P107</f>
        <v>350.9 mg</v>
      </c>
      <c r="F101" s="34" t="str">
        <f>Database!Q107</f>
        <v>DMSO</v>
      </c>
      <c r="G101" s="462">
        <f>Database!R107</f>
        <v>0</v>
      </c>
      <c r="H101" s="35">
        <f>Database!N107</f>
        <v>41481</v>
      </c>
    </row>
    <row r="102" spans="1:8" ht="45" x14ac:dyDescent="0.25">
      <c r="A102" s="225" t="str">
        <f>Database!A108</f>
        <v>13SAM012</v>
      </c>
      <c r="B102" s="34" t="str">
        <f>Database!E108</f>
        <v>ASTRAZENECA</v>
      </c>
      <c r="C102" s="34" t="str">
        <f>Database!F108</f>
        <v>AZ13088583-022</v>
      </c>
      <c r="D102" s="34">
        <f>Database!K108</f>
        <v>274.36</v>
      </c>
      <c r="E102" s="34" t="str">
        <f>Database!P108</f>
        <v>350.2 mg</v>
      </c>
      <c r="F102" s="34" t="str">
        <f>Database!Q108</f>
        <v>prepare freshly in 0.2M NaOH</v>
      </c>
      <c r="G102" s="462">
        <f>Database!R108</f>
        <v>0</v>
      </c>
      <c r="H102" s="35">
        <f>Database!N108</f>
        <v>41481</v>
      </c>
    </row>
    <row r="103" spans="1:8" ht="45" x14ac:dyDescent="0.25">
      <c r="A103" s="225" t="str">
        <f>Database!A109</f>
        <v>13SAM013</v>
      </c>
      <c r="B103" s="34" t="str">
        <f>Database!E109</f>
        <v>ASTRAZENECA</v>
      </c>
      <c r="C103" s="34" t="str">
        <f>Database!F109</f>
        <v>AZ13214311-005</v>
      </c>
      <c r="D103" s="34">
        <f>Database!K109</f>
        <v>478.55</v>
      </c>
      <c r="E103" s="34" t="str">
        <f>Database!P109</f>
        <v>350 mg</v>
      </c>
      <c r="F103" s="34" t="str">
        <f>Database!Q109</f>
        <v xml:space="preserve">prepare freshly in ACSF </v>
      </c>
      <c r="G103" s="462">
        <f>Database!R109</f>
        <v>0</v>
      </c>
      <c r="H103" s="35">
        <f>Database!N109</f>
        <v>41481</v>
      </c>
    </row>
    <row r="104" spans="1:8" ht="30" x14ac:dyDescent="0.25">
      <c r="A104" s="225" t="str">
        <f>Database!A110</f>
        <v>13SAM014</v>
      </c>
      <c r="B104" s="34" t="str">
        <f>Database!E110</f>
        <v>ASTRAZENECA</v>
      </c>
      <c r="C104" s="34" t="str">
        <f>Database!F110</f>
        <v>AZ13237169-005</v>
      </c>
      <c r="D104" s="34">
        <f>Database!K110</f>
        <v>494.98</v>
      </c>
      <c r="E104" s="34" t="str">
        <f>Database!P110</f>
        <v>350.7 mg</v>
      </c>
      <c r="F104" s="34" t="str">
        <f>Database!Q110</f>
        <v>DMSO</v>
      </c>
      <c r="G104" s="462">
        <f>Database!R110</f>
        <v>0</v>
      </c>
      <c r="H104" s="35">
        <f>Database!N110</f>
        <v>41481</v>
      </c>
    </row>
    <row r="105" spans="1:8" ht="30" x14ac:dyDescent="0.25">
      <c r="A105" s="225" t="str">
        <f>Database!A111</f>
        <v>13SAM015</v>
      </c>
      <c r="B105" s="34" t="str">
        <f>Database!E111</f>
        <v>ASTRAZENECA</v>
      </c>
      <c r="C105" s="34" t="str">
        <f>Database!F111</f>
        <v>AZ13257149-012</v>
      </c>
      <c r="D105" s="34">
        <f>Database!K111</f>
        <v>628.6</v>
      </c>
      <c r="E105" s="34" t="str">
        <f>Database!P111</f>
        <v>351 mg</v>
      </c>
      <c r="F105" s="34" t="str">
        <f>Database!Q111</f>
        <v>DMSO</v>
      </c>
      <c r="G105" s="462">
        <f>Database!R111</f>
        <v>0</v>
      </c>
      <c r="H105" s="35">
        <f>Database!N111</f>
        <v>41481</v>
      </c>
    </row>
    <row r="106" spans="1:8" ht="30" x14ac:dyDescent="0.25">
      <c r="A106" s="225" t="str">
        <f>Database!A112</f>
        <v>13SAM016</v>
      </c>
      <c r="B106" s="34" t="str">
        <f>Database!E112</f>
        <v>ASTRAZENECA</v>
      </c>
      <c r="C106" s="34" t="str">
        <f>Database!F112</f>
        <v>AZ13060290-008</v>
      </c>
      <c r="D106" s="34">
        <f>Database!K112</f>
        <v>327.85</v>
      </c>
      <c r="E106" s="34" t="str">
        <f>Database!P112</f>
        <v>351 mg</v>
      </c>
      <c r="F106" s="34" t="str">
        <f>Database!Q112</f>
        <v>DMSO</v>
      </c>
      <c r="G106" s="462">
        <f>Database!R112</f>
        <v>0</v>
      </c>
      <c r="H106" s="35">
        <f>Database!N112</f>
        <v>41485</v>
      </c>
    </row>
    <row r="107" spans="1:8" ht="23.25" x14ac:dyDescent="0.25">
      <c r="A107" s="225" t="str">
        <f>Database!A113</f>
        <v>13SAM017</v>
      </c>
      <c r="B107" s="34" t="str">
        <f>Database!E113</f>
        <v>BRAINCO</v>
      </c>
      <c r="C107" s="34" t="str">
        <f>Database!F113</f>
        <v>12N-819</v>
      </c>
      <c r="D107" s="34">
        <f>Database!K113</f>
        <v>337.73</v>
      </c>
      <c r="E107" s="34" t="str">
        <f>Database!P113</f>
        <v>50 mg</v>
      </c>
      <c r="F107" s="34" t="str">
        <f>Database!Q113</f>
        <v>DMSO</v>
      </c>
      <c r="G107" s="462">
        <f>Database!R113</f>
        <v>0</v>
      </c>
      <c r="H107" s="35">
        <f>Database!N113</f>
        <v>41554</v>
      </c>
    </row>
    <row r="108" spans="1:8" ht="23.25" x14ac:dyDescent="0.25">
      <c r="A108" s="225" t="str">
        <f>Database!A114</f>
        <v>13SAM018</v>
      </c>
      <c r="B108" s="34" t="str">
        <f>Database!E114</f>
        <v>BRAINCO</v>
      </c>
      <c r="C108" s="34" t="str">
        <f>Database!F114</f>
        <v>12N-820</v>
      </c>
      <c r="D108" s="34">
        <f>Database!K114</f>
        <v>337.73</v>
      </c>
      <c r="E108" s="34" t="str">
        <f>Database!P114</f>
        <v>50  mg</v>
      </c>
      <c r="F108" s="34" t="str">
        <f>Database!Q114</f>
        <v>DMSO</v>
      </c>
      <c r="G108" s="462">
        <f>Database!R114</f>
        <v>0</v>
      </c>
      <c r="H108" s="35">
        <f>Database!N114</f>
        <v>41554</v>
      </c>
    </row>
    <row r="109" spans="1:8" ht="23.25" x14ac:dyDescent="0.25">
      <c r="A109" s="225" t="str">
        <f>Database!A115</f>
        <v>13SAM019</v>
      </c>
      <c r="B109" s="34" t="str">
        <f>Database!E115</f>
        <v>BRAINCO</v>
      </c>
      <c r="C109" s="34" t="str">
        <f>Database!F115</f>
        <v>12N-823</v>
      </c>
      <c r="D109" s="34">
        <f>Database!K115</f>
        <v>299.76</v>
      </c>
      <c r="E109" s="34" t="str">
        <f>Database!P115</f>
        <v>50 mg</v>
      </c>
      <c r="F109" s="34" t="str">
        <f>Database!Q115</f>
        <v>DMSO</v>
      </c>
      <c r="G109" s="462">
        <f>Database!R115</f>
        <v>0</v>
      </c>
      <c r="H109" s="35">
        <f>Database!N115</f>
        <v>41554</v>
      </c>
    </row>
    <row r="110" spans="1:8" ht="30" x14ac:dyDescent="0.25">
      <c r="A110" s="225" t="str">
        <f>Database!A116</f>
        <v>13SAM020</v>
      </c>
      <c r="B110" s="34" t="str">
        <f>Database!E116</f>
        <v>BRAINCO</v>
      </c>
      <c r="C110" s="34" t="str">
        <f>Database!F116</f>
        <v>SYN 22094389</v>
      </c>
      <c r="D110" s="34">
        <f>Database!K116</f>
        <v>395.5</v>
      </c>
      <c r="E110" s="34" t="str">
        <f>Database!P116</f>
        <v>50 mg</v>
      </c>
      <c r="F110" s="34" t="str">
        <f>Database!Q116</f>
        <v>DMSO</v>
      </c>
      <c r="G110" s="462">
        <f>Database!R116</f>
        <v>0</v>
      </c>
      <c r="H110" s="35">
        <f>Database!N116</f>
        <v>41555</v>
      </c>
    </row>
    <row r="111" spans="1:8" ht="23.25" x14ac:dyDescent="0.25">
      <c r="A111" s="225" t="str">
        <f>Database!A117</f>
        <v>13SAM021</v>
      </c>
      <c r="B111" s="34" t="str">
        <f>Database!E117</f>
        <v>BRAINCO</v>
      </c>
      <c r="C111" s="34" t="str">
        <f>Database!F117</f>
        <v>STK723719</v>
      </c>
      <c r="D111" s="34">
        <f>Database!K117</f>
        <v>365.5</v>
      </c>
      <c r="E111" s="34" t="str">
        <f>Database!P117</f>
        <v>50.3 mg</v>
      </c>
      <c r="F111" s="34" t="str">
        <f>Database!Q117</f>
        <v>DMSO</v>
      </c>
      <c r="G111" s="462">
        <f>Database!R117</f>
        <v>0</v>
      </c>
      <c r="H111" s="35">
        <f>Database!N117</f>
        <v>41556</v>
      </c>
    </row>
    <row r="112" spans="1:8" ht="23.25" x14ac:dyDescent="0.25">
      <c r="A112" s="225" t="str">
        <f>Database!A118</f>
        <v>13SAM022</v>
      </c>
      <c r="B112" s="34" t="str">
        <f>Database!E118</f>
        <v>BRAINCO</v>
      </c>
      <c r="C112" s="34" t="str">
        <f>Database!F118</f>
        <v>F3284-1973</v>
      </c>
      <c r="D112" s="34">
        <f>Database!K118</f>
        <v>352.01</v>
      </c>
      <c r="E112" s="34" t="str">
        <f>Database!P118</f>
        <v>50 mg</v>
      </c>
      <c r="F112" s="34" t="str">
        <f>Database!Q118</f>
        <v>DMSO</v>
      </c>
      <c r="G112" s="462">
        <f>Database!R118</f>
        <v>0</v>
      </c>
      <c r="H112" s="35">
        <f>Database!N118</f>
        <v>41562</v>
      </c>
    </row>
    <row r="113" spans="1:8" ht="30" x14ac:dyDescent="0.25">
      <c r="A113" s="225" t="str">
        <f>Database!A119</f>
        <v>13SAM023</v>
      </c>
      <c r="B113" s="34" t="str">
        <f>Database!E119</f>
        <v>CNRS IGF</v>
      </c>
      <c r="C113" s="34" t="str">
        <f>Database!F119</f>
        <v>DN10</v>
      </c>
      <c r="D113" s="34" t="str">
        <f>Database!K119</f>
        <v>-</v>
      </c>
      <c r="E113" s="34" t="str">
        <f>Database!P119</f>
        <v>2 X 100 µL @ 1mM</v>
      </c>
      <c r="F113" s="34">
        <f>Database!Q119</f>
        <v>0</v>
      </c>
      <c r="G113" s="462">
        <f>Database!R119</f>
        <v>0</v>
      </c>
      <c r="H113" s="35">
        <f>Database!N119</f>
        <v>41401</v>
      </c>
    </row>
    <row r="114" spans="1:8" ht="30" x14ac:dyDescent="0.25">
      <c r="A114" s="225" t="str">
        <f>Database!A120</f>
        <v>13SAM024</v>
      </c>
      <c r="B114" s="34" t="str">
        <f>Database!E120</f>
        <v>CNRS IGF</v>
      </c>
      <c r="C114" s="34" t="str">
        <f>Database!F120</f>
        <v>LY 379268</v>
      </c>
      <c r="D114" s="34" t="str">
        <f>Database!K120</f>
        <v>-</v>
      </c>
      <c r="E114" s="34" t="str">
        <f>Database!P120</f>
        <v>2 X 50 µL à 10 mM</v>
      </c>
      <c r="F114" s="34">
        <f>Database!Q120</f>
        <v>0</v>
      </c>
      <c r="G114" s="462">
        <f>Database!R120</f>
        <v>0</v>
      </c>
      <c r="H114" s="35">
        <f>Database!N120</f>
        <v>41401</v>
      </c>
    </row>
    <row r="115" spans="1:8" ht="23.25" x14ac:dyDescent="0.25">
      <c r="A115" s="225" t="str">
        <f>Database!A121</f>
        <v>13SAM025</v>
      </c>
      <c r="B115" s="34" t="str">
        <f>Database!E121</f>
        <v>LUNDBECK</v>
      </c>
      <c r="C115" s="34" t="str">
        <f>Database!F121</f>
        <v>AA21004:35</v>
      </c>
      <c r="D115" s="34">
        <f>Database!K121</f>
        <v>298.44</v>
      </c>
      <c r="E115" s="34" t="str">
        <f>Database!P121</f>
        <v>75.1 mg</v>
      </c>
      <c r="F115" s="34" t="str">
        <f>Database!Q121</f>
        <v>DMSO</v>
      </c>
      <c r="G115" s="462">
        <f>Database!R121</f>
        <v>0</v>
      </c>
      <c r="H115" s="35">
        <f>Database!N121</f>
        <v>41599</v>
      </c>
    </row>
    <row r="116" spans="1:8" ht="30" x14ac:dyDescent="0.25">
      <c r="A116" s="225" t="str">
        <f>Database!A122</f>
        <v>13SAM026</v>
      </c>
      <c r="B116" s="34" t="str">
        <f>Database!E122</f>
        <v>MNEMOSYNE</v>
      </c>
      <c r="C116" s="34" t="str">
        <f>Database!F122</f>
        <v>MPX-001</v>
      </c>
      <c r="D116" s="34">
        <f>Database!K122</f>
        <v>477.6</v>
      </c>
      <c r="E116" s="34" t="str">
        <f>Database!P122</f>
        <v>20.1 mg</v>
      </c>
      <c r="F116" s="34">
        <f>Database!Q122</f>
        <v>0</v>
      </c>
      <c r="G116" s="462">
        <f>Database!R122</f>
        <v>0</v>
      </c>
      <c r="H116" s="35">
        <f>Database!N122</f>
        <v>41561</v>
      </c>
    </row>
    <row r="117" spans="1:8" ht="30" x14ac:dyDescent="0.25">
      <c r="A117" s="225" t="str">
        <f>Database!A123</f>
        <v>13SAM027</v>
      </c>
      <c r="B117" s="34" t="str">
        <f>Database!E123</f>
        <v>MNEMOSYNE</v>
      </c>
      <c r="C117" s="34" t="str">
        <f>Database!F123</f>
        <v>MPX-006</v>
      </c>
      <c r="D117" s="34">
        <f>Database!K123</f>
        <v>353.5</v>
      </c>
      <c r="E117" s="34" t="str">
        <f>Database!P123</f>
        <v>20 mg</v>
      </c>
      <c r="F117" s="34" t="str">
        <f>Database!Q123</f>
        <v>DMSO</v>
      </c>
      <c r="G117" s="462">
        <f>Database!R123</f>
        <v>0</v>
      </c>
      <c r="H117" s="35">
        <f>Database!N123</f>
        <v>41561</v>
      </c>
    </row>
    <row r="118" spans="1:8" ht="30" x14ac:dyDescent="0.25">
      <c r="A118" s="225" t="str">
        <f>Database!A124</f>
        <v>13SAM028</v>
      </c>
      <c r="B118" s="34" t="str">
        <f>Database!E124</f>
        <v>PIERRE FABRE</v>
      </c>
      <c r="C118" s="34" t="str">
        <f>Database!F124</f>
        <v>L-Milnacipran</v>
      </c>
      <c r="D118" s="34">
        <f>Database!K124</f>
        <v>282.81</v>
      </c>
      <c r="E118" s="34" t="str">
        <f>Database!P124</f>
        <v>1.15 g</v>
      </c>
      <c r="F118" s="34" t="str">
        <f>Database!Q124</f>
        <v>H2O mQ</v>
      </c>
      <c r="G118" s="462">
        <f>Database!R124</f>
        <v>0</v>
      </c>
      <c r="H118" s="35">
        <f>Database!N124</f>
        <v>41628</v>
      </c>
    </row>
    <row r="119" spans="1:8" ht="30" x14ac:dyDescent="0.25">
      <c r="A119" s="225" t="str">
        <f>Database!A125</f>
        <v>13SAM029</v>
      </c>
      <c r="B119" s="34" t="str">
        <f>Database!E125</f>
        <v>PIERRE FABRE</v>
      </c>
      <c r="C119" s="34" t="str">
        <f>Database!F125</f>
        <v>L-Milnacipran</v>
      </c>
      <c r="D119" s="34">
        <f>Database!K125</f>
        <v>282.81</v>
      </c>
      <c r="E119" s="34" t="str">
        <f>Database!P125</f>
        <v>1.20 g</v>
      </c>
      <c r="F119" s="34">
        <f>Database!Q125</f>
        <v>0</v>
      </c>
      <c r="G119" s="462">
        <f>Database!R125</f>
        <v>0</v>
      </c>
      <c r="H119" s="35">
        <f>Database!N125</f>
        <v>41628</v>
      </c>
    </row>
    <row r="120" spans="1:8" ht="30" x14ac:dyDescent="0.25">
      <c r="A120" s="225" t="str">
        <f>Database!A126</f>
        <v>13SAM030</v>
      </c>
      <c r="B120" s="34" t="str">
        <f>Database!E126</f>
        <v>PIERRE FABRE</v>
      </c>
      <c r="C120" s="34" t="str">
        <f>Database!F126</f>
        <v>L-Milnacipran</v>
      </c>
      <c r="D120" s="34">
        <f>Database!K126</f>
        <v>282.81</v>
      </c>
      <c r="E120" s="34" t="str">
        <f>Database!P126</f>
        <v>1.21 g</v>
      </c>
      <c r="F120" s="34">
        <f>Database!Q126</f>
        <v>0</v>
      </c>
      <c r="G120" s="462">
        <f>Database!R126</f>
        <v>0</v>
      </c>
      <c r="H120" s="35">
        <f>Database!N126</f>
        <v>41628</v>
      </c>
    </row>
    <row r="121" spans="1:8" ht="23.25" x14ac:dyDescent="0.25">
      <c r="A121" s="225" t="str">
        <f>Database!A127</f>
        <v>13SAM031</v>
      </c>
      <c r="B121" s="34" t="str">
        <f>Database!E127</f>
        <v>ROCHE</v>
      </c>
      <c r="C121" s="34" t="str">
        <f>Database!F127</f>
        <v>R1</v>
      </c>
      <c r="D121" s="34">
        <f>Database!K127</f>
        <v>543.46</v>
      </c>
      <c r="E121" s="34" t="str">
        <f>Database!P127</f>
        <v>5.011 mg</v>
      </c>
      <c r="F121" s="34">
        <f>Database!Q127</f>
        <v>0</v>
      </c>
      <c r="G121" s="462">
        <f>Database!R127</f>
        <v>0</v>
      </c>
      <c r="H121" s="35">
        <f>Database!N127</f>
        <v>41423</v>
      </c>
    </row>
    <row r="122" spans="1:8" ht="45" x14ac:dyDescent="0.25">
      <c r="A122" s="225" t="str">
        <f>Database!A128</f>
        <v>13SAM032</v>
      </c>
      <c r="B122" s="34" t="str">
        <f>Database!E128</f>
        <v>ROCHE</v>
      </c>
      <c r="C122" s="34" t="str">
        <f>Database!F128</f>
        <v>Peptide 3 Hoo-7-Phe-NH2</v>
      </c>
      <c r="D122" s="34">
        <f>Database!K128</f>
        <v>954.5</v>
      </c>
      <c r="E122" s="34" t="str">
        <f>Database!P128</f>
        <v>27 mg</v>
      </c>
      <c r="F122" s="34" t="str">
        <f>Database!Q128</f>
        <v>DMSO</v>
      </c>
      <c r="G122" s="462">
        <f>Database!R128</f>
        <v>0</v>
      </c>
      <c r="H122" s="35">
        <f>Database!N128</f>
        <v>41423</v>
      </c>
    </row>
    <row r="123" spans="1:8" ht="45" x14ac:dyDescent="0.25">
      <c r="A123" s="225" t="str">
        <f>Database!A129</f>
        <v>13SAM033</v>
      </c>
      <c r="B123" s="34" t="str">
        <f>Database!E129</f>
        <v>ROCHE</v>
      </c>
      <c r="C123" s="34" t="str">
        <f>Database!F129</f>
        <v>Peptide 4 Hcin-6-R-cyclic</v>
      </c>
      <c r="D123" s="34">
        <f>Database!K129</f>
        <v>838.5</v>
      </c>
      <c r="E123" s="34" t="str">
        <f>Database!P129</f>
        <v>27 mg</v>
      </c>
      <c r="F123" s="34" t="str">
        <f>Database!Q129</f>
        <v>DMSO</v>
      </c>
      <c r="G123" s="462">
        <f>Database!R129</f>
        <v>0</v>
      </c>
      <c r="H123" s="35">
        <f>Database!N129</f>
        <v>41423</v>
      </c>
    </row>
    <row r="124" spans="1:8" ht="30" x14ac:dyDescent="0.25">
      <c r="A124" s="225" t="str">
        <f>Database!A130</f>
        <v>13REF034</v>
      </c>
      <c r="B124" s="34" t="str">
        <f>Database!E130</f>
        <v>NEUROSERVICE</v>
      </c>
      <c r="C124" s="34" t="str">
        <f>Database!F130</f>
        <v>Picrotoxin</v>
      </c>
      <c r="D124" s="34">
        <f>Database!K130</f>
        <v>602.58000000000004</v>
      </c>
      <c r="E124" s="34" t="str">
        <f>Database!P130</f>
        <v>5 g</v>
      </c>
      <c r="F124" s="34" t="str">
        <f>Database!Q130</f>
        <v>DMSO</v>
      </c>
      <c r="G124" s="462">
        <f>Database!R130</f>
        <v>0</v>
      </c>
      <c r="H124" s="35">
        <f>Database!N130</f>
        <v>41396</v>
      </c>
    </row>
    <row r="125" spans="1:8" ht="45" x14ac:dyDescent="0.25">
      <c r="A125" s="225" t="str">
        <f>Database!A131</f>
        <v>13SAM035</v>
      </c>
      <c r="B125" s="34" t="str">
        <f>Database!E131</f>
        <v>ROCHE</v>
      </c>
      <c r="C125" s="34" t="str">
        <f>Database!F131</f>
        <v>Peptide 4 Hcin-6-R-cyclic</v>
      </c>
      <c r="D125" s="34">
        <f>Database!K131</f>
        <v>838.5</v>
      </c>
      <c r="E125" s="34" t="str">
        <f>Database!P131</f>
        <v>14.7 mg</v>
      </c>
      <c r="F125" s="34">
        <f>Database!Q131</f>
        <v>0</v>
      </c>
      <c r="G125" s="462">
        <f>Database!R131</f>
        <v>0</v>
      </c>
      <c r="H125" s="35">
        <f>Database!N131</f>
        <v>41585</v>
      </c>
    </row>
    <row r="126" spans="1:8" ht="30" x14ac:dyDescent="0.25">
      <c r="A126" s="225" t="str">
        <f>Database!A132</f>
        <v>13REF036</v>
      </c>
      <c r="B126" s="34" t="str">
        <f>Database!E132</f>
        <v>NEUROSERVICE</v>
      </c>
      <c r="C126" s="34" t="str">
        <f>Database!F132</f>
        <v>Baclofen</v>
      </c>
      <c r="D126" s="34">
        <f>Database!K132</f>
        <v>213.66</v>
      </c>
      <c r="E126" s="34" t="str">
        <f>Database!P132</f>
        <v>500 mg</v>
      </c>
      <c r="F126" s="34" t="str">
        <f>Database!Q132</f>
        <v>H2O mQ</v>
      </c>
      <c r="G126" s="462">
        <f>Database!R132</f>
        <v>1</v>
      </c>
      <c r="H126" s="35">
        <f>Database!N132</f>
        <v>41477</v>
      </c>
    </row>
    <row r="127" spans="1:8" ht="60" x14ac:dyDescent="0.25">
      <c r="A127" s="225" t="str">
        <f>Database!A133</f>
        <v>13REF037</v>
      </c>
      <c r="B127" s="34" t="str">
        <f>Database!E133</f>
        <v>NEUROSERVICE</v>
      </c>
      <c r="C127" s="34" t="str">
        <f>Database!F133</f>
        <v>Oleic acid ethyl ester (Ethyl oleate)</v>
      </c>
      <c r="D127" s="34">
        <f>Database!K133</f>
        <v>310.51</v>
      </c>
      <c r="E127" s="34" t="str">
        <f>Database!P133</f>
        <v>5 g</v>
      </c>
      <c r="F127" s="34" t="str">
        <f>Database!Q133</f>
        <v>DMSO</v>
      </c>
      <c r="G127" s="462">
        <f>Database!R133</f>
        <v>0</v>
      </c>
      <c r="H127" s="35">
        <f>Database!N133</f>
        <v>41323</v>
      </c>
    </row>
    <row r="128" spans="1:8" ht="30" x14ac:dyDescent="0.25">
      <c r="A128" s="225" t="str">
        <f>Database!A134</f>
        <v>13REF038</v>
      </c>
      <c r="B128" s="34" t="str">
        <f>Database!E134</f>
        <v>NEUROSERVICE</v>
      </c>
      <c r="C128" s="34" t="str">
        <f>Database!F134</f>
        <v>Oxotremorine M</v>
      </c>
      <c r="D128" s="34">
        <f>Database!K134</f>
        <v>322.19</v>
      </c>
      <c r="E128" s="34" t="str">
        <f>Database!P134</f>
        <v>100 mg</v>
      </c>
      <c r="F128" s="34" t="str">
        <f>Database!Q134</f>
        <v>H2O mQ</v>
      </c>
      <c r="G128" s="462">
        <f>Database!R134</f>
        <v>0</v>
      </c>
      <c r="H128" s="35">
        <f>Database!N134</f>
        <v>41506</v>
      </c>
    </row>
    <row r="129" spans="1:8" ht="45" x14ac:dyDescent="0.25">
      <c r="A129" s="225" t="str">
        <f>Database!A135</f>
        <v>13REF039</v>
      </c>
      <c r="B129" s="34" t="str">
        <f>Database!E135</f>
        <v>NEUROSERVICE</v>
      </c>
      <c r="C129" s="34" t="str">
        <f>Database!F135</f>
        <v>Phenobarbital sodium salt</v>
      </c>
      <c r="D129" s="34">
        <f>Database!K135</f>
        <v>254.22</v>
      </c>
      <c r="E129" s="34" t="str">
        <f>Database!P135</f>
        <v>25 g</v>
      </c>
      <c r="F129" s="34" t="str">
        <f>Database!Q135</f>
        <v>H2O mQ</v>
      </c>
      <c r="G129" s="462">
        <f>Database!R135</f>
        <v>0</v>
      </c>
      <c r="H129" s="35">
        <f>Database!N135</f>
        <v>41549</v>
      </c>
    </row>
    <row r="130" spans="1:8" ht="30" x14ac:dyDescent="0.25">
      <c r="A130" s="225" t="str">
        <f>Database!A136</f>
        <v>13REF040</v>
      </c>
      <c r="B130" s="34" t="str">
        <f>Database!E136</f>
        <v>NEUROSERVICE</v>
      </c>
      <c r="C130" s="34" t="str">
        <f>Database!F136</f>
        <v xml:space="preserve">Oleic acid </v>
      </c>
      <c r="D130" s="34">
        <f>Database!K136</f>
        <v>282.24599999999998</v>
      </c>
      <c r="E130" s="34" t="str">
        <f>Database!P136</f>
        <v>5 g</v>
      </c>
      <c r="F130" s="34" t="str">
        <f>Database!Q136</f>
        <v>DMSO</v>
      </c>
      <c r="G130" s="462">
        <f>Database!R136</f>
        <v>0</v>
      </c>
      <c r="H130" s="35">
        <f>Database!N136</f>
        <v>41312</v>
      </c>
    </row>
    <row r="131" spans="1:8" ht="75" x14ac:dyDescent="0.25">
      <c r="A131" s="225" t="str">
        <f>Database!A137</f>
        <v>13REF041</v>
      </c>
      <c r="B131" s="34" t="str">
        <f>Database!E137</f>
        <v>NEUROSERVICE</v>
      </c>
      <c r="C131" s="34" t="str">
        <f>Database!F137</f>
        <v>( R ) -Baclofen</v>
      </c>
      <c r="D131" s="34">
        <f>Database!K137</f>
        <v>213.66</v>
      </c>
      <c r="E131" s="34" t="str">
        <f>Database!P137</f>
        <v>50 mg</v>
      </c>
      <c r="F131" s="34" t="str">
        <f>Database!Q137</f>
        <v>H2O mQ up to 50 mM and in 1 eq. NaOH to 100 mM</v>
      </c>
      <c r="G131" s="462">
        <f>Database!R137</f>
        <v>1</v>
      </c>
      <c r="H131" s="35">
        <f>Database!N137</f>
        <v>41399</v>
      </c>
    </row>
    <row r="132" spans="1:8" ht="75" x14ac:dyDescent="0.25">
      <c r="A132" s="225" t="str">
        <f>Database!A138</f>
        <v>13REF042</v>
      </c>
      <c r="B132" s="34" t="str">
        <f>Database!E138</f>
        <v>NEUROSERVICE</v>
      </c>
      <c r="C132" s="34" t="str">
        <f>Database!F138</f>
        <v>( R ) -Baclofen</v>
      </c>
      <c r="D132" s="34">
        <f>Database!K138</f>
        <v>213.66</v>
      </c>
      <c r="E132" s="34" t="str">
        <f>Database!P138</f>
        <v>50 mg</v>
      </c>
      <c r="F132" s="34" t="str">
        <f>Database!Q138</f>
        <v>H2O mQ up to 50 mM and in 1 eq. NaOH to 100 mM</v>
      </c>
      <c r="G132" s="462">
        <f>Database!R138</f>
        <v>1</v>
      </c>
      <c r="H132" s="35">
        <f>Database!N138</f>
        <v>41399</v>
      </c>
    </row>
    <row r="133" spans="1:8" ht="45" x14ac:dyDescent="0.25">
      <c r="A133" s="225" t="str">
        <f>Database!A139</f>
        <v>13REF043</v>
      </c>
      <c r="B133" s="34" t="str">
        <f>Database!E139</f>
        <v>NEUROSERVICE</v>
      </c>
      <c r="C133" s="34" t="str">
        <f>Database!F139</f>
        <v xml:space="preserve">( E ) - Capsaicin </v>
      </c>
      <c r="D133" s="34">
        <f>Database!K139</f>
        <v>305.42</v>
      </c>
      <c r="E133" s="34" t="str">
        <f>Database!P139</f>
        <v>100 mg</v>
      </c>
      <c r="F133" s="34" t="str">
        <f>Database!Q139</f>
        <v>DMSO or ethanol to 50 mM</v>
      </c>
      <c r="G133" s="462">
        <f>Database!R139</f>
        <v>0.98399999999999999</v>
      </c>
      <c r="H133" s="35">
        <f>Database!N139</f>
        <v>43073</v>
      </c>
    </row>
    <row r="134" spans="1:8" ht="45" x14ac:dyDescent="0.25">
      <c r="A134" s="225" t="str">
        <f>Database!A140</f>
        <v>13REF044</v>
      </c>
      <c r="B134" s="34" t="str">
        <f>Database!E140</f>
        <v>NEUROSERVICE</v>
      </c>
      <c r="C134" s="34" t="str">
        <f>Database!F140</f>
        <v xml:space="preserve">( E ) - Capsaicin </v>
      </c>
      <c r="D134" s="34">
        <f>Database!K140</f>
        <v>305.42</v>
      </c>
      <c r="E134" s="34" t="str">
        <f>Database!P140</f>
        <v>100 mg</v>
      </c>
      <c r="F134" s="34" t="str">
        <f>Database!Q140</f>
        <v>DMSO or ethanol to 50 mM</v>
      </c>
      <c r="G134" s="462">
        <f>Database!R140</f>
        <v>0.98399999999999999</v>
      </c>
      <c r="H134" s="35">
        <f>Database!N140</f>
        <v>43073</v>
      </c>
    </row>
    <row r="135" spans="1:8" ht="23.25" x14ac:dyDescent="0.25">
      <c r="A135" s="225">
        <f>Database!A143</f>
        <v>0</v>
      </c>
      <c r="B135" s="34">
        <f>Database!E143</f>
        <v>0</v>
      </c>
      <c r="C135" s="34">
        <f>Database!F143</f>
        <v>0</v>
      </c>
      <c r="D135" s="34">
        <f>Database!K143</f>
        <v>0</v>
      </c>
      <c r="E135" s="34">
        <f>Database!P143</f>
        <v>0</v>
      </c>
      <c r="F135" s="34">
        <f>Database!Q143</f>
        <v>0</v>
      </c>
      <c r="G135" s="462">
        <f>Database!R143</f>
        <v>0</v>
      </c>
      <c r="H135" s="35">
        <f>Database!N143</f>
        <v>0</v>
      </c>
    </row>
    <row r="136" spans="1:8" ht="23.25" x14ac:dyDescent="0.25">
      <c r="A136" s="225" t="str">
        <f>Database!A144</f>
        <v/>
      </c>
      <c r="B136" s="34">
        <f>Database!E144</f>
        <v>0</v>
      </c>
      <c r="C136" s="34">
        <f>Database!F144</f>
        <v>0</v>
      </c>
      <c r="D136" s="34">
        <f>Database!K144</f>
        <v>0</v>
      </c>
      <c r="E136" s="34">
        <f>Database!P144</f>
        <v>0</v>
      </c>
      <c r="F136" s="34">
        <f>Database!Q144</f>
        <v>0</v>
      </c>
      <c r="G136" s="462">
        <f>Database!R144</f>
        <v>0</v>
      </c>
      <c r="H136" s="35">
        <f>Database!N144</f>
        <v>0</v>
      </c>
    </row>
    <row r="137" spans="1:8" ht="30" x14ac:dyDescent="0.25">
      <c r="A137" s="225" t="str">
        <f>Database!A145</f>
        <v>14REF001</v>
      </c>
      <c r="B137" s="34" t="str">
        <f>Database!E145</f>
        <v>NEUROSERVICE</v>
      </c>
      <c r="C137" s="34" t="str">
        <f>Database!F145</f>
        <v>Sodium Pyruvate</v>
      </c>
      <c r="D137" s="34">
        <f>Database!K145</f>
        <v>110.04</v>
      </c>
      <c r="E137" s="34" t="str">
        <f>Database!P145</f>
        <v>25 g</v>
      </c>
      <c r="F137" s="34" t="str">
        <f>Database!Q145</f>
        <v>H2O mQ / ACSF</v>
      </c>
      <c r="G137" s="462">
        <f>Database!R145</f>
        <v>0</v>
      </c>
      <c r="H137" s="35">
        <f>Database!N145</f>
        <v>41974</v>
      </c>
    </row>
    <row r="138" spans="1:8" ht="105" x14ac:dyDescent="0.25">
      <c r="A138" s="225" t="str">
        <f>Database!A146</f>
        <v>14REF002</v>
      </c>
      <c r="B138" s="34" t="str">
        <f>Database!E146</f>
        <v>NEUROSERVICE</v>
      </c>
      <c r="C138" s="34" t="str">
        <f>Database!F146</f>
        <v>SFK38393 Hydrochloride</v>
      </c>
      <c r="D138" s="34">
        <f>Database!K146</f>
        <v>291.77999999999997</v>
      </c>
      <c r="E138" s="34" t="str">
        <f>Database!P146</f>
        <v>100 mg</v>
      </c>
      <c r="F138" s="34" t="str">
        <f>Database!Q146</f>
        <v>soluble in water to 50 mM with Warming, and in DMSO to 100 mM</v>
      </c>
      <c r="G138" s="462">
        <f>Database!R146</f>
        <v>0</v>
      </c>
      <c r="H138" s="35">
        <f>Database!N146</f>
        <v>41967</v>
      </c>
    </row>
    <row r="139" spans="1:8" ht="30" x14ac:dyDescent="0.25">
      <c r="A139" s="225" t="str">
        <f>Database!A147</f>
        <v>14REF003</v>
      </c>
      <c r="B139" s="34" t="str">
        <f>Database!E147</f>
        <v>NEUROSERVICE</v>
      </c>
      <c r="C139" s="34" t="str">
        <f>Database!F147</f>
        <v>D-AP5</v>
      </c>
      <c r="D139" s="34">
        <f>Database!K147</f>
        <v>197.13</v>
      </c>
      <c r="E139" s="34" t="str">
        <f>Database!P147</f>
        <v>50 mg</v>
      </c>
      <c r="F139" s="34" t="str">
        <f>Database!Q147</f>
        <v>H2O mQ</v>
      </c>
      <c r="G139" s="462">
        <f>Database!R147</f>
        <v>0</v>
      </c>
      <c r="H139" s="35">
        <f>Database!N147</f>
        <v>41848</v>
      </c>
    </row>
    <row r="140" spans="1:8" ht="30" x14ac:dyDescent="0.25">
      <c r="A140" s="225" t="str">
        <f>Database!A148</f>
        <v>14REF004</v>
      </c>
      <c r="B140" s="34" t="str">
        <f>Database!E148</f>
        <v>NEUROSERVICE</v>
      </c>
      <c r="C140" s="34" t="str">
        <f>Database!F148</f>
        <v>Carbamazepine</v>
      </c>
      <c r="D140" s="34">
        <f>Database!K148</f>
        <v>236.3</v>
      </c>
      <c r="E140" s="34" t="str">
        <f>Database!P148</f>
        <v>25 g</v>
      </c>
      <c r="F140" s="34" t="str">
        <f>Database!Q148</f>
        <v>DMSO up to 100 mM</v>
      </c>
      <c r="G140" s="462">
        <f>Database!R148</f>
        <v>0</v>
      </c>
      <c r="H140" s="35">
        <f>Database!N148</f>
        <v>41928</v>
      </c>
    </row>
    <row r="141" spans="1:8" ht="45" x14ac:dyDescent="0.25">
      <c r="A141" s="225" t="str">
        <f>Database!A149</f>
        <v>14REF005</v>
      </c>
      <c r="B141" s="34" t="str">
        <f>Database!E149</f>
        <v>NEUROSERVICE</v>
      </c>
      <c r="C141" s="34" t="str">
        <f>Database!F149</f>
        <v>Cirazoline hydrochloride</v>
      </c>
      <c r="D141" s="34">
        <f>Database!K149</f>
        <v>252.74</v>
      </c>
      <c r="E141" s="34" t="str">
        <f>Database!P149</f>
        <v>10 mg</v>
      </c>
      <c r="F141" s="34" t="str">
        <f>Database!Q149</f>
        <v>H2O mQ</v>
      </c>
      <c r="G141" s="462">
        <f>Database!R149</f>
        <v>0</v>
      </c>
      <c r="H141" s="35">
        <f>Database!N149</f>
        <v>41859</v>
      </c>
    </row>
    <row r="142" spans="1:8" ht="45" x14ac:dyDescent="0.25">
      <c r="A142" s="225" t="str">
        <f>Database!A150</f>
        <v>14REF006</v>
      </c>
      <c r="B142" s="34" t="str">
        <f>Database!E150</f>
        <v>NEUROSERVICE</v>
      </c>
      <c r="C142" s="34" t="str">
        <f>Database!F150</f>
        <v>Clozapine</v>
      </c>
      <c r="D142" s="34">
        <f>Database!K150</f>
        <v>326.83</v>
      </c>
      <c r="E142" s="34" t="str">
        <f>Database!P150</f>
        <v>50 mg</v>
      </c>
      <c r="F142" s="34" t="str">
        <f>Database!Q150</f>
        <v>H2O mQ + 2eq HCl to 50 mM</v>
      </c>
      <c r="G142" s="462">
        <f>Database!R150</f>
        <v>0</v>
      </c>
      <c r="H142" s="35">
        <f>Database!N150</f>
        <v>41848</v>
      </c>
    </row>
    <row r="143" spans="1:8" ht="45" x14ac:dyDescent="0.25">
      <c r="A143" s="225" t="str">
        <f>Database!A151</f>
        <v>14REF007</v>
      </c>
      <c r="B143" s="34" t="str">
        <f>Database!E151</f>
        <v>NEUROSERVICE</v>
      </c>
      <c r="C143" s="34" t="str">
        <f>Database!F151</f>
        <v>Clozapine</v>
      </c>
      <c r="D143" s="34">
        <f>Database!K151</f>
        <v>326.83</v>
      </c>
      <c r="E143" s="34" t="str">
        <f>Database!P151</f>
        <v>50 mg</v>
      </c>
      <c r="F143" s="34" t="str">
        <f>Database!Q151</f>
        <v>H2O mQ + 2eq HCl to 50 mM</v>
      </c>
      <c r="G143" s="462">
        <f>Database!R151</f>
        <v>0</v>
      </c>
      <c r="H143" s="35">
        <f>Database!N151</f>
        <v>41899</v>
      </c>
    </row>
    <row r="144" spans="1:8" ht="30" x14ac:dyDescent="0.25">
      <c r="A144" s="225" t="str">
        <f>Database!A152</f>
        <v>14REF008</v>
      </c>
      <c r="B144" s="34" t="str">
        <f>Database!E152</f>
        <v>NEUROSERVICE</v>
      </c>
      <c r="C144" s="34" t="str">
        <f>Database!F152</f>
        <v>DMF</v>
      </c>
      <c r="D144" s="34">
        <f>Database!K152</f>
        <v>144.13</v>
      </c>
      <c r="E144" s="34" t="str">
        <f>Database!P152</f>
        <v>50 mg</v>
      </c>
      <c r="F144" s="34" t="str">
        <f>Database!Q152</f>
        <v>DMSO up to 100 mM</v>
      </c>
      <c r="G144" s="462">
        <f>Database!R152</f>
        <v>0</v>
      </c>
      <c r="H144" s="35">
        <f>Database!N152</f>
        <v>41892</v>
      </c>
    </row>
    <row r="145" spans="1:8" ht="30" x14ac:dyDescent="0.25">
      <c r="A145" s="225" t="str">
        <f>Database!A153</f>
        <v>14REF009</v>
      </c>
      <c r="B145" s="34" t="str">
        <f>Database!E153</f>
        <v>NEUROSERVICE</v>
      </c>
      <c r="C145" s="34" t="str">
        <f>Database!F153</f>
        <v>L-Glutamate</v>
      </c>
      <c r="D145" s="34">
        <f>Database!K153</f>
        <v>147.13</v>
      </c>
      <c r="E145" s="34" t="str">
        <f>Database!P153</f>
        <v>1 g</v>
      </c>
      <c r="F145" s="34" t="str">
        <f>Database!Q153</f>
        <v>1 eq NaOH to 100 mM</v>
      </c>
      <c r="G145" s="462">
        <f>Database!R153</f>
        <v>0</v>
      </c>
      <c r="H145" s="35">
        <f>Database!N153</f>
        <v>41899</v>
      </c>
    </row>
    <row r="146" spans="1:8" ht="30" x14ac:dyDescent="0.25">
      <c r="A146" s="225" t="str">
        <f>Database!A154</f>
        <v>14REF010</v>
      </c>
      <c r="B146" s="34" t="str">
        <f>Database!E154</f>
        <v>NEUROSERVICE</v>
      </c>
      <c r="C146" s="34" t="str">
        <f>Database!F154</f>
        <v>L-Glutamate</v>
      </c>
      <c r="D146" s="34">
        <f>Database!K154</f>
        <v>147.13</v>
      </c>
      <c r="E146" s="34" t="str">
        <f>Database!P154</f>
        <v>1 g</v>
      </c>
      <c r="F146" s="34" t="str">
        <f>Database!Q154</f>
        <v>1 eq NaOH to 100 mM</v>
      </c>
      <c r="G146" s="462">
        <f>Database!R154</f>
        <v>0</v>
      </c>
      <c r="H146" s="35">
        <f>Database!N154</f>
        <v>41915</v>
      </c>
    </row>
    <row r="147" spans="1:8" ht="30" x14ac:dyDescent="0.25">
      <c r="A147" s="225" t="str">
        <f>Database!A155</f>
        <v>14REF011</v>
      </c>
      <c r="B147" s="34" t="str">
        <f>Database!E155</f>
        <v>NEUROSERVICE</v>
      </c>
      <c r="C147" s="34" t="str">
        <f>Database!F155</f>
        <v>Haloperidol</v>
      </c>
      <c r="D147" s="34">
        <f>Database!K155</f>
        <v>375.86</v>
      </c>
      <c r="E147" s="34" t="str">
        <f>Database!P155</f>
        <v>100 mg</v>
      </c>
      <c r="F147" s="34" t="str">
        <f>Database!Q155</f>
        <v>DMSO at 10 mM</v>
      </c>
      <c r="G147" s="462">
        <f>Database!R155</f>
        <v>0</v>
      </c>
      <c r="H147" s="35">
        <f>Database!N155</f>
        <v>41695</v>
      </c>
    </row>
    <row r="148" spans="1:8" ht="60" x14ac:dyDescent="0.25">
      <c r="A148" s="225" t="str">
        <f>Database!A156</f>
        <v>14REF012</v>
      </c>
      <c r="B148" s="34" t="str">
        <f>Database!E156</f>
        <v>NEUROSERVICE</v>
      </c>
      <c r="C148" s="34" t="str">
        <f>Database!F156</f>
        <v>Isradipine</v>
      </c>
      <c r="D148" s="34">
        <f>Database!K156</f>
        <v>371.39</v>
      </c>
      <c r="E148" s="34" t="str">
        <f>Database!P156</f>
        <v>50 mg</v>
      </c>
      <c r="F148" s="34" t="str">
        <f>Database!Q156</f>
        <v>DMSO to 100 mM EtOH to 50 mM</v>
      </c>
      <c r="G148" s="462">
        <f>Database!R156</f>
        <v>0</v>
      </c>
      <c r="H148" s="35">
        <f>Database!N156</f>
        <v>41915</v>
      </c>
    </row>
    <row r="149" spans="1:8" ht="30" x14ac:dyDescent="0.25">
      <c r="A149" s="225" t="str">
        <f>Database!A157</f>
        <v>14REF013</v>
      </c>
      <c r="B149" s="34" t="str">
        <f>Database!E157</f>
        <v>NEUROSERVICE</v>
      </c>
      <c r="C149" s="34" t="str">
        <f>Database!F157</f>
        <v>LY 341498</v>
      </c>
      <c r="D149" s="34">
        <f>Database!K157</f>
        <v>362.38</v>
      </c>
      <c r="E149" s="34" t="str">
        <f>Database!P157</f>
        <v>10 mg</v>
      </c>
      <c r="F149" s="34" t="str">
        <f>Database!Q157</f>
        <v>DMSO</v>
      </c>
      <c r="G149" s="462">
        <f>Database!R157</f>
        <v>0</v>
      </c>
      <c r="H149" s="35">
        <f>Database!N157</f>
        <v>41648</v>
      </c>
    </row>
    <row r="150" spans="1:8" ht="45" x14ac:dyDescent="0.25">
      <c r="A150" s="225" t="str">
        <f>Database!A158</f>
        <v>14REF014</v>
      </c>
      <c r="B150" s="34" t="str">
        <f>Database!E158</f>
        <v>NEUROSERVICE</v>
      </c>
      <c r="C150" s="34" t="str">
        <f>Database!F158</f>
        <v>Memantine Hydrochloride</v>
      </c>
      <c r="D150" s="34">
        <f>Database!K158</f>
        <v>215.77</v>
      </c>
      <c r="E150" s="34" t="str">
        <f>Database!P158</f>
        <v>50 mg</v>
      </c>
      <c r="F150" s="34" t="str">
        <f>Database!Q158</f>
        <v>H2O mQ</v>
      </c>
      <c r="G150" s="462">
        <f>Database!R158</f>
        <v>0</v>
      </c>
      <c r="H150" s="35">
        <f>Database!N158</f>
        <v>41885</v>
      </c>
    </row>
    <row r="151" spans="1:8" ht="60" x14ac:dyDescent="0.25">
      <c r="A151" s="225" t="str">
        <f>Database!A159</f>
        <v>14REF015</v>
      </c>
      <c r="B151" s="34" t="str">
        <f>Database!E159</f>
        <v>NEUROSERVICE</v>
      </c>
      <c r="C151" s="34" t="str">
        <f>Database!F159</f>
        <v>Methyllycaconitine citrate (MLA)</v>
      </c>
      <c r="D151" s="34">
        <f>Database!K159</f>
        <v>897.45</v>
      </c>
      <c r="E151" s="34" t="str">
        <f>Database!P159</f>
        <v>5 mg</v>
      </c>
      <c r="F151" s="34" t="str">
        <f>Database!Q159</f>
        <v>H2O mQ to 10 mM</v>
      </c>
      <c r="G151" s="462">
        <f>Database!R159</f>
        <v>0</v>
      </c>
      <c r="H151" s="35">
        <f>Database!N159</f>
        <v>41915</v>
      </c>
    </row>
    <row r="152" spans="1:8" ht="30" x14ac:dyDescent="0.25">
      <c r="A152" s="225" t="str">
        <f>Database!A160</f>
        <v>14REF016</v>
      </c>
      <c r="B152" s="34" t="str">
        <f>Database!E160</f>
        <v>NEUROSERVICE</v>
      </c>
      <c r="C152" s="34" t="str">
        <f>Database!F160</f>
        <v>NBQX</v>
      </c>
      <c r="D152" s="34">
        <f>Database!K160</f>
        <v>340.78</v>
      </c>
      <c r="E152" s="34" t="str">
        <f>Database!P160</f>
        <v>50 mg</v>
      </c>
      <c r="F152" s="34" t="str">
        <f>Database!Q160</f>
        <v>DMSO</v>
      </c>
      <c r="G152" s="462">
        <f>Database!R160</f>
        <v>0</v>
      </c>
      <c r="H152" s="35">
        <f>Database!N160</f>
        <v>41848</v>
      </c>
    </row>
    <row r="153" spans="1:8" ht="30" x14ac:dyDescent="0.25">
      <c r="A153" s="225" t="str">
        <f>Database!A161</f>
        <v>14REF017</v>
      </c>
      <c r="B153" s="34" t="str">
        <f>Database!E161</f>
        <v>NEUROSERVICE</v>
      </c>
      <c r="C153" s="34" t="str">
        <f>Database!F161</f>
        <v>PD 168077 Maleate</v>
      </c>
      <c r="D153" s="34">
        <f>Database!K161</f>
        <v>450.19</v>
      </c>
      <c r="E153" s="34" t="str">
        <f>Database!P161</f>
        <v>100 mg</v>
      </c>
      <c r="F153" s="34" t="str">
        <f>Database!Q161</f>
        <v>DMSO to 100 mM</v>
      </c>
      <c r="G153" s="462">
        <f>Database!R161</f>
        <v>0</v>
      </c>
      <c r="H153" s="35">
        <f>Database!N161</f>
        <v>41858</v>
      </c>
    </row>
    <row r="154" spans="1:8" ht="30" x14ac:dyDescent="0.25">
      <c r="A154" s="225" t="str">
        <f>Database!A162</f>
        <v>14REF018</v>
      </c>
      <c r="B154" s="34" t="str">
        <f>Database!E162</f>
        <v>NEUROSERVICE</v>
      </c>
      <c r="C154" s="34" t="str">
        <f>Database!F162</f>
        <v>PNU 282987</v>
      </c>
      <c r="D154" s="34">
        <f>Database!K162</f>
        <v>305.72000000000003</v>
      </c>
      <c r="E154" s="34" t="str">
        <f>Database!P162</f>
        <v>50 mg</v>
      </c>
      <c r="F154" s="34" t="str">
        <f>Database!Q162</f>
        <v>H2O mQ to 100 mM</v>
      </c>
      <c r="G154" s="462">
        <f>Database!R162</f>
        <v>0</v>
      </c>
      <c r="H154" s="35">
        <f>Database!N162</f>
        <v>41890</v>
      </c>
    </row>
    <row r="155" spans="1:8" ht="30" x14ac:dyDescent="0.25">
      <c r="A155" s="225" t="str">
        <f>Database!A163</f>
        <v>14REF019</v>
      </c>
      <c r="B155" s="34" t="str">
        <f>Database!E163</f>
        <v>NEUROSERVICE</v>
      </c>
      <c r="C155" s="34" t="str">
        <f>Database!F163</f>
        <v>PNU 282987</v>
      </c>
      <c r="D155" s="34">
        <f>Database!K163</f>
        <v>305.72000000000003</v>
      </c>
      <c r="E155" s="34" t="str">
        <f>Database!P163</f>
        <v>10 mg</v>
      </c>
      <c r="F155" s="34" t="str">
        <f>Database!Q163</f>
        <v>H2O mQ to 100 mM</v>
      </c>
      <c r="G155" s="462">
        <f>Database!R163</f>
        <v>0</v>
      </c>
      <c r="H155" s="35">
        <f>Database!N163</f>
        <v>41915</v>
      </c>
    </row>
    <row r="156" spans="1:8" ht="30" x14ac:dyDescent="0.25">
      <c r="A156" s="225" t="str">
        <f>Database!A164</f>
        <v>14SAM020</v>
      </c>
      <c r="B156" s="34" t="str">
        <f>Database!E164</f>
        <v>ALCOBRA</v>
      </c>
      <c r="C156" s="34" t="str">
        <f>Database!F164</f>
        <v xml:space="preserve">Metadoxine </v>
      </c>
      <c r="D156" s="34">
        <f>Database!K164</f>
        <v>298.29000000000002</v>
      </c>
      <c r="E156" s="34" t="str">
        <f>Database!P164</f>
        <v>10 g</v>
      </c>
      <c r="F156" s="34" t="str">
        <f>Database!Q164</f>
        <v>H2O mQ</v>
      </c>
      <c r="G156" s="462">
        <f>Database!R164</f>
        <v>0</v>
      </c>
      <c r="H156" s="35">
        <f>Database!N164</f>
        <v>41808</v>
      </c>
    </row>
    <row r="157" spans="1:8" ht="23.25" x14ac:dyDescent="0.25">
      <c r="A157" s="225" t="str">
        <f>Database!A165</f>
        <v>14SAM021</v>
      </c>
      <c r="B157" s="34" t="str">
        <f>Database!E165</f>
        <v>ORION</v>
      </c>
      <c r="C157" s="34" t="str">
        <f>Database!F165</f>
        <v>ODM-108</v>
      </c>
      <c r="D157" s="34">
        <f>Database!K165</f>
        <v>336.76</v>
      </c>
      <c r="E157" s="34" t="str">
        <f>Database!P165</f>
        <v>203.8 mg</v>
      </c>
      <c r="F157" s="34">
        <f>Database!Q165</f>
        <v>0</v>
      </c>
      <c r="G157" s="462">
        <f>Database!R165</f>
        <v>0</v>
      </c>
      <c r="H157" s="35">
        <f>Database!N165</f>
        <v>41950</v>
      </c>
    </row>
    <row r="158" spans="1:8" ht="23.25" x14ac:dyDescent="0.25">
      <c r="A158" s="225" t="str">
        <f>Database!A166</f>
        <v>14SAM022</v>
      </c>
      <c r="B158" s="34" t="str">
        <f>Database!E166</f>
        <v>ROCHE</v>
      </c>
      <c r="C158" s="34" t="str">
        <f>Database!F166</f>
        <v>RO1</v>
      </c>
      <c r="D158" s="34">
        <f>Database!K166</f>
        <v>352.14</v>
      </c>
      <c r="E158" s="34" t="str">
        <f>Database!P166</f>
        <v>50.97 mg</v>
      </c>
      <c r="F158" s="34" t="str">
        <f>Database!Q166</f>
        <v>DMSO</v>
      </c>
      <c r="G158" s="462">
        <f>Database!R166</f>
        <v>0</v>
      </c>
      <c r="H158" s="35">
        <f>Database!N166</f>
        <v>41824</v>
      </c>
    </row>
    <row r="159" spans="1:8" ht="45" x14ac:dyDescent="0.25">
      <c r="A159" s="225" t="str">
        <f>Database!A167</f>
        <v>14SAM023</v>
      </c>
      <c r="B159" s="34" t="str">
        <f>Database!E167</f>
        <v>ROCHE</v>
      </c>
      <c r="C159" s="34" t="str">
        <f>Database!F167</f>
        <v>Tiagabine hydrochloride</v>
      </c>
      <c r="D159" s="34">
        <f>Database!K167</f>
        <v>412.02</v>
      </c>
      <c r="E159" s="34" t="str">
        <f>Database!P167</f>
        <v>25 mg</v>
      </c>
      <c r="F159" s="34">
        <f>Database!Q167</f>
        <v>0</v>
      </c>
      <c r="G159" s="462">
        <f>Database!R167</f>
        <v>0</v>
      </c>
      <c r="H159" s="35">
        <f>Database!N167</f>
        <v>41853</v>
      </c>
    </row>
    <row r="160" spans="1:8" ht="30" x14ac:dyDescent="0.25">
      <c r="A160" s="225" t="str">
        <f>Database!A168</f>
        <v>14SAM024</v>
      </c>
      <c r="B160" s="34" t="str">
        <f>Database!E168</f>
        <v>ROCHE</v>
      </c>
      <c r="C160" s="34" t="str">
        <f>Database!F168</f>
        <v>Lamotrigine</v>
      </c>
      <c r="D160" s="34">
        <f>Database!K168</f>
        <v>256.08999999999997</v>
      </c>
      <c r="E160" s="34" t="str">
        <f>Database!P168</f>
        <v>10 mg</v>
      </c>
      <c r="F160" s="34">
        <f>Database!Q168</f>
        <v>0</v>
      </c>
      <c r="G160" s="462">
        <f>Database!R168</f>
        <v>0</v>
      </c>
      <c r="H160" s="35">
        <f>Database!N168</f>
        <v>41879</v>
      </c>
    </row>
    <row r="161" spans="1:8" ht="30" x14ac:dyDescent="0.25">
      <c r="A161" s="225" t="str">
        <f>Database!A169</f>
        <v>14SAM025</v>
      </c>
      <c r="B161" s="34" t="str">
        <f>Database!E169</f>
        <v>ROCHE</v>
      </c>
      <c r="C161" s="34" t="str">
        <f>Database!F169</f>
        <v>Gabapentine</v>
      </c>
      <c r="D161" s="34">
        <f>Database!K169</f>
        <v>171.24</v>
      </c>
      <c r="E161" s="34" t="str">
        <f>Database!P169</f>
        <v>10 mg</v>
      </c>
      <c r="F161" s="34">
        <f>Database!Q169</f>
        <v>0</v>
      </c>
      <c r="G161" s="462">
        <f>Database!R169</f>
        <v>0</v>
      </c>
      <c r="H161" s="35">
        <f>Database!N169</f>
        <v>41879</v>
      </c>
    </row>
    <row r="162" spans="1:8" ht="23.25" x14ac:dyDescent="0.25">
      <c r="A162" s="225" t="str">
        <f>Database!A170</f>
        <v>14SAM026</v>
      </c>
      <c r="B162" s="34" t="str">
        <f>Database!E170</f>
        <v>ROCHE</v>
      </c>
      <c r="C162" s="34" t="str">
        <f>Database!F170</f>
        <v>Topiramate</v>
      </c>
      <c r="D162" s="34">
        <f>Database!K170</f>
        <v>339.36</v>
      </c>
      <c r="E162" s="34" t="str">
        <f>Database!P170</f>
        <v>10 mg</v>
      </c>
      <c r="F162" s="34">
        <f>Database!Q170</f>
        <v>0</v>
      </c>
      <c r="G162" s="462">
        <f>Database!R170</f>
        <v>0</v>
      </c>
      <c r="H162" s="35">
        <f>Database!N170</f>
        <v>41879</v>
      </c>
    </row>
    <row r="163" spans="1:8" ht="30" x14ac:dyDescent="0.25">
      <c r="A163" s="225" t="str">
        <f>Database!A171</f>
        <v>14SAM027</v>
      </c>
      <c r="B163" s="34" t="str">
        <f>Database!E171</f>
        <v>ROCHE</v>
      </c>
      <c r="C163" s="34" t="str">
        <f>Database!F171</f>
        <v>Sodium Valproate</v>
      </c>
      <c r="D163" s="34">
        <f>Database!K171</f>
        <v>166.19</v>
      </c>
      <c r="E163" s="34" t="str">
        <f>Database!P171</f>
        <v>91.30 mg</v>
      </c>
      <c r="F163" s="34">
        <f>Database!Q171</f>
        <v>0</v>
      </c>
      <c r="G163" s="462">
        <f>Database!R171</f>
        <v>0</v>
      </c>
      <c r="H163" s="35">
        <f>Database!N171</f>
        <v>41879</v>
      </c>
    </row>
    <row r="164" spans="1:8" ht="23.25" x14ac:dyDescent="0.25">
      <c r="A164" s="225" t="str">
        <f>Database!A172</f>
        <v>14SAM028</v>
      </c>
      <c r="B164" s="34" t="str">
        <f>Database!E172</f>
        <v>ROCHE</v>
      </c>
      <c r="C164" s="34" t="str">
        <f>Database!F172</f>
        <v>Phenytoin</v>
      </c>
      <c r="D164" s="34">
        <f>Database!K172</f>
        <v>252.27</v>
      </c>
      <c r="E164" s="34" t="str">
        <f>Database!P172</f>
        <v>220.8 mg</v>
      </c>
      <c r="F164" s="34">
        <f>Database!Q172</f>
        <v>0</v>
      </c>
      <c r="G164" s="462">
        <f>Database!R172</f>
        <v>0</v>
      </c>
      <c r="H164" s="35">
        <f>Database!N172</f>
        <v>41883</v>
      </c>
    </row>
    <row r="165" spans="1:8" ht="23.25" x14ac:dyDescent="0.25">
      <c r="A165" s="225" t="str">
        <f>Database!A173</f>
        <v>14SAM029</v>
      </c>
      <c r="B165" s="34" t="str">
        <f>Database!E173</f>
        <v>ROCHE</v>
      </c>
      <c r="C165" s="34" t="str">
        <f>Database!F173</f>
        <v>Phenytoin</v>
      </c>
      <c r="D165" s="34">
        <f>Database!K173</f>
        <v>252.27</v>
      </c>
      <c r="E165" s="34" t="str">
        <f>Database!P173</f>
        <v>5 g</v>
      </c>
      <c r="F165" s="34">
        <f>Database!Q173</f>
        <v>0</v>
      </c>
      <c r="G165" s="462">
        <f>Database!R173</f>
        <v>0</v>
      </c>
      <c r="H165" s="35">
        <f>Database!N173</f>
        <v>41976</v>
      </c>
    </row>
    <row r="166" spans="1:8" ht="30" x14ac:dyDescent="0.25">
      <c r="A166" s="225" t="str">
        <f>Database!A174</f>
        <v>14SAM030</v>
      </c>
      <c r="B166" s="34" t="str">
        <f>Database!E174</f>
        <v>ROCHE</v>
      </c>
      <c r="C166" s="34" t="str">
        <f>Database!F174</f>
        <v>Pentylenetetrazole</v>
      </c>
      <c r="D166" s="34">
        <f>Database!K174</f>
        <v>138.16999999999999</v>
      </c>
      <c r="E166" s="34" t="str">
        <f>Database!P174</f>
        <v>25 g</v>
      </c>
      <c r="F166" s="34">
        <f>Database!Q174</f>
        <v>0</v>
      </c>
      <c r="G166" s="462">
        <f>Database!R174</f>
        <v>0</v>
      </c>
      <c r="H166" s="35">
        <f>Database!N174</f>
        <v>41908</v>
      </c>
    </row>
    <row r="167" spans="1:8" ht="45" x14ac:dyDescent="0.25">
      <c r="A167" s="225" t="str">
        <f>Database!A175</f>
        <v>14SAM031</v>
      </c>
      <c r="B167" s="34" t="str">
        <f>Database!E175</f>
        <v>ROCHE</v>
      </c>
      <c r="C167" s="34" t="str">
        <f>Database!F175</f>
        <v>Midazolam Hydrochloride</v>
      </c>
      <c r="D167" s="34">
        <f>Database!K175</f>
        <v>362.23</v>
      </c>
      <c r="E167" s="34" t="str">
        <f>Database!P175</f>
        <v>5 mg</v>
      </c>
      <c r="F167" s="34">
        <f>Database!Q175</f>
        <v>0</v>
      </c>
      <c r="G167" s="462">
        <f>Database!R175</f>
        <v>0</v>
      </c>
      <c r="H167" s="35">
        <f>Database!N175</f>
        <v>41942</v>
      </c>
    </row>
    <row r="168" spans="1:8" ht="45" x14ac:dyDescent="0.25">
      <c r="A168" s="225" t="str">
        <f>Database!A176</f>
        <v>14SAM032</v>
      </c>
      <c r="B168" s="34" t="str">
        <f>Database!E176</f>
        <v>ROCHE</v>
      </c>
      <c r="C168" s="34" t="str">
        <f>Database!F176</f>
        <v>Valproic Acid sodium</v>
      </c>
      <c r="D168" s="34">
        <f>Database!K176</f>
        <v>166.19</v>
      </c>
      <c r="E168" s="34" t="str">
        <f>Database!P176</f>
        <v>10 g</v>
      </c>
      <c r="F168" s="34">
        <f>Database!Q176</f>
        <v>0</v>
      </c>
      <c r="G168" s="462">
        <f>Database!R176</f>
        <v>0</v>
      </c>
      <c r="H168" s="35">
        <f>Database!N176</f>
        <v>41961</v>
      </c>
    </row>
    <row r="169" spans="1:8" ht="45" x14ac:dyDescent="0.25">
      <c r="A169" s="225" t="str">
        <f>Database!A177</f>
        <v>14SAM033</v>
      </c>
      <c r="B169" s="34" t="str">
        <f>Database!E177</f>
        <v>ROCHE</v>
      </c>
      <c r="C169" s="34" t="str">
        <f>Database!F177</f>
        <v>Tiagabine hydrochloride</v>
      </c>
      <c r="D169" s="34">
        <f>Database!K177</f>
        <v>375.55</v>
      </c>
      <c r="E169" s="34" t="str">
        <f>Database!P177</f>
        <v>50 mg</v>
      </c>
      <c r="F169" s="34">
        <f>Database!Q177</f>
        <v>0</v>
      </c>
      <c r="G169" s="462">
        <f>Database!R177</f>
        <v>0</v>
      </c>
      <c r="H169" s="35">
        <f>Database!N177</f>
        <v>41961</v>
      </c>
    </row>
    <row r="170" spans="1:8" ht="30" x14ac:dyDescent="0.25">
      <c r="A170" s="225" t="str">
        <f>Database!A178</f>
        <v>14SAM034</v>
      </c>
      <c r="B170" s="34" t="str">
        <f>Database!E178</f>
        <v>ROCHE</v>
      </c>
      <c r="C170" s="34" t="str">
        <f>Database!F178</f>
        <v>Gabapentine</v>
      </c>
      <c r="D170" s="34">
        <f>Database!K178</f>
        <v>171.24</v>
      </c>
      <c r="E170" s="34" t="str">
        <f>Database!P178</f>
        <v>50 mg</v>
      </c>
      <c r="F170" s="34">
        <f>Database!Q178</f>
        <v>0</v>
      </c>
      <c r="G170" s="462">
        <f>Database!R178</f>
        <v>0</v>
      </c>
      <c r="H170" s="35">
        <f>Database!N178</f>
        <v>41968</v>
      </c>
    </row>
    <row r="171" spans="1:8" ht="45" x14ac:dyDescent="0.25">
      <c r="A171" s="225" t="str">
        <f>Database!A179</f>
        <v>14SAM035</v>
      </c>
      <c r="B171" s="34" t="str">
        <f>Database!E179</f>
        <v>ROCHE</v>
      </c>
      <c r="C171" s="34" t="str">
        <f>Database!F179</f>
        <v>Tiagabine hydrochloride</v>
      </c>
      <c r="D171" s="34">
        <f>Database!K179</f>
        <v>412</v>
      </c>
      <c r="E171" s="34" t="str">
        <f>Database!P179</f>
        <v>50 mg</v>
      </c>
      <c r="F171" s="34" t="str">
        <f>Database!Q179</f>
        <v>100 mM in eq NaOH</v>
      </c>
      <c r="G171" s="462">
        <f>Database!R179</f>
        <v>0</v>
      </c>
      <c r="H171" s="35">
        <f>Database!N179</f>
        <v>41971</v>
      </c>
    </row>
    <row r="172" spans="1:8" ht="45" x14ac:dyDescent="0.25">
      <c r="A172" s="225" t="str">
        <f>Database!A180</f>
        <v>14SAM036</v>
      </c>
      <c r="B172" s="34" t="str">
        <f>Database!E180</f>
        <v>ROCHE</v>
      </c>
      <c r="C172" s="34" t="str">
        <f>Database!F180</f>
        <v>Tiagabine hydrochloride</v>
      </c>
      <c r="D172" s="34">
        <f>Database!K180</f>
        <v>412</v>
      </c>
      <c r="E172" s="34" t="str">
        <f>Database!P180</f>
        <v>50 mg</v>
      </c>
      <c r="F172" s="34" t="str">
        <f>Database!Q180</f>
        <v>100 mM in eq NaOH</v>
      </c>
      <c r="G172" s="462">
        <f>Database!R180</f>
        <v>0</v>
      </c>
      <c r="H172" s="35">
        <f>Database!N180</f>
        <v>41971</v>
      </c>
    </row>
    <row r="173" spans="1:8" ht="45" x14ac:dyDescent="0.25">
      <c r="A173" s="225" t="str">
        <f>Database!A181</f>
        <v>14SAM037</v>
      </c>
      <c r="B173" s="34" t="str">
        <f>Database!E181</f>
        <v>ROCHE</v>
      </c>
      <c r="C173" s="34" t="str">
        <f>Database!F181</f>
        <v>Tiagabine hydrochloride</v>
      </c>
      <c r="D173" s="34">
        <f>Database!K181</f>
        <v>412</v>
      </c>
      <c r="E173" s="34" t="str">
        <f>Database!P181</f>
        <v>50 mg</v>
      </c>
      <c r="F173" s="34" t="str">
        <f>Database!Q181</f>
        <v>100 mM in eq NaOH</v>
      </c>
      <c r="G173" s="462">
        <f>Database!R181</f>
        <v>0</v>
      </c>
      <c r="H173" s="35">
        <f>Database!N181</f>
        <v>41971</v>
      </c>
    </row>
    <row r="174" spans="1:8" ht="23.25" x14ac:dyDescent="0.25">
      <c r="A174" s="225" t="str">
        <f>Database!A182</f>
        <v>14SAM038</v>
      </c>
      <c r="B174" s="34" t="str">
        <f>Database!E182</f>
        <v>ROCHE</v>
      </c>
      <c r="C174" s="34" t="str">
        <f>Database!F182</f>
        <v>Topiramate</v>
      </c>
      <c r="D174" s="34">
        <f>Database!K182</f>
        <v>339.4</v>
      </c>
      <c r="E174" s="34" t="str">
        <f>Database!P182</f>
        <v>1 g</v>
      </c>
      <c r="F174" s="34" t="str">
        <f>Database!Q182</f>
        <v>DMSO</v>
      </c>
      <c r="G174" s="462">
        <f>Database!R182</f>
        <v>0</v>
      </c>
      <c r="H174" s="35">
        <f>Database!N182</f>
        <v>41992</v>
      </c>
    </row>
    <row r="175" spans="1:8" ht="45" x14ac:dyDescent="0.25">
      <c r="A175" s="225" t="str">
        <f>Database!A183</f>
        <v>14REF039</v>
      </c>
      <c r="B175" s="34" t="str">
        <f>Database!E183</f>
        <v>NEUROSERVICE</v>
      </c>
      <c r="C175" s="34" t="str">
        <f>Database!F183</f>
        <v>Ketamine Hydrochloride</v>
      </c>
      <c r="D175" s="34">
        <f>Database!K183</f>
        <v>274.19</v>
      </c>
      <c r="E175" s="34" t="str">
        <f>Database!P183</f>
        <v>1 g</v>
      </c>
      <c r="F175" s="34" t="str">
        <f>Database!Q183</f>
        <v>H2O mQ</v>
      </c>
      <c r="G175" s="462">
        <f>Database!R183</f>
        <v>0</v>
      </c>
      <c r="H175" s="35">
        <f>Database!N183</f>
        <v>41655</v>
      </c>
    </row>
    <row r="176" spans="1:8" ht="45" x14ac:dyDescent="0.25">
      <c r="A176" s="225" t="str">
        <f>Database!A184</f>
        <v>14REF040</v>
      </c>
      <c r="B176" s="34" t="str">
        <f>Database!E184</f>
        <v>NEUROSERVICE</v>
      </c>
      <c r="C176" s="34" t="str">
        <f>Database!F184</f>
        <v>Midazolam Hydrochloride</v>
      </c>
      <c r="D176" s="34">
        <f>Database!K184</f>
        <v>362.23</v>
      </c>
      <c r="E176" s="34" t="str">
        <f>Database!P184</f>
        <v>10 mg</v>
      </c>
      <c r="F176" s="34" t="str">
        <f>Database!Q184</f>
        <v>H2O mQ to at least 1mg/mL</v>
      </c>
      <c r="G176" s="462">
        <f>Database!R184</f>
        <v>0</v>
      </c>
      <c r="H176" s="35">
        <f>Database!N184</f>
        <v>41859</v>
      </c>
    </row>
    <row r="177" spans="1:8" ht="30" x14ac:dyDescent="0.25">
      <c r="A177" s="225" t="str">
        <f>Database!A185</f>
        <v>14SAM041</v>
      </c>
      <c r="B177" s="34" t="str">
        <f>Database!E185</f>
        <v>ALCOBRA</v>
      </c>
      <c r="C177" s="34" t="str">
        <f>Database!F185</f>
        <v xml:space="preserve">Metadoxine </v>
      </c>
      <c r="D177" s="34">
        <f>Database!K185</f>
        <v>298.29000000000002</v>
      </c>
      <c r="E177" s="34" t="str">
        <f>Database!P185</f>
        <v>10 g</v>
      </c>
      <c r="F177" s="34" t="str">
        <f>Database!Q185</f>
        <v>H2O mQ</v>
      </c>
      <c r="G177" s="462">
        <f>Database!R185</f>
        <v>0</v>
      </c>
      <c r="H177" s="35">
        <f>Database!N185</f>
        <v>41808</v>
      </c>
    </row>
    <row r="178" spans="1:8" ht="30" x14ac:dyDescent="0.25">
      <c r="A178" s="225" t="str">
        <f>Database!A186</f>
        <v>14REF042</v>
      </c>
      <c r="B178" s="34" t="str">
        <f>Database!E186</f>
        <v>NEUROSERVICE</v>
      </c>
      <c r="C178" s="34" t="str">
        <f>Database!F186</f>
        <v>Amantadine</v>
      </c>
      <c r="D178" s="34">
        <f>Database!K186</f>
        <v>187.71</v>
      </c>
      <c r="E178" s="34" t="str">
        <f>Database!P186</f>
        <v>5g</v>
      </c>
      <c r="F178" s="34" t="str">
        <f>Database!Q186</f>
        <v>H2O mQ 50mg/mL</v>
      </c>
      <c r="G178" s="462">
        <f>Database!R186</f>
        <v>0.98</v>
      </c>
      <c r="H178" s="35">
        <f>Database!N186</f>
        <v>41974</v>
      </c>
    </row>
    <row r="179" spans="1:8" ht="30" x14ac:dyDescent="0.25">
      <c r="A179" s="225" t="str">
        <f>Database!A187</f>
        <v>14REF043</v>
      </c>
      <c r="B179" s="34" t="str">
        <f>Database!E187</f>
        <v>NEUROSERVICE</v>
      </c>
      <c r="C179" s="34" t="str">
        <f>Database!F187</f>
        <v>Cadmium</v>
      </c>
      <c r="D179" s="34">
        <f>Database!K187</f>
        <v>183.32</v>
      </c>
      <c r="E179" s="34" t="str">
        <f>Database!P187</f>
        <v>10g</v>
      </c>
      <c r="F179" s="34" t="str">
        <f>Database!Q187</f>
        <v>H2O mQ 457mg/mL</v>
      </c>
      <c r="G179" s="462">
        <f>Database!R187</f>
        <v>0</v>
      </c>
      <c r="H179" s="35">
        <f>Database!N187</f>
        <v>41955</v>
      </c>
    </row>
    <row r="180" spans="1:8" ht="30" x14ac:dyDescent="0.25">
      <c r="A180" s="225" t="str">
        <f>Database!A188</f>
        <v>14SAM044</v>
      </c>
      <c r="B180" s="34" t="str">
        <f>Database!E188</f>
        <v>ROCHE</v>
      </c>
      <c r="C180" s="34" t="str">
        <f>Database!F188</f>
        <v>Pentylenetetrazole</v>
      </c>
      <c r="D180" s="34">
        <f>Database!K188</f>
        <v>138.16999999999999</v>
      </c>
      <c r="E180" s="34" t="str">
        <f>Database!P188</f>
        <v>25 g</v>
      </c>
      <c r="F180" s="34" t="str">
        <f>Database!Q188</f>
        <v>directly in ACSF</v>
      </c>
      <c r="G180" s="462">
        <f>Database!R188</f>
        <v>0</v>
      </c>
      <c r="H180" s="35">
        <f>Database!N188</f>
        <v>41908</v>
      </c>
    </row>
    <row r="181" spans="1:8" ht="45" x14ac:dyDescent="0.25">
      <c r="A181" s="225" t="str">
        <f>Database!A189</f>
        <v>14REF045</v>
      </c>
      <c r="B181" s="34" t="str">
        <f>Database!E189</f>
        <v>NEUROSERVICE</v>
      </c>
      <c r="C181" s="34" t="str">
        <f>Database!F189</f>
        <v>Cesium methanesulfonate</v>
      </c>
      <c r="D181" s="34">
        <f>Database!K189</f>
        <v>228</v>
      </c>
      <c r="E181" s="34" t="str">
        <f>Database!P189</f>
        <v>5 g</v>
      </c>
      <c r="F181" s="34" t="str">
        <f>Database!Q189</f>
        <v>H2O to 50 mg/ml</v>
      </c>
      <c r="G181" s="462">
        <f>Database!R189</f>
        <v>0</v>
      </c>
      <c r="H181" s="35">
        <f>Database!N189</f>
        <v>41810</v>
      </c>
    </row>
    <row r="182" spans="1:8" ht="45" x14ac:dyDescent="0.25">
      <c r="A182" s="225" t="str">
        <f>Database!A190</f>
        <v>14REF046</v>
      </c>
      <c r="B182" s="34" t="str">
        <f>Database!E190</f>
        <v>NEUROSERVICE</v>
      </c>
      <c r="C182" s="34" t="str">
        <f>Database!F190</f>
        <v>Cesium methanesulfonate</v>
      </c>
      <c r="D182" s="34">
        <f>Database!K190</f>
        <v>228</v>
      </c>
      <c r="E182" s="34" t="str">
        <f>Database!P190</f>
        <v>5 g</v>
      </c>
      <c r="F182" s="34" t="str">
        <f>Database!Q190</f>
        <v>H2O to 50 mg/ml</v>
      </c>
      <c r="G182" s="462">
        <f>Database!R190</f>
        <v>0</v>
      </c>
      <c r="H182" s="35">
        <f>Database!N190</f>
        <v>41810</v>
      </c>
    </row>
    <row r="183" spans="1:8" ht="45" x14ac:dyDescent="0.25">
      <c r="A183" s="225" t="str">
        <f>Database!A191</f>
        <v>14REF047</v>
      </c>
      <c r="B183" s="34" t="str">
        <f>Database!E191</f>
        <v>NEUROSERVICE</v>
      </c>
      <c r="C183" s="34" t="str">
        <f>Database!F191</f>
        <v>Cesium methanesulfonate</v>
      </c>
      <c r="D183" s="34">
        <f>Database!K191</f>
        <v>228</v>
      </c>
      <c r="E183" s="34" t="str">
        <f>Database!P191</f>
        <v>5 g</v>
      </c>
      <c r="F183" s="34" t="str">
        <f>Database!Q191</f>
        <v>H2O to 50 mg/ml</v>
      </c>
      <c r="G183" s="462">
        <f>Database!R191</f>
        <v>0</v>
      </c>
      <c r="H183" s="35">
        <f>Database!N191</f>
        <v>41810</v>
      </c>
    </row>
    <row r="184" spans="1:8" ht="23.25" x14ac:dyDescent="0.25">
      <c r="A184" s="225" t="str">
        <f>Database!A196</f>
        <v/>
      </c>
      <c r="B184" s="34">
        <f>Database!E196</f>
        <v>0</v>
      </c>
      <c r="C184" s="34">
        <f>Database!F196</f>
        <v>0</v>
      </c>
      <c r="D184" s="34">
        <f>Database!K196</f>
        <v>0</v>
      </c>
      <c r="E184" s="34">
        <f>Database!P196</f>
        <v>0</v>
      </c>
      <c r="F184" s="34">
        <f>Database!Q196</f>
        <v>0</v>
      </c>
      <c r="G184" s="462">
        <f>Database!R196</f>
        <v>0</v>
      </c>
      <c r="H184" s="35">
        <f>Database!N196</f>
        <v>0</v>
      </c>
    </row>
    <row r="185" spans="1:8" ht="30" x14ac:dyDescent="0.25">
      <c r="A185" s="225" t="str">
        <f>Database!A197</f>
        <v>15SAM001</v>
      </c>
      <c r="B185" s="34" t="str">
        <f>Database!E197</f>
        <v>RODIN</v>
      </c>
      <c r="C185" s="34" t="str">
        <f>Database!F197</f>
        <v>ROD-114</v>
      </c>
      <c r="D185" s="34">
        <f>Database!K197</f>
        <v>282.33999999999997</v>
      </c>
      <c r="E185" s="34" t="str">
        <f>Database!P197</f>
        <v>201.3 mg</v>
      </c>
      <c r="F185" s="34" t="str">
        <f>Database!Q197</f>
        <v>10 Mm in DMSO</v>
      </c>
      <c r="G185" s="462">
        <f>Database!R197</f>
        <v>0</v>
      </c>
      <c r="H185" s="35">
        <f>Database!N197</f>
        <v>42010</v>
      </c>
    </row>
    <row r="186" spans="1:8" ht="30" x14ac:dyDescent="0.25">
      <c r="A186" s="225" t="str">
        <f>Database!A198</f>
        <v>15SAM002</v>
      </c>
      <c r="B186" s="34" t="str">
        <f>Database!E198</f>
        <v>RODIN</v>
      </c>
      <c r="C186" s="34" t="str">
        <f>Database!F198</f>
        <v>ROD-423</v>
      </c>
      <c r="D186" s="34">
        <f>Database!K198</f>
        <v>330.34</v>
      </c>
      <c r="E186" s="34" t="str">
        <f>Database!P198</f>
        <v>201.5 mg</v>
      </c>
      <c r="F186" s="34" t="str">
        <f>Database!Q198</f>
        <v>10 Mmin DMSO</v>
      </c>
      <c r="G186" s="462">
        <f>Database!R198</f>
        <v>0</v>
      </c>
      <c r="H186" s="35">
        <f>Database!N198</f>
        <v>42010</v>
      </c>
    </row>
    <row r="187" spans="1:8" ht="23.25" x14ac:dyDescent="0.25">
      <c r="A187" s="225" t="str">
        <f>Database!A199</f>
        <v>15SAM003</v>
      </c>
      <c r="B187" s="34" t="str">
        <f>Database!E199</f>
        <v>RODIN</v>
      </c>
      <c r="C187" s="34" t="str">
        <f>Database!F199</f>
        <v>CI-994</v>
      </c>
      <c r="D187" s="34">
        <f>Database!K199</f>
        <v>269.3</v>
      </c>
      <c r="E187" s="34" t="str">
        <f>Database!P199</f>
        <v>200.6 mg</v>
      </c>
      <c r="F187" s="34" t="str">
        <f>Database!Q199</f>
        <v>DMSO</v>
      </c>
      <c r="G187" s="462">
        <f>Database!R199</f>
        <v>0</v>
      </c>
      <c r="H187" s="35">
        <f>Database!N199</f>
        <v>42010</v>
      </c>
    </row>
    <row r="188" spans="1:8" ht="30" x14ac:dyDescent="0.25">
      <c r="A188" s="225" t="str">
        <f>Database!A200</f>
        <v>15REF004</v>
      </c>
      <c r="B188" s="34" t="str">
        <f>Database!E200</f>
        <v>NEUROSERVICE</v>
      </c>
      <c r="C188" s="34" t="str">
        <f>Database!F200</f>
        <v>Rolipram</v>
      </c>
      <c r="D188" s="34">
        <f>Database!K200</f>
        <v>275.35000000000002</v>
      </c>
      <c r="E188" s="34" t="str">
        <f>Database!P200</f>
        <v>10 mg</v>
      </c>
      <c r="F188" s="34" t="str">
        <f>Database!Q200</f>
        <v>DMSO up to 100 mM</v>
      </c>
      <c r="G188" s="462">
        <f>Database!R200</f>
        <v>0</v>
      </c>
      <c r="H188" s="35">
        <f>Database!N200</f>
        <v>42010</v>
      </c>
    </row>
    <row r="189" spans="1:8" ht="30" x14ac:dyDescent="0.25">
      <c r="A189" s="225" t="str">
        <f>Database!A201</f>
        <v>15SAM005</v>
      </c>
      <c r="B189" s="34" t="str">
        <f>Database!E201</f>
        <v xml:space="preserve">TAKEDA </v>
      </c>
      <c r="C189" s="34" t="str">
        <f>Database!F201</f>
        <v>SYR237375B:002</v>
      </c>
      <c r="D189" s="34">
        <f>Database!K201</f>
        <v>602.64</v>
      </c>
      <c r="E189" s="34" t="str">
        <f>Database!P201</f>
        <v>6.29 mg</v>
      </c>
      <c r="F189" s="34">
        <f>Database!Q201</f>
        <v>0</v>
      </c>
      <c r="G189" s="462">
        <f>Database!R201</f>
        <v>0</v>
      </c>
      <c r="H189" s="35">
        <f>Database!N201</f>
        <v>42016</v>
      </c>
    </row>
    <row r="190" spans="1:8" ht="30" x14ac:dyDescent="0.25">
      <c r="A190" s="225" t="str">
        <f>Database!A202</f>
        <v>15SAM006</v>
      </c>
      <c r="B190" s="34" t="str">
        <f>Database!E202</f>
        <v xml:space="preserve">TAKEDA </v>
      </c>
      <c r="C190" s="34" t="str">
        <f>Database!F202</f>
        <v>SYR248158Z</v>
      </c>
      <c r="D190" s="34">
        <f>Database!K202</f>
        <v>513.6</v>
      </c>
      <c r="E190" s="34" t="str">
        <f>Database!P202</f>
        <v>6.27 mg</v>
      </c>
      <c r="F190" s="34" t="str">
        <f>Database!Q202</f>
        <v>10 Mm in DMSO</v>
      </c>
      <c r="G190" s="462">
        <f>Database!R202</f>
        <v>0</v>
      </c>
      <c r="H190" s="35">
        <f>Database!N202</f>
        <v>42016</v>
      </c>
    </row>
    <row r="191" spans="1:8" ht="23.25" x14ac:dyDescent="0.25">
      <c r="A191" s="225" t="str">
        <f>Database!A203</f>
        <v>15SAM007</v>
      </c>
      <c r="B191" s="34" t="str">
        <f>Database!E203</f>
        <v>RODIN</v>
      </c>
      <c r="C191" s="34" t="str">
        <f>Database!F203</f>
        <v>SAHA</v>
      </c>
      <c r="D191" s="34">
        <f>Database!K203</f>
        <v>264.32</v>
      </c>
      <c r="E191" s="34" t="str">
        <f>Database!P203</f>
        <v>5 mg</v>
      </c>
      <c r="F191" s="34" t="str">
        <f>Database!Q203</f>
        <v>DMSO</v>
      </c>
      <c r="G191" s="462">
        <f>Database!R203</f>
        <v>0</v>
      </c>
      <c r="H191" s="35">
        <f>Database!N203</f>
        <v>42032</v>
      </c>
    </row>
    <row r="192" spans="1:8" ht="23.25" x14ac:dyDescent="0.25">
      <c r="A192" s="225" t="str">
        <f>Database!A204</f>
        <v>15SAM008</v>
      </c>
      <c r="B192" s="34" t="str">
        <f>Database!E204</f>
        <v>RODIN</v>
      </c>
      <c r="C192" s="34" t="str">
        <f>Database!F204</f>
        <v>SAHA</v>
      </c>
      <c r="D192" s="34">
        <f>Database!K204</f>
        <v>264.32</v>
      </c>
      <c r="E192" s="34" t="str">
        <f>Database!P204</f>
        <v>5 mg</v>
      </c>
      <c r="F192" s="34" t="str">
        <f>Database!Q204</f>
        <v>DMSO</v>
      </c>
      <c r="G192" s="462">
        <f>Database!R204</f>
        <v>0</v>
      </c>
      <c r="H192" s="35">
        <f>Database!N204</f>
        <v>42032</v>
      </c>
    </row>
    <row r="193" spans="1:8" ht="23.25" x14ac:dyDescent="0.25">
      <c r="A193" s="225" t="str">
        <f>Database!A205</f>
        <v>15SAM009</v>
      </c>
      <c r="B193" s="34" t="str">
        <f>Database!E205</f>
        <v>RODIN</v>
      </c>
      <c r="C193" s="34" t="str">
        <f>Database!F205</f>
        <v>SAHA</v>
      </c>
      <c r="D193" s="34">
        <f>Database!K205</f>
        <v>264.32</v>
      </c>
      <c r="E193" s="34" t="str">
        <f>Database!P205</f>
        <v>5 mg</v>
      </c>
      <c r="F193" s="34" t="str">
        <f>Database!Q205</f>
        <v>DMSO</v>
      </c>
      <c r="G193" s="462">
        <f>Database!R205</f>
        <v>0</v>
      </c>
      <c r="H193" s="35">
        <f>Database!N205</f>
        <v>42032</v>
      </c>
    </row>
    <row r="194" spans="1:8" ht="23.25" x14ac:dyDescent="0.25">
      <c r="A194" s="225" t="str">
        <f>Database!A206</f>
        <v>15SAM010</v>
      </c>
      <c r="B194" s="34" t="str">
        <f>Database!E206</f>
        <v>RODIN</v>
      </c>
      <c r="C194" s="34" t="str">
        <f>Database!F206</f>
        <v>SAHA</v>
      </c>
      <c r="D194" s="34">
        <f>Database!K206</f>
        <v>264.32</v>
      </c>
      <c r="E194" s="34" t="str">
        <f>Database!P206</f>
        <v>5 mg</v>
      </c>
      <c r="F194" s="34" t="str">
        <f>Database!Q206</f>
        <v>DMSO</v>
      </c>
      <c r="G194" s="462">
        <f>Database!R206</f>
        <v>0</v>
      </c>
      <c r="H194" s="35">
        <f>Database!N206</f>
        <v>42032</v>
      </c>
    </row>
    <row r="195" spans="1:8" ht="23.25" x14ac:dyDescent="0.25">
      <c r="A195" s="225" t="str">
        <f>Database!A207</f>
        <v>15SAM011</v>
      </c>
      <c r="B195" s="34" t="str">
        <f>Database!E207</f>
        <v>RODIN</v>
      </c>
      <c r="C195" s="34" t="str">
        <f>Database!F207</f>
        <v>SAHA</v>
      </c>
      <c r="D195" s="34">
        <f>Database!K207</f>
        <v>264.32</v>
      </c>
      <c r="E195" s="34" t="str">
        <f>Database!P207</f>
        <v>5 mg</v>
      </c>
      <c r="F195" s="34" t="str">
        <f>Database!Q207</f>
        <v>DMSO</v>
      </c>
      <c r="G195" s="462">
        <f>Database!R207</f>
        <v>0</v>
      </c>
      <c r="H195" s="35">
        <f>Database!N207</f>
        <v>42032</v>
      </c>
    </row>
    <row r="196" spans="1:8" ht="30" x14ac:dyDescent="0.25">
      <c r="A196" s="225" t="str">
        <f>Database!A208</f>
        <v>15SAM012</v>
      </c>
      <c r="B196" s="34" t="str">
        <f>Database!E208</f>
        <v>RODIN</v>
      </c>
      <c r="C196" s="34" t="str">
        <f>Database!F208</f>
        <v>KDAC0001-02A</v>
      </c>
      <c r="D196" s="34">
        <f>Database!K208</f>
        <v>287.29000000000002</v>
      </c>
      <c r="E196" s="34" t="str">
        <f>Database!P208</f>
        <v>100 mg</v>
      </c>
      <c r="F196" s="34" t="str">
        <f>Database!Q208</f>
        <v>DMSO</v>
      </c>
      <c r="G196" s="462">
        <f>Database!R208</f>
        <v>0</v>
      </c>
      <c r="H196" s="35">
        <f>Database!N208</f>
        <v>42037</v>
      </c>
    </row>
    <row r="197" spans="1:8" ht="45" x14ac:dyDescent="0.25">
      <c r="A197" s="225" t="str">
        <f>Database!A209</f>
        <v>15SAM013</v>
      </c>
      <c r="B197" s="34" t="str">
        <f>Database!E209</f>
        <v xml:space="preserve">TAKEDA </v>
      </c>
      <c r="C197" s="34" t="str">
        <f>Database!F209</f>
        <v>L-803,087 trifluoroacetate</v>
      </c>
      <c r="D197" s="34">
        <f>Database!K209</f>
        <v>599.55999999999995</v>
      </c>
      <c r="E197" s="34" t="str">
        <f>Database!P209</f>
        <v>10 mg</v>
      </c>
      <c r="F197" s="34" t="str">
        <f>Database!Q209</f>
        <v>up to 100 mM DMSO</v>
      </c>
      <c r="G197" s="462">
        <f>Database!R209</f>
        <v>0</v>
      </c>
      <c r="H197" s="35">
        <f>Database!N209</f>
        <v>42038</v>
      </c>
    </row>
    <row r="198" spans="1:8" ht="23.25" x14ac:dyDescent="0.25">
      <c r="A198" s="225" t="str">
        <f>Database!A210</f>
        <v>15SAM014</v>
      </c>
      <c r="B198" s="34" t="str">
        <f>Database!E210</f>
        <v xml:space="preserve">TAKEDA </v>
      </c>
      <c r="C198" s="34" t="str">
        <f>Database!F210</f>
        <v>Retigabine</v>
      </c>
      <c r="D198" s="34">
        <f>Database!K210</f>
        <v>303.33</v>
      </c>
      <c r="E198" s="34" t="str">
        <f>Database!P210</f>
        <v>25 mg</v>
      </c>
      <c r="F198" s="34" t="str">
        <f>Database!Q210</f>
        <v>DMSO</v>
      </c>
      <c r="G198" s="462">
        <f>Database!R210</f>
        <v>0</v>
      </c>
      <c r="H198" s="35">
        <f>Database!N210</f>
        <v>42039</v>
      </c>
    </row>
    <row r="199" spans="1:8" ht="23.25" x14ac:dyDescent="0.25">
      <c r="A199" s="225" t="str">
        <f>Database!A211</f>
        <v>15SAM015</v>
      </c>
      <c r="B199" s="34" t="str">
        <f>Database!E211</f>
        <v>RODIN</v>
      </c>
      <c r="C199" s="34" t="str">
        <f>Database!F211</f>
        <v>ROD-115</v>
      </c>
      <c r="D199" s="34">
        <f>Database!K211</f>
        <v>314.36</v>
      </c>
      <c r="E199" s="34" t="str">
        <f>Database!P211</f>
        <v>106.6 mg</v>
      </c>
      <c r="F199" s="34" t="str">
        <f>Database!Q211</f>
        <v>DMSO</v>
      </c>
      <c r="G199" s="462">
        <f>Database!R211</f>
        <v>0</v>
      </c>
      <c r="H199" s="35">
        <f>Database!N211</f>
        <v>42044</v>
      </c>
    </row>
    <row r="200" spans="1:8" ht="23.25" x14ac:dyDescent="0.25">
      <c r="A200" s="225" t="str">
        <f>Database!A212</f>
        <v>15SAM016</v>
      </c>
      <c r="B200" s="34" t="str">
        <f>Database!E212</f>
        <v>RODIN</v>
      </c>
      <c r="C200" s="34" t="str">
        <f>Database!F212</f>
        <v>ROD-404</v>
      </c>
      <c r="D200" s="34">
        <f>Database!K212</f>
        <v>349.37</v>
      </c>
      <c r="E200" s="34" t="str">
        <f>Database!P212</f>
        <v>104.9 mg</v>
      </c>
      <c r="F200" s="34" t="str">
        <f>Database!Q212</f>
        <v>DMSO</v>
      </c>
      <c r="G200" s="462">
        <f>Database!R212</f>
        <v>0</v>
      </c>
      <c r="H200" s="35">
        <f>Database!N212</f>
        <v>42044</v>
      </c>
    </row>
    <row r="201" spans="1:8" ht="23.25" x14ac:dyDescent="0.25">
      <c r="A201" s="225" t="str">
        <f>Database!A213</f>
        <v>15SAM017</v>
      </c>
      <c r="B201" s="34" t="str">
        <f>Database!E213</f>
        <v>RODIN</v>
      </c>
      <c r="C201" s="34" t="str">
        <f>Database!F213</f>
        <v>ROD-462</v>
      </c>
      <c r="D201" s="34">
        <f>Database!K213</f>
        <v>299.35000000000002</v>
      </c>
      <c r="E201" s="34" t="str">
        <f>Database!P213</f>
        <v>105.5 mg</v>
      </c>
      <c r="F201" s="34" t="str">
        <f>Database!Q213</f>
        <v>DMSO</v>
      </c>
      <c r="G201" s="462">
        <f>Database!R213</f>
        <v>0</v>
      </c>
      <c r="H201" s="35">
        <f>Database!N213</f>
        <v>42044</v>
      </c>
    </row>
    <row r="202" spans="1:8" ht="30" x14ac:dyDescent="0.25">
      <c r="A202" s="225" t="str">
        <f>Database!A214</f>
        <v>15SAM018</v>
      </c>
      <c r="B202" s="34" t="str">
        <f>Database!E214</f>
        <v xml:space="preserve">TAKEDA </v>
      </c>
      <c r="C202" s="34" t="str">
        <f>Database!F214</f>
        <v>SYR 263066Z</v>
      </c>
      <c r="D202" s="34">
        <f>Database!K214</f>
        <v>438.47</v>
      </c>
      <c r="E202" s="34" t="str">
        <f>Database!P214</f>
        <v>25.63 mg</v>
      </c>
      <c r="F202" s="34" t="str">
        <f>Database!Q214</f>
        <v>DMSO</v>
      </c>
      <c r="G202" s="462">
        <f>Database!R214</f>
        <v>0</v>
      </c>
      <c r="H202" s="35">
        <f>Database!N214</f>
        <v>42047</v>
      </c>
    </row>
    <row r="203" spans="1:8" ht="30" x14ac:dyDescent="0.25">
      <c r="A203" s="225" t="str">
        <f>Database!A215</f>
        <v>15SAM019</v>
      </c>
      <c r="B203" s="34" t="str">
        <f>Database!E215</f>
        <v xml:space="preserve">TAKEDA </v>
      </c>
      <c r="C203" s="34" t="str">
        <f>Database!F215</f>
        <v>SYR 257784Z</v>
      </c>
      <c r="D203" s="34">
        <f>Database!K215</f>
        <v>421.48899999999998</v>
      </c>
      <c r="E203" s="34" t="str">
        <f>Database!P215</f>
        <v>25.68 mg</v>
      </c>
      <c r="F203" s="34" t="str">
        <f>Database!Q215</f>
        <v>DMSO</v>
      </c>
      <c r="G203" s="462">
        <f>Database!R215</f>
        <v>0</v>
      </c>
      <c r="H203" s="35">
        <f>Database!N215</f>
        <v>42047</v>
      </c>
    </row>
    <row r="204" spans="1:8" ht="30" x14ac:dyDescent="0.25">
      <c r="A204" s="225" t="str">
        <f>Database!A216</f>
        <v>15REF020</v>
      </c>
      <c r="B204" s="34" t="str">
        <f>Database!E216</f>
        <v>NEUROSERVICE</v>
      </c>
      <c r="C204" s="34" t="str">
        <f>Database!F216</f>
        <v>Kainate</v>
      </c>
      <c r="D204" s="34">
        <f>Database!K216</f>
        <v>213.23</v>
      </c>
      <c r="E204" s="34" t="str">
        <f>Database!P216</f>
        <v>25 mg</v>
      </c>
      <c r="F204" s="34" t="str">
        <f>Database!Q216</f>
        <v>H2O mQ to 25 mM</v>
      </c>
      <c r="G204" s="462">
        <f>Database!R216</f>
        <v>0</v>
      </c>
      <c r="H204" s="35">
        <f>Database!N216</f>
        <v>42047</v>
      </c>
    </row>
    <row r="205" spans="1:8" ht="45" x14ac:dyDescent="0.25">
      <c r="A205" s="225" t="str">
        <f>Database!A217</f>
        <v>15REF021</v>
      </c>
      <c r="B205" s="34" t="str">
        <f>Database!E217</f>
        <v>NEUROSERVICE</v>
      </c>
      <c r="C205" s="34" t="str">
        <f>Database!F217</f>
        <v>Phenobarbital sodium salt</v>
      </c>
      <c r="D205" s="34">
        <f>Database!K217</f>
        <v>254.22</v>
      </c>
      <c r="E205" s="34" t="str">
        <f>Database!P217</f>
        <v>25 g</v>
      </c>
      <c r="F205" s="34" t="str">
        <f>Database!Q217</f>
        <v>H2O mQ</v>
      </c>
      <c r="G205" s="462">
        <f>Database!R217</f>
        <v>0</v>
      </c>
      <c r="H205" s="35">
        <f>Database!N217</f>
        <v>42047</v>
      </c>
    </row>
    <row r="206" spans="1:8" ht="30" x14ac:dyDescent="0.25">
      <c r="A206" s="225" t="str">
        <f>Database!A218</f>
        <v>15REF022</v>
      </c>
      <c r="B206" s="34" t="str">
        <f>Database!E218</f>
        <v>NEUROSERVICE</v>
      </c>
      <c r="C206" s="34" t="str">
        <f>Database!F218</f>
        <v>NBQX</v>
      </c>
      <c r="D206" s="34">
        <f>Database!K218</f>
        <v>336.28</v>
      </c>
      <c r="E206" s="34" t="str">
        <f>Database!P218</f>
        <v>50 mg</v>
      </c>
      <c r="F206" s="34" t="str">
        <f>Database!Q218</f>
        <v>DMSO</v>
      </c>
      <c r="G206" s="462">
        <f>Database!R218</f>
        <v>0</v>
      </c>
      <c r="H206" s="35">
        <f>Database!N218</f>
        <v>42050</v>
      </c>
    </row>
    <row r="207" spans="1:8" ht="60" x14ac:dyDescent="0.25">
      <c r="A207" s="225" t="str">
        <f>Database!A219</f>
        <v>15REF023</v>
      </c>
      <c r="B207" s="34" t="str">
        <f>Database!E219</f>
        <v>NEUROSERVICE</v>
      </c>
      <c r="C207" s="34" t="str">
        <f>Database!F219</f>
        <v>Hydroxydopamine hydrobromide</v>
      </c>
      <c r="D207" s="34">
        <f>Database!K219</f>
        <v>250.09</v>
      </c>
      <c r="E207" s="34" t="str">
        <f>Database!P219</f>
        <v>50 mg</v>
      </c>
      <c r="F207" s="34" t="str">
        <f>Database!Q219</f>
        <v>Water or DMSO to 100 mM</v>
      </c>
      <c r="G207" s="462">
        <f>Database!R219</f>
        <v>0</v>
      </c>
      <c r="H207" s="35">
        <f>Database!N219</f>
        <v>42054</v>
      </c>
    </row>
    <row r="208" spans="1:8" ht="30" x14ac:dyDescent="0.25">
      <c r="A208" s="225" t="str">
        <f>Database!A220</f>
        <v>15SAM024</v>
      </c>
      <c r="B208" s="34" t="str">
        <f>Database!E220</f>
        <v>IRONWOOD</v>
      </c>
      <c r="C208" s="34" t="str">
        <f>Database!F220</f>
        <v>YC 1</v>
      </c>
      <c r="D208" s="34">
        <f>Database!K220</f>
        <v>304.33999999999997</v>
      </c>
      <c r="E208" s="34" t="str">
        <f>Database!P220</f>
        <v>10 mg</v>
      </c>
      <c r="F208" s="34" t="str">
        <f>Database!Q220</f>
        <v>DMSO to 100 mM</v>
      </c>
      <c r="G208" s="462">
        <f>Database!R220</f>
        <v>0</v>
      </c>
      <c r="H208" s="35">
        <f>Database!N220</f>
        <v>42075</v>
      </c>
    </row>
    <row r="209" spans="1:8" ht="45" x14ac:dyDescent="0.25">
      <c r="A209" s="225" t="str">
        <f>Database!A221</f>
        <v>15REF025</v>
      </c>
      <c r="B209" s="34" t="str">
        <f>Database!E221</f>
        <v>NEUROSERVICE</v>
      </c>
      <c r="C209" s="34" t="str">
        <f>Database!F221</f>
        <v>Levetiracetam</v>
      </c>
      <c r="D209" s="34">
        <f>Database!K221</f>
        <v>170.21</v>
      </c>
      <c r="E209" s="34" t="str">
        <f>Database!P221</f>
        <v>50 mg</v>
      </c>
      <c r="F209" s="34" t="str">
        <f>Database!Q221</f>
        <v>DMSO or H2O mQ to 100 mM</v>
      </c>
      <c r="G209" s="462">
        <f>Database!R221</f>
        <v>0</v>
      </c>
      <c r="H209" s="35">
        <f>Database!N221</f>
        <v>42076</v>
      </c>
    </row>
    <row r="210" spans="1:8" ht="60" x14ac:dyDescent="0.25">
      <c r="A210" s="225" t="str">
        <f>Database!A222</f>
        <v>15SAM026</v>
      </c>
      <c r="B210" s="34" t="str">
        <f>Database!E222</f>
        <v>IRONWOOD</v>
      </c>
      <c r="C210" s="34" t="str">
        <f>Database!F222</f>
        <v>Diethylamine NONOate sodium salt</v>
      </c>
      <c r="D210" s="34">
        <f>Database!K222</f>
        <v>155.13</v>
      </c>
      <c r="E210" s="34" t="str">
        <f>Database!P222</f>
        <v>25 mg</v>
      </c>
      <c r="F210" s="34" t="str">
        <f>Database!Q222</f>
        <v>H2O mQ</v>
      </c>
      <c r="G210" s="462">
        <f>Database!R222</f>
        <v>0</v>
      </c>
      <c r="H210" s="35">
        <f>Database!N222</f>
        <v>42076</v>
      </c>
    </row>
    <row r="211" spans="1:8" ht="30" x14ac:dyDescent="0.25">
      <c r="A211" s="225" t="str">
        <f>Database!A223</f>
        <v>15SAM027</v>
      </c>
      <c r="B211" s="34" t="str">
        <f>Database!E223</f>
        <v>IRONWOOD</v>
      </c>
      <c r="C211" s="34" t="str">
        <f>Database!F223</f>
        <v>8-pCPT-cGMP</v>
      </c>
      <c r="D211" s="34">
        <f>Database!K223</f>
        <v>509.79</v>
      </c>
      <c r="E211" s="34" t="str">
        <f>Database!P223</f>
        <v>50 mg</v>
      </c>
      <c r="F211" s="34" t="str">
        <f>Database!Q223</f>
        <v>H2O mQ  25 mg/ml</v>
      </c>
      <c r="G211" s="462">
        <f>Database!R223</f>
        <v>0</v>
      </c>
      <c r="H211" s="35">
        <f>Database!N223</f>
        <v>42079</v>
      </c>
    </row>
    <row r="212" spans="1:8" ht="60" x14ac:dyDescent="0.25">
      <c r="A212" s="225" t="str">
        <f>Database!A224</f>
        <v>15SAM028</v>
      </c>
      <c r="B212" s="34" t="str">
        <f>Database!E224</f>
        <v>FORUM PHARMA</v>
      </c>
      <c r="C212" s="34" t="str">
        <f>Database!F224</f>
        <v>PNU 282987</v>
      </c>
      <c r="D212" s="34">
        <f>Database!K224</f>
        <v>264.75</v>
      </c>
      <c r="E212" s="34" t="str">
        <f>Database!P224</f>
        <v>10 mg</v>
      </c>
      <c r="F212" s="34" t="str">
        <f>Database!Q224</f>
        <v>eq HCL to 100 mM or DMSO to 100 mM</v>
      </c>
      <c r="G212" s="462">
        <f>Database!R224</f>
        <v>0</v>
      </c>
      <c r="H212" s="35">
        <f>Database!N224</f>
        <v>42079</v>
      </c>
    </row>
    <row r="213" spans="1:8" ht="23.25" x14ac:dyDescent="0.25">
      <c r="A213" s="225" t="str">
        <f>Database!A225</f>
        <v>15SAM029</v>
      </c>
      <c r="B213" s="34" t="str">
        <f>Database!E225</f>
        <v xml:space="preserve">TAKEDA </v>
      </c>
      <c r="C213" s="34" t="str">
        <f>Database!F225</f>
        <v>SYR246514Z</v>
      </c>
      <c r="D213" s="34">
        <f>Database!K225</f>
        <v>502.65</v>
      </c>
      <c r="E213" s="34" t="str">
        <f>Database!P225</f>
        <v>4.13 mg</v>
      </c>
      <c r="F213" s="34" t="str">
        <f>Database!Q225</f>
        <v>DMSO</v>
      </c>
      <c r="G213" s="462">
        <f>Database!R225</f>
        <v>0</v>
      </c>
      <c r="H213" s="35">
        <f>Database!N225</f>
        <v>42089</v>
      </c>
    </row>
    <row r="214" spans="1:8" ht="30" x14ac:dyDescent="0.25">
      <c r="A214" s="225" t="str">
        <f>Database!A226</f>
        <v>15SAM030</v>
      </c>
      <c r="B214" s="34" t="str">
        <f>Database!E226</f>
        <v>ROCHE</v>
      </c>
      <c r="C214" s="34" t="str">
        <f>Database!F226</f>
        <v>4-AP</v>
      </c>
      <c r="D214" s="34">
        <f>Database!K226</f>
        <v>94.12</v>
      </c>
      <c r="E214" s="34" t="str">
        <f>Database!P226</f>
        <v>100 mg</v>
      </c>
      <c r="F214" s="34" t="str">
        <f>Database!Q226</f>
        <v>water to 100 mM</v>
      </c>
      <c r="G214" s="462">
        <f>Database!R226</f>
        <v>0</v>
      </c>
      <c r="H214" s="35">
        <f>Database!N226</f>
        <v>42094</v>
      </c>
    </row>
    <row r="215" spans="1:8" ht="30" x14ac:dyDescent="0.25">
      <c r="A215" s="225" t="str">
        <f>Database!A227</f>
        <v>15SAM031</v>
      </c>
      <c r="B215" s="34" t="str">
        <f>Database!E227</f>
        <v>ROCHE</v>
      </c>
      <c r="C215" s="34" t="str">
        <f>Database!F227</f>
        <v>4-AP</v>
      </c>
      <c r="D215" s="34">
        <f>Database!K227</f>
        <v>94.12</v>
      </c>
      <c r="E215" s="34" t="str">
        <f>Database!P227</f>
        <v>100 mg</v>
      </c>
      <c r="F215" s="34" t="str">
        <f>Database!Q227</f>
        <v>water to 100 mM</v>
      </c>
      <c r="G215" s="462">
        <f>Database!R227</f>
        <v>0</v>
      </c>
      <c r="H215" s="35">
        <f>Database!N227</f>
        <v>42094</v>
      </c>
    </row>
    <row r="216" spans="1:8" ht="30" x14ac:dyDescent="0.25">
      <c r="A216" s="225" t="str">
        <f>Database!A228</f>
        <v>15SAM032</v>
      </c>
      <c r="B216" s="34" t="str">
        <f>Database!E228</f>
        <v>ROCHE</v>
      </c>
      <c r="C216" s="34" t="str">
        <f>Database!F228</f>
        <v>4-AP</v>
      </c>
      <c r="D216" s="34">
        <f>Database!K228</f>
        <v>94.12</v>
      </c>
      <c r="E216" s="34" t="str">
        <f>Database!P228</f>
        <v>100 mg</v>
      </c>
      <c r="F216" s="34" t="str">
        <f>Database!Q228</f>
        <v>water to 100 mM</v>
      </c>
      <c r="G216" s="462">
        <f>Database!R228</f>
        <v>0</v>
      </c>
      <c r="H216" s="35">
        <f>Database!N228</f>
        <v>42094</v>
      </c>
    </row>
    <row r="217" spans="1:8" ht="30" x14ac:dyDescent="0.25">
      <c r="A217" s="225" t="str">
        <f>Database!A229</f>
        <v>15SAM033</v>
      </c>
      <c r="B217" s="34" t="str">
        <f>Database!E229</f>
        <v>ROCHE</v>
      </c>
      <c r="C217" s="34" t="str">
        <f>Database!F229</f>
        <v>Picrotoxin</v>
      </c>
      <c r="D217" s="34">
        <f>Database!K229</f>
        <v>602.58000000000004</v>
      </c>
      <c r="E217" s="34" t="str">
        <f>Database!P229</f>
        <v>1 g</v>
      </c>
      <c r="F217" s="34" t="str">
        <f>Database!Q229</f>
        <v>DMSO / EtOH</v>
      </c>
      <c r="G217" s="462">
        <f>Database!R229</f>
        <v>0</v>
      </c>
      <c r="H217" s="35">
        <f>Database!N229</f>
        <v>42095</v>
      </c>
    </row>
    <row r="218" spans="1:8" ht="30" x14ac:dyDescent="0.25">
      <c r="A218" s="225" t="str">
        <f>Database!A230</f>
        <v>15SAM034</v>
      </c>
      <c r="B218" s="34" t="str">
        <f>Database!E230</f>
        <v>ROCHE</v>
      </c>
      <c r="C218" s="34" t="str">
        <f>Database!F230</f>
        <v>Carbamazepine</v>
      </c>
      <c r="D218" s="34">
        <f>Database!K230</f>
        <v>236.27</v>
      </c>
      <c r="E218" s="34" t="str">
        <f>Database!P230</f>
        <v>1 g</v>
      </c>
      <c r="F218" s="34" t="str">
        <f>Database!Q230</f>
        <v>DMSO</v>
      </c>
      <c r="G218" s="462">
        <f>Database!R230</f>
        <v>0</v>
      </c>
      <c r="H218" s="35">
        <f>Database!N230</f>
        <v>42095</v>
      </c>
    </row>
    <row r="219" spans="1:8" ht="23.25" x14ac:dyDescent="0.25">
      <c r="A219" s="225" t="str">
        <f>Database!A231</f>
        <v>15SAM035</v>
      </c>
      <c r="B219" s="34" t="str">
        <f>Database!E231</f>
        <v>ROCHE</v>
      </c>
      <c r="C219" s="34" t="str">
        <f>Database!F231</f>
        <v>Phenytoin</v>
      </c>
      <c r="D219" s="34">
        <f>Database!K231</f>
        <v>252.27</v>
      </c>
      <c r="E219" s="34" t="str">
        <f>Database!P231</f>
        <v>5 g</v>
      </c>
      <c r="F219" s="34" t="str">
        <f>Database!Q231</f>
        <v>DMSO</v>
      </c>
      <c r="G219" s="462">
        <f>Database!R231</f>
        <v>0</v>
      </c>
      <c r="H219" s="35">
        <f>Database!N231</f>
        <v>42096</v>
      </c>
    </row>
    <row r="220" spans="1:8" ht="30" x14ac:dyDescent="0.25">
      <c r="A220" s="225" t="str">
        <f>Database!A232</f>
        <v>15REF036</v>
      </c>
      <c r="B220" s="34" t="str">
        <f>Database!E232</f>
        <v>NEUROSERVICE</v>
      </c>
      <c r="C220" s="34" t="str">
        <f>Database!F232</f>
        <v>Sodium Pyruvate</v>
      </c>
      <c r="D220" s="34">
        <f>Database!K232</f>
        <v>110.04</v>
      </c>
      <c r="E220" s="34" t="str">
        <f>Database!P232</f>
        <v>25 g</v>
      </c>
      <c r="F220" s="34">
        <f>Database!Q232</f>
        <v>0</v>
      </c>
      <c r="G220" s="462">
        <f>Database!R232</f>
        <v>0</v>
      </c>
      <c r="H220" s="35">
        <f>Database!N232</f>
        <v>42101</v>
      </c>
    </row>
    <row r="221" spans="1:8" ht="45" x14ac:dyDescent="0.25">
      <c r="A221" s="225" t="str">
        <f>Database!A233</f>
        <v>15REF037</v>
      </c>
      <c r="B221" s="34" t="str">
        <f>Database!E233</f>
        <v>NEUROSERVICE</v>
      </c>
      <c r="C221" s="34" t="str">
        <f>Database!F233</f>
        <v>Dopamine Hydrochloride</v>
      </c>
      <c r="D221" s="34">
        <f>Database!K233</f>
        <v>189.64</v>
      </c>
      <c r="E221" s="34" t="str">
        <f>Database!P233</f>
        <v>5 g</v>
      </c>
      <c r="F221" s="34" t="str">
        <f>Database!Q233</f>
        <v xml:space="preserve">H2O mQ </v>
      </c>
      <c r="G221" s="462">
        <f>Database!R233</f>
        <v>0</v>
      </c>
      <c r="H221" s="35">
        <f>Database!N233</f>
        <v>42101</v>
      </c>
    </row>
    <row r="222" spans="1:8" ht="30" x14ac:dyDescent="0.25">
      <c r="A222" s="225" t="str">
        <f>Database!A234</f>
        <v>15SAM038</v>
      </c>
      <c r="B222" s="34" t="str">
        <f>Database!E234</f>
        <v>FORUM PHARMA</v>
      </c>
      <c r="C222" s="34" t="str">
        <f>Database!F234</f>
        <v>FRM-0017874</v>
      </c>
      <c r="D222" s="34">
        <f>Database!K234</f>
        <v>304.38229999999999</v>
      </c>
      <c r="E222" s="34" t="str">
        <f>Database!P234</f>
        <v>3.2 mg</v>
      </c>
      <c r="F222" s="34" t="str">
        <f>Database!Q234</f>
        <v>DMSO</v>
      </c>
      <c r="G222" s="462">
        <f>Database!R234</f>
        <v>0</v>
      </c>
      <c r="H222" s="35">
        <f>Database!N234</f>
        <v>42103</v>
      </c>
    </row>
    <row r="223" spans="1:8" ht="30" x14ac:dyDescent="0.25">
      <c r="A223" s="225" t="str">
        <f>Database!A235</f>
        <v>15SAM039</v>
      </c>
      <c r="B223" s="34" t="str">
        <f>Database!E235</f>
        <v>NEUROCRINE</v>
      </c>
      <c r="C223" s="34" t="str">
        <f>Database!F235</f>
        <v>AF-DX 116</v>
      </c>
      <c r="D223" s="34">
        <f>Database!K235</f>
        <v>421.54</v>
      </c>
      <c r="E223" s="34" t="str">
        <f>Database!P235</f>
        <v>50 mg</v>
      </c>
      <c r="F223" s="34" t="str">
        <f>Database!Q235</f>
        <v>DMSO to 25 mM</v>
      </c>
      <c r="G223" s="462">
        <f>Database!R235</f>
        <v>0</v>
      </c>
      <c r="H223" s="35">
        <f>Database!N235</f>
        <v>42116</v>
      </c>
    </row>
    <row r="224" spans="1:8" ht="60" x14ac:dyDescent="0.25">
      <c r="A224" s="225" t="str">
        <f>Database!A236</f>
        <v>15SAM040</v>
      </c>
      <c r="B224" s="34" t="str">
        <f>Database!E236</f>
        <v>NEUROCRINE</v>
      </c>
      <c r="C224" s="34" t="str">
        <f>Database!F236</f>
        <v>Pirenzepine dihydrochloride</v>
      </c>
      <c r="D224" s="34">
        <f>Database!K236</f>
        <v>442.34</v>
      </c>
      <c r="E224" s="34" t="str">
        <f>Database!P236</f>
        <v>100 mg</v>
      </c>
      <c r="F224" s="34" t="str">
        <f>Database!Q236</f>
        <v>H2O mQ to 100 mM</v>
      </c>
      <c r="G224" s="462">
        <f>Database!R236</f>
        <v>0</v>
      </c>
      <c r="H224" s="35">
        <f>Database!N236</f>
        <v>42116</v>
      </c>
    </row>
    <row r="225" spans="1:8" ht="60" x14ac:dyDescent="0.25">
      <c r="A225" s="225" t="str">
        <f>Database!A237</f>
        <v>15SAM041</v>
      </c>
      <c r="B225" s="34" t="str">
        <f>Database!E237</f>
        <v>NEUROCRINE</v>
      </c>
      <c r="C225" s="34" t="str">
        <f>Database!F237</f>
        <v>Oxotremorine sesquifumarate</v>
      </c>
      <c r="D225" s="34">
        <f>Database!K237</f>
        <v>380.4</v>
      </c>
      <c r="E225" s="34" t="str">
        <f>Database!P237</f>
        <v>100 mg</v>
      </c>
      <c r="F225" s="34" t="str">
        <f>Database!Q237</f>
        <v>DMSO to 100 mM H2O mQ to 25 mM</v>
      </c>
      <c r="G225" s="462">
        <f>Database!R237</f>
        <v>0</v>
      </c>
      <c r="H225" s="35">
        <f>Database!N237</f>
        <v>42116</v>
      </c>
    </row>
    <row r="226" spans="1:8" ht="30" x14ac:dyDescent="0.25">
      <c r="A226" s="225" t="str">
        <f>Database!A238</f>
        <v>15SAM042</v>
      </c>
      <c r="B226" s="34" t="str">
        <f>Database!E238</f>
        <v>NEUROCRINE</v>
      </c>
      <c r="C226" s="34" t="str">
        <f>Database!F238</f>
        <v>NBI673721-3</v>
      </c>
      <c r="D226" s="34">
        <f>Database!K238</f>
        <v>526.04</v>
      </c>
      <c r="E226" s="34" t="str">
        <f>Database!P238</f>
        <v>75 mg</v>
      </c>
      <c r="F226" s="34" t="str">
        <f>Database!Q238</f>
        <v>DMSO to 10 mM</v>
      </c>
      <c r="G226" s="462">
        <f>Database!R238</f>
        <v>0</v>
      </c>
      <c r="H226" s="35">
        <f>Database!N238</f>
        <v>42116</v>
      </c>
    </row>
    <row r="227" spans="1:8" ht="30" x14ac:dyDescent="0.25">
      <c r="A227" s="225" t="str">
        <f>Database!A239</f>
        <v>15SAM043</v>
      </c>
      <c r="B227" s="34" t="str">
        <f>Database!E239</f>
        <v>NEUROCRINE</v>
      </c>
      <c r="C227" s="34" t="str">
        <f>Database!F239</f>
        <v>NBI-675673-6</v>
      </c>
      <c r="D227" s="34">
        <f>Database!K239</f>
        <v>527.03</v>
      </c>
      <c r="E227" s="34" t="str">
        <f>Database!P239</f>
        <v>67 mg</v>
      </c>
      <c r="F227" s="34" t="str">
        <f>Database!Q239</f>
        <v>DMSO to 10 mM</v>
      </c>
      <c r="G227" s="462">
        <f>Database!R239</f>
        <v>0</v>
      </c>
      <c r="H227" s="35">
        <f>Database!N239</f>
        <v>42116</v>
      </c>
    </row>
    <row r="228" spans="1:8" ht="30" x14ac:dyDescent="0.25">
      <c r="A228" s="225" t="str">
        <f>Database!A240</f>
        <v>15REF044</v>
      </c>
      <c r="B228" s="34" t="str">
        <f>Database!E240</f>
        <v>NEUROSERVICE</v>
      </c>
      <c r="C228" s="34" t="str">
        <f>Database!F240</f>
        <v>Carbachol</v>
      </c>
      <c r="D228" s="34">
        <f>Database!K240</f>
        <v>182.65</v>
      </c>
      <c r="E228" s="34" t="str">
        <f>Database!P240</f>
        <v>1 g</v>
      </c>
      <c r="F228" s="34" t="str">
        <f>Database!Q240</f>
        <v>H2O mQ to 1g/mL</v>
      </c>
      <c r="G228" s="462">
        <f>Database!R240</f>
        <v>0</v>
      </c>
      <c r="H228" s="35">
        <f>Database!N240</f>
        <v>42116</v>
      </c>
    </row>
    <row r="229" spans="1:8" ht="45" x14ac:dyDescent="0.25">
      <c r="A229" s="225" t="str">
        <f>Database!A241</f>
        <v>15REF045</v>
      </c>
      <c r="B229" s="34" t="str">
        <f>Database!E241</f>
        <v>NEUROSERVICE</v>
      </c>
      <c r="C229" s="34" t="str">
        <f>Database!F241</f>
        <v>Serotonin hydrochloride</v>
      </c>
      <c r="D229" s="34">
        <f>Database!K241</f>
        <v>212.68</v>
      </c>
      <c r="E229" s="34" t="str">
        <f>Database!P241</f>
        <v>100 mg</v>
      </c>
      <c r="F229" s="34" t="str">
        <f>Database!Q241</f>
        <v>H2O mQ to 17mg/mL</v>
      </c>
      <c r="G229" s="462">
        <f>Database!R241</f>
        <v>0</v>
      </c>
      <c r="H229" s="35">
        <f>Database!N241</f>
        <v>42122</v>
      </c>
    </row>
    <row r="230" spans="1:8" ht="30" x14ac:dyDescent="0.25">
      <c r="A230" s="225" t="str">
        <f>Database!A242</f>
        <v>15REF046</v>
      </c>
      <c r="B230" s="34" t="str">
        <f>Database!E242</f>
        <v>NEUROSERVICE</v>
      </c>
      <c r="C230" s="34" t="str">
        <f>Database!F242</f>
        <v>Tropicamide</v>
      </c>
      <c r="D230" s="34">
        <f>Database!K242</f>
        <v>284.36</v>
      </c>
      <c r="E230" s="34" t="str">
        <f>Database!P242</f>
        <v>100 mg</v>
      </c>
      <c r="F230" s="34" t="str">
        <f>Database!Q242</f>
        <v>100 mM in DMSO</v>
      </c>
      <c r="G230" s="462">
        <f>Database!R242</f>
        <v>0</v>
      </c>
      <c r="H230" s="35">
        <f>Database!N242</f>
        <v>42122</v>
      </c>
    </row>
    <row r="231" spans="1:8" ht="30" x14ac:dyDescent="0.25">
      <c r="A231" s="225" t="str">
        <f>Database!A243</f>
        <v>15REF047</v>
      </c>
      <c r="B231" s="34" t="str">
        <f>Database!E243</f>
        <v>NEUROSERVICE</v>
      </c>
      <c r="C231" s="34" t="str">
        <f>Database!F243</f>
        <v xml:space="preserve">Kainate </v>
      </c>
      <c r="D231" s="34">
        <f>Database!K243</f>
        <v>213.23</v>
      </c>
      <c r="E231" s="34" t="str">
        <f>Database!P243</f>
        <v>50 mg</v>
      </c>
      <c r="F231" s="34" t="str">
        <f>Database!Q243</f>
        <v>H2O mQ to 25 mM</v>
      </c>
      <c r="G231" s="462">
        <f>Database!R243</f>
        <v>0</v>
      </c>
      <c r="H231" s="35">
        <f>Database!N243</f>
        <v>42122</v>
      </c>
    </row>
    <row r="232" spans="1:8" ht="30" x14ac:dyDescent="0.25">
      <c r="A232" s="225" t="str">
        <f>Database!A244</f>
        <v>15REF048</v>
      </c>
      <c r="B232" s="34" t="str">
        <f>Database!E244</f>
        <v>NEUROSERVICE</v>
      </c>
      <c r="C232" s="34" t="str">
        <f>Database!F244</f>
        <v>NBQX</v>
      </c>
      <c r="D232" s="34">
        <f>Database!K244</f>
        <v>340.78</v>
      </c>
      <c r="E232" s="34" t="str">
        <f>Database!P244</f>
        <v>50 mg</v>
      </c>
      <c r="F232" s="34" t="str">
        <f>Database!Q244</f>
        <v>100 mM in DMSO</v>
      </c>
      <c r="G232" s="462">
        <f>Database!R244</f>
        <v>0</v>
      </c>
      <c r="H232" s="35">
        <f>Database!N244</f>
        <v>42122</v>
      </c>
    </row>
    <row r="233" spans="1:8" ht="30" x14ac:dyDescent="0.25">
      <c r="A233" s="225" t="str">
        <f>Database!A245</f>
        <v>15SAM049</v>
      </c>
      <c r="B233" s="34" t="str">
        <f>Database!E245</f>
        <v>ROCHE</v>
      </c>
      <c r="C233" s="34" t="str">
        <f>Database!F245</f>
        <v>RO2</v>
      </c>
      <c r="D233" s="34">
        <f>Database!K245</f>
        <v>445.46899999999999</v>
      </c>
      <c r="E233" s="34" t="str">
        <f>Database!P245</f>
        <v>34.56 mg</v>
      </c>
      <c r="F233" s="34" t="str">
        <f>Database!Q245</f>
        <v>10 Mm in DMSO</v>
      </c>
      <c r="G233" s="462">
        <f>Database!R245</f>
        <v>0</v>
      </c>
      <c r="H233" s="35">
        <f>Database!N245</f>
        <v>42123</v>
      </c>
    </row>
    <row r="234" spans="1:8" ht="45" x14ac:dyDescent="0.25">
      <c r="A234" s="225" t="str">
        <f>Database!A246</f>
        <v>15REF050</v>
      </c>
      <c r="B234" s="34" t="str">
        <f>Database!E246</f>
        <v>CROSSBETA</v>
      </c>
      <c r="C234" s="34" t="str">
        <f>Database!F246</f>
        <v>Aβ1-42 oligomers</v>
      </c>
      <c r="D234" s="34">
        <f>Database!K246</f>
        <v>0</v>
      </c>
      <c r="E234" s="34" t="str">
        <f>Database!P246</f>
        <v>20*1ml</v>
      </c>
      <c r="F234" s="34" t="str">
        <f>Database!Q246</f>
        <v>100 nM in PBS + 02M sucrose</v>
      </c>
      <c r="G234" s="462">
        <f>Database!R246</f>
        <v>0</v>
      </c>
      <c r="H234" s="35">
        <f>Database!N246</f>
        <v>42128</v>
      </c>
    </row>
    <row r="235" spans="1:8" ht="45" x14ac:dyDescent="0.25">
      <c r="A235" s="225" t="str">
        <f>Database!A247</f>
        <v>15SAM051</v>
      </c>
      <c r="B235" s="34" t="str">
        <f>Database!E247</f>
        <v>ROCHE</v>
      </c>
      <c r="C235" s="34" t="str">
        <f>Database!F247</f>
        <v>Midazolam Hydrochloride</v>
      </c>
      <c r="D235" s="34">
        <f>Database!K247</f>
        <v>362.23</v>
      </c>
      <c r="E235" s="34" t="str">
        <f>Database!P247</f>
        <v>50 mg</v>
      </c>
      <c r="F235" s="34" t="str">
        <f>Database!Q247</f>
        <v>H2O mQ to 25 mM</v>
      </c>
      <c r="G235" s="462">
        <f>Database!R247</f>
        <v>0</v>
      </c>
      <c r="H235" s="35">
        <f>Database!N247</f>
        <v>42136</v>
      </c>
    </row>
    <row r="236" spans="1:8" ht="45" x14ac:dyDescent="0.25">
      <c r="A236" s="225" t="str">
        <f>Database!A248</f>
        <v>15SAM052</v>
      </c>
      <c r="B236" s="34" t="str">
        <f>Database!E248</f>
        <v>ROCHE</v>
      </c>
      <c r="C236" s="34" t="str">
        <f>Database!F248</f>
        <v>Midazolam Hydrochloride</v>
      </c>
      <c r="D236" s="34">
        <f>Database!K248</f>
        <v>362.23</v>
      </c>
      <c r="E236" s="34" t="str">
        <f>Database!P248</f>
        <v>50 mg</v>
      </c>
      <c r="F236" s="34" t="str">
        <f>Database!Q248</f>
        <v>H2O mQ to 25 mM</v>
      </c>
      <c r="G236" s="462">
        <f>Database!R248</f>
        <v>0</v>
      </c>
      <c r="H236" s="35">
        <f>Database!N248</f>
        <v>42136</v>
      </c>
    </row>
    <row r="237" spans="1:8" ht="30" x14ac:dyDescent="0.25">
      <c r="A237" s="225" t="str">
        <f>Database!A249</f>
        <v>15REF053</v>
      </c>
      <c r="B237" s="34" t="str">
        <f>Database!E249</f>
        <v>NEUROSERVICE</v>
      </c>
      <c r="C237" s="34" t="str">
        <f>Database!F249</f>
        <v>NBQX</v>
      </c>
      <c r="D237" s="34">
        <f>Database!K249</f>
        <v>340.78</v>
      </c>
      <c r="E237" s="34" t="str">
        <f>Database!P249</f>
        <v>50 mg</v>
      </c>
      <c r="F237" s="34" t="str">
        <f>Database!Q249</f>
        <v>DMSO</v>
      </c>
      <c r="G237" s="462">
        <f>Database!R249</f>
        <v>0</v>
      </c>
      <c r="H237" s="35">
        <f>Database!N249</f>
        <v>42151</v>
      </c>
    </row>
    <row r="238" spans="1:8" ht="30" x14ac:dyDescent="0.25">
      <c r="A238" s="225" t="str">
        <f>Database!A250</f>
        <v>15REF054</v>
      </c>
      <c r="B238" s="34" t="str">
        <f>Database!E250</f>
        <v>NEUROSERVICE</v>
      </c>
      <c r="C238" s="34" t="str">
        <f>Database!F250</f>
        <v>NBQX</v>
      </c>
      <c r="D238" s="34">
        <f>Database!K250</f>
        <v>340.78</v>
      </c>
      <c r="E238" s="34" t="str">
        <f>Database!P250</f>
        <v>50 mg</v>
      </c>
      <c r="F238" s="34" t="str">
        <f>Database!Q250</f>
        <v>DMSO</v>
      </c>
      <c r="G238" s="462">
        <f>Database!R250</f>
        <v>0</v>
      </c>
      <c r="H238" s="35">
        <f>Database!N250</f>
        <v>42131</v>
      </c>
    </row>
    <row r="239" spans="1:8" ht="60" x14ac:dyDescent="0.25">
      <c r="A239" s="225" t="str">
        <f>Database!A251</f>
        <v>15SAM055</v>
      </c>
      <c r="B239" s="34" t="str">
        <f>Database!E251</f>
        <v xml:space="preserve">TAKEDA </v>
      </c>
      <c r="C239" s="34" t="str">
        <f>Database!F251</f>
        <v>norepinephrine bitartrate salt</v>
      </c>
      <c r="D239" s="34">
        <f>Database!K251</f>
        <v>319.26</v>
      </c>
      <c r="E239" s="34" t="str">
        <f>Database!P251</f>
        <v>1 000 mg</v>
      </c>
      <c r="F239" s="34" t="str">
        <f>Database!Q251</f>
        <v>H2O mQ</v>
      </c>
      <c r="G239" s="462">
        <f>Database!R251</f>
        <v>0</v>
      </c>
      <c r="H239" s="35">
        <f>Database!N251</f>
        <v>42164</v>
      </c>
    </row>
    <row r="240" spans="1:8" ht="30" x14ac:dyDescent="0.25">
      <c r="A240" s="225" t="str">
        <f>Database!A252</f>
        <v>15REF056</v>
      </c>
      <c r="B240" s="34" t="str">
        <f>Database!E252</f>
        <v>NEUROSERVICE</v>
      </c>
      <c r="C240" s="34" t="str">
        <f>Database!F252</f>
        <v>4-AP</v>
      </c>
      <c r="D240" s="34">
        <f>Database!K252</f>
        <v>94.11</v>
      </c>
      <c r="E240" s="34" t="str">
        <f>Database!P252</f>
        <v>1 000 mg</v>
      </c>
      <c r="F240" s="34" t="str">
        <f>Database!Q252</f>
        <v>H2O mQ</v>
      </c>
      <c r="G240" s="462">
        <f>Database!R252</f>
        <v>0</v>
      </c>
      <c r="H240" s="35">
        <f>Database!N252</f>
        <v>42164</v>
      </c>
    </row>
    <row r="241" spans="1:8" ht="60" x14ac:dyDescent="0.25">
      <c r="A241" s="225" t="str">
        <f>Database!A253</f>
        <v>15SAM057</v>
      </c>
      <c r="B241" s="34" t="str">
        <f>Database!E253</f>
        <v>AstraZeneca</v>
      </c>
      <c r="C241" s="34" t="str">
        <f>Database!F253</f>
        <v>AZ13792713-004 (SN1053436162)</v>
      </c>
      <c r="D241" s="34">
        <f>Database!K253</f>
        <v>437.52</v>
      </c>
      <c r="E241" s="34" t="str">
        <f>Database!P253</f>
        <v>201 mg</v>
      </c>
      <c r="F241" s="34" t="str">
        <f>Database!Q253</f>
        <v>DMSO</v>
      </c>
      <c r="G241" s="462">
        <f>Database!R253</f>
        <v>0</v>
      </c>
      <c r="H241" s="35">
        <f>Database!N253</f>
        <v>42178</v>
      </c>
    </row>
    <row r="242" spans="1:8" ht="60" x14ac:dyDescent="0.25">
      <c r="A242" s="225" t="str">
        <f>Database!A254</f>
        <v>15SAM058</v>
      </c>
      <c r="B242" s="34" t="str">
        <f>Database!E254</f>
        <v>AstraZeneca</v>
      </c>
      <c r="C242" s="34" t="str">
        <f>Database!F254</f>
        <v>AZ13791971-007 (SN1052972876)</v>
      </c>
      <c r="D242" s="34">
        <f>Database!K254</f>
        <v>477.58</v>
      </c>
      <c r="E242" s="34" t="str">
        <f>Database!P254</f>
        <v>200.3 mg</v>
      </c>
      <c r="F242" s="34" t="str">
        <f>Database!Q254</f>
        <v>DMSO</v>
      </c>
      <c r="G242" s="462">
        <f>Database!R254</f>
        <v>0</v>
      </c>
      <c r="H242" s="35">
        <f>Database!N254</f>
        <v>42178</v>
      </c>
    </row>
    <row r="243" spans="1:8" ht="60" x14ac:dyDescent="0.25">
      <c r="A243" s="225" t="str">
        <f>Database!A255</f>
        <v>15SAM059</v>
      </c>
      <c r="B243" s="34" t="str">
        <f>Database!E255</f>
        <v>AstraZeneca</v>
      </c>
      <c r="C243" s="34" t="str">
        <f>Database!F255</f>
        <v>AZ13719391-004 (SN1053435138)</v>
      </c>
      <c r="D243" s="34">
        <f>Database!K255</f>
        <v>434.52</v>
      </c>
      <c r="E243" s="34" t="str">
        <f>Database!P255</f>
        <v>200.8 mg</v>
      </c>
      <c r="F243" s="34" t="str">
        <f>Database!Q255</f>
        <v>H2O mQ 100 mM HCl</v>
      </c>
      <c r="G243" s="462">
        <f>Database!R255</f>
        <v>0</v>
      </c>
      <c r="H243" s="35">
        <f>Database!N255</f>
        <v>42178</v>
      </c>
    </row>
    <row r="244" spans="1:8" ht="45" x14ac:dyDescent="0.25">
      <c r="A244" s="225" t="str">
        <f>Database!A256</f>
        <v>15SAM060</v>
      </c>
      <c r="B244" s="34" t="str">
        <f>Database!E256</f>
        <v xml:space="preserve">TAKEDA </v>
      </c>
      <c r="C244" s="34" t="str">
        <f>Database!F256</f>
        <v>ICI118,551 hydrochloride</v>
      </c>
      <c r="D244" s="34">
        <f>Database!K256</f>
        <v>313.87</v>
      </c>
      <c r="E244" s="34" t="str">
        <f>Database!P256</f>
        <v>10 mg</v>
      </c>
      <c r="F244" s="34" t="str">
        <f>Database!Q256</f>
        <v>DMSO/ H2O mQ to 10 mM</v>
      </c>
      <c r="G244" s="462">
        <f>Database!R256</f>
        <v>0</v>
      </c>
      <c r="H244" s="35">
        <f>Database!N256</f>
        <v>42186</v>
      </c>
    </row>
    <row r="245" spans="1:8" ht="30" x14ac:dyDescent="0.25">
      <c r="A245" s="225" t="str">
        <f>Database!A257</f>
        <v>15SAM061</v>
      </c>
      <c r="B245" s="34" t="str">
        <f>Database!E257</f>
        <v>Takeda</v>
      </c>
      <c r="C245" s="34" t="str">
        <f>Database!F257</f>
        <v>SYR263066Z</v>
      </c>
      <c r="D245" s="34">
        <f>Database!K257</f>
        <v>438.47</v>
      </c>
      <c r="E245" s="34" t="str">
        <f>Database!P257</f>
        <v>24.46 mg</v>
      </c>
      <c r="F245" s="34" t="str">
        <f>Database!Q257</f>
        <v>up to 30 mM DMSO</v>
      </c>
      <c r="G245" s="462">
        <f>Database!R257</f>
        <v>0</v>
      </c>
      <c r="H245" s="35">
        <f>Database!N257</f>
        <v>42215</v>
      </c>
    </row>
    <row r="246" spans="1:8" ht="30" x14ac:dyDescent="0.25">
      <c r="A246" s="225" t="str">
        <f>Database!A258</f>
        <v>15SAM062</v>
      </c>
      <c r="B246" s="34" t="str">
        <f>Database!E258</f>
        <v>Takeda</v>
      </c>
      <c r="C246" s="34" t="str">
        <f>Database!F258</f>
        <v>SYR257784Z</v>
      </c>
      <c r="D246" s="34">
        <f>Database!K258</f>
        <v>421.48899999999998</v>
      </c>
      <c r="E246" s="34" t="str">
        <f>Database!P258</f>
        <v>29.81 mg</v>
      </c>
      <c r="F246" s="34" t="str">
        <f>Database!Q258</f>
        <v>up to 30 mM DMSO</v>
      </c>
      <c r="G246" s="462">
        <f>Database!R258</f>
        <v>0</v>
      </c>
      <c r="H246" s="35">
        <f>Database!N258</f>
        <v>42215</v>
      </c>
    </row>
    <row r="247" spans="1:8" ht="45" x14ac:dyDescent="0.25">
      <c r="A247" s="225" t="str">
        <f>Database!A259</f>
        <v>15SAM063</v>
      </c>
      <c r="B247" s="34" t="str">
        <f>Database!E259</f>
        <v>Takeda</v>
      </c>
      <c r="C247" s="34" t="str">
        <f>Database!F259</f>
        <v>Linopirdine dihydrochloride</v>
      </c>
      <c r="D247" s="34">
        <f>Database!K259</f>
        <v>468.89</v>
      </c>
      <c r="E247" s="34" t="str">
        <f>Database!P259</f>
        <v>50 mg</v>
      </c>
      <c r="F247" s="34" t="str">
        <f>Database!Q259</f>
        <v>up to 100 mM H2O (or DMSO)</v>
      </c>
      <c r="G247" s="462">
        <f>Database!R259</f>
        <v>0</v>
      </c>
      <c r="H247" s="35">
        <f>Database!N259</f>
        <v>42216</v>
      </c>
    </row>
    <row r="248" spans="1:8" ht="45" x14ac:dyDescent="0.25">
      <c r="A248" s="225" t="str">
        <f>Database!A260</f>
        <v>15SAM064</v>
      </c>
      <c r="B248" s="34" t="str">
        <f>Database!E260</f>
        <v>Takeda</v>
      </c>
      <c r="C248" s="34" t="str">
        <f>Database!F260</f>
        <v>Linopirdine dihydrochloride</v>
      </c>
      <c r="D248" s="34">
        <f>Database!K260</f>
        <v>468.89</v>
      </c>
      <c r="E248" s="34" t="str">
        <f>Database!P260</f>
        <v>50 mg</v>
      </c>
      <c r="F248" s="34" t="str">
        <f>Database!Q260</f>
        <v>up to 100 mM H2O (or DMSO)</v>
      </c>
      <c r="G248" s="462">
        <f>Database!R260</f>
        <v>0</v>
      </c>
      <c r="H248" s="35">
        <f>Database!N260</f>
        <v>42216</v>
      </c>
    </row>
    <row r="249" spans="1:8" ht="45" x14ac:dyDescent="0.25">
      <c r="A249" s="225" t="str">
        <f>Database!A261</f>
        <v>15SAM065</v>
      </c>
      <c r="B249" s="34" t="str">
        <f>Database!E261</f>
        <v>Takeda</v>
      </c>
      <c r="C249" s="34" t="str">
        <f>Database!F261</f>
        <v>Linopirdine dihydrochloride</v>
      </c>
      <c r="D249" s="34">
        <f>Database!K261</f>
        <v>468.89</v>
      </c>
      <c r="E249" s="34" t="str">
        <f>Database!P261</f>
        <v>50 mg</v>
      </c>
      <c r="F249" s="34" t="str">
        <f>Database!Q261</f>
        <v>up to 100 mM H2O (or DMSO)</v>
      </c>
      <c r="G249" s="462">
        <f>Database!R261</f>
        <v>0</v>
      </c>
      <c r="H249" s="35">
        <f>Database!N261</f>
        <v>42216</v>
      </c>
    </row>
    <row r="250" spans="1:8" ht="30" x14ac:dyDescent="0.25">
      <c r="A250" s="225" t="str">
        <f>Database!A262</f>
        <v>15SAM066</v>
      </c>
      <c r="B250" s="34" t="str">
        <f>Database!E262</f>
        <v>SAGE</v>
      </c>
      <c r="C250" s="34" t="str">
        <f>Database!F262</f>
        <v>SGE-00516-05-A</v>
      </c>
      <c r="D250" s="34">
        <f>Database!K262</f>
        <v>385.54300000000001</v>
      </c>
      <c r="E250" s="34" t="str">
        <f>Database!P262</f>
        <v>10.1 mg</v>
      </c>
      <c r="F250" s="34" t="str">
        <f>Database!Q262</f>
        <v>10 mM in DMSO</v>
      </c>
      <c r="G250" s="462">
        <f>Database!R262</f>
        <v>0</v>
      </c>
      <c r="H250" s="35">
        <f>Database!N262</f>
        <v>42216</v>
      </c>
    </row>
    <row r="251" spans="1:8" ht="45" x14ac:dyDescent="0.25">
      <c r="A251" s="225" t="str">
        <f>Database!A263</f>
        <v>15SAM067</v>
      </c>
      <c r="B251" s="34" t="str">
        <f>Database!E263</f>
        <v>FORUM PHARMA</v>
      </c>
      <c r="C251" s="34" t="str">
        <f>Database!F263</f>
        <v>Donepezil hydrochloride</v>
      </c>
      <c r="D251" s="34">
        <f>Database!K263</f>
        <v>415.96</v>
      </c>
      <c r="E251" s="34" t="str">
        <f>Database!P263</f>
        <v>10 mg</v>
      </c>
      <c r="F251" s="34" t="str">
        <f>Database!Q263</f>
        <v>up to 100 mM H2O</v>
      </c>
      <c r="G251" s="462">
        <f>Database!R263</f>
        <v>0</v>
      </c>
      <c r="H251" s="35">
        <f>Database!N263</f>
        <v>42220</v>
      </c>
    </row>
    <row r="252" spans="1:8" ht="30" x14ac:dyDescent="0.25">
      <c r="A252" s="225" t="str">
        <f>Database!A264</f>
        <v>15SAM068</v>
      </c>
      <c r="B252" s="34" t="str">
        <f>Database!E264</f>
        <v>TAKEDA</v>
      </c>
      <c r="C252" s="34" t="str">
        <f>Database!F264</f>
        <v>Nicotine ditartrate</v>
      </c>
      <c r="D252" s="34">
        <f>Database!K264</f>
        <v>498.44</v>
      </c>
      <c r="E252" s="34" t="str">
        <f>Database!P264</f>
        <v>50 mg</v>
      </c>
      <c r="F252" s="34" t="str">
        <f>Database!Q264</f>
        <v>H2O mQ to 100 mM</v>
      </c>
      <c r="G252" s="462">
        <f>Database!R264</f>
        <v>0</v>
      </c>
      <c r="H252" s="35">
        <f>Database!N264</f>
        <v>42215</v>
      </c>
    </row>
    <row r="253" spans="1:8" ht="23.25" x14ac:dyDescent="0.25">
      <c r="A253" s="225" t="str">
        <f>Database!A265</f>
        <v>15SAM069</v>
      </c>
      <c r="B253" s="34" t="str">
        <f>Database!E265</f>
        <v>TAKEDA</v>
      </c>
      <c r="C253" s="34" t="str">
        <f>Database!F265</f>
        <v>L-732,138</v>
      </c>
      <c r="D253" s="34">
        <f>Database!K265</f>
        <v>472.39</v>
      </c>
      <c r="E253" s="34" t="str">
        <f>Database!P265</f>
        <v>10 mg</v>
      </c>
      <c r="F253" s="34" t="str">
        <f>Database!Q265</f>
        <v>DMSO</v>
      </c>
      <c r="G253" s="462">
        <f>Database!R265</f>
        <v>0</v>
      </c>
      <c r="H253" s="35">
        <f>Database!N265</f>
        <v>42215</v>
      </c>
    </row>
    <row r="254" spans="1:8" ht="60" x14ac:dyDescent="0.25">
      <c r="A254" s="225" t="str">
        <f>Database!A266</f>
        <v>15REF070</v>
      </c>
      <c r="B254" s="34" t="str">
        <f>Database!E266</f>
        <v>NEUROSERVICE</v>
      </c>
      <c r="C254" s="34" t="str">
        <f>Database!F266</f>
        <v>Morphine sulfate salt pentahydrate</v>
      </c>
      <c r="D254" s="34">
        <f>Database!K266</f>
        <v>758.83</v>
      </c>
      <c r="E254" s="34" t="str">
        <f>Database!P266</f>
        <v>50 mg</v>
      </c>
      <c r="F254" s="34" t="str">
        <f>Database!Q266</f>
        <v>H2O mQ 64 mg/mL</v>
      </c>
      <c r="G254" s="462">
        <f>Database!R266</f>
        <v>0</v>
      </c>
      <c r="H254" s="35">
        <f>Database!N266</f>
        <v>42236</v>
      </c>
    </row>
    <row r="255" spans="1:8" ht="45" x14ac:dyDescent="0.25">
      <c r="A255" s="225" t="str">
        <f>Database!A267</f>
        <v>15SAM071</v>
      </c>
      <c r="B255" s="34" t="str">
        <f>Database!E267</f>
        <v>FORUM PHARMA</v>
      </c>
      <c r="C255" s="34" t="str">
        <f>Database!F267</f>
        <v>Donepezil hydrochloride</v>
      </c>
      <c r="D255" s="34">
        <f>Database!K267</f>
        <v>415.96</v>
      </c>
      <c r="E255" s="34" t="str">
        <f>Database!P267</f>
        <v>50 mg</v>
      </c>
      <c r="F255" s="34" t="str">
        <f>Database!Q267</f>
        <v>H2O mQ up to 100 mM</v>
      </c>
      <c r="G255" s="462">
        <f>Database!R267</f>
        <v>0</v>
      </c>
      <c r="H255" s="35">
        <f>Database!N267</f>
        <v>42237</v>
      </c>
    </row>
    <row r="256" spans="1:8" ht="23.25" x14ac:dyDescent="0.25">
      <c r="A256" s="225" t="str">
        <f>Database!A268</f>
        <v>15SAM072</v>
      </c>
      <c r="B256" s="34" t="str">
        <f>Database!E268</f>
        <v>TAKEDA</v>
      </c>
      <c r="C256" s="34" t="str">
        <f>Database!F268</f>
        <v>L-732,138</v>
      </c>
      <c r="D256" s="34">
        <f>Database!K268</f>
        <v>472.39</v>
      </c>
      <c r="E256" s="34" t="str">
        <f>Database!P268</f>
        <v>10 mg</v>
      </c>
      <c r="F256" s="34" t="str">
        <f>Database!Q268</f>
        <v>DMSO</v>
      </c>
      <c r="G256" s="462">
        <f>Database!R268</f>
        <v>0</v>
      </c>
      <c r="H256" s="35">
        <f>Database!N268</f>
        <v>42237</v>
      </c>
    </row>
    <row r="257" spans="1:8" ht="75" x14ac:dyDescent="0.25">
      <c r="A257" s="225" t="str">
        <f>Database!A269</f>
        <v>15SAM073</v>
      </c>
      <c r="B257" s="34" t="str">
        <f>Database!E269</f>
        <v>SAGE</v>
      </c>
      <c r="C257" s="34" t="str">
        <f>Database!F269</f>
        <v>SGE-01613-03-A</v>
      </c>
      <c r="D257" s="34">
        <f>Database!K269</f>
        <v>423</v>
      </c>
      <c r="E257" s="34" t="str">
        <f>Database!P269</f>
        <v>15 mg</v>
      </c>
      <c r="F257" s="34" t="str">
        <f>Database!Q269</f>
        <v>DMSO (Stock) &amp; 0.01% cremophor in ACSF</v>
      </c>
      <c r="G257" s="462">
        <f>Database!R269</f>
        <v>0</v>
      </c>
      <c r="H257" s="35">
        <f>Database!N269</f>
        <v>42240</v>
      </c>
    </row>
    <row r="258" spans="1:8" ht="75" x14ac:dyDescent="0.25">
      <c r="A258" s="225" t="str">
        <f>Database!A270</f>
        <v>15SAM074</v>
      </c>
      <c r="B258" s="34" t="str">
        <f>Database!E270</f>
        <v>SAGE</v>
      </c>
      <c r="C258" s="34" t="str">
        <f>Database!F270</f>
        <v>SGE-01606-04-A</v>
      </c>
      <c r="D258" s="34">
        <f>Database!K270</f>
        <v>414</v>
      </c>
      <c r="E258" s="34" t="str">
        <f>Database!P270</f>
        <v>15 mg</v>
      </c>
      <c r="F258" s="34" t="str">
        <f>Database!Q270</f>
        <v>DMSO (Stock) &amp; 0.01% cremophor in ACSF</v>
      </c>
      <c r="G258" s="462">
        <f>Database!R270</f>
        <v>0</v>
      </c>
      <c r="H258" s="35">
        <f>Database!N270</f>
        <v>42240</v>
      </c>
    </row>
    <row r="259" spans="1:8" ht="75" x14ac:dyDescent="0.25">
      <c r="A259" s="225" t="str">
        <f>Database!A271</f>
        <v>15SAM075</v>
      </c>
      <c r="B259" s="34" t="str">
        <f>Database!E271</f>
        <v>SAGE</v>
      </c>
      <c r="C259" s="34" t="str">
        <f>Database!F271</f>
        <v>SGE-01335-02-A</v>
      </c>
      <c r="D259" s="34">
        <f>Database!K271</f>
        <v>430.58</v>
      </c>
      <c r="E259" s="34" t="str">
        <f>Database!P271</f>
        <v>15 mg</v>
      </c>
      <c r="F259" s="34" t="str">
        <f>Database!Q271</f>
        <v>DMSO (Stock) &amp; 0.01% cremophor in ACSF</v>
      </c>
      <c r="G259" s="462">
        <f>Database!R271</f>
        <v>0</v>
      </c>
      <c r="H259" s="35">
        <f>Database!N271</f>
        <v>42240</v>
      </c>
    </row>
    <row r="260" spans="1:8" ht="75" x14ac:dyDescent="0.25">
      <c r="A260" s="225" t="str">
        <f>Database!A272</f>
        <v>15SAM076</v>
      </c>
      <c r="B260" s="34" t="str">
        <f>Database!E272</f>
        <v>SAGE</v>
      </c>
      <c r="C260" s="34" t="str">
        <f>Database!F272</f>
        <v>SGE-01057-05-A</v>
      </c>
      <c r="D260" s="34">
        <f>Database!K272</f>
        <v>400.56</v>
      </c>
      <c r="E260" s="34" t="str">
        <f>Database!P272</f>
        <v>15.1 mg</v>
      </c>
      <c r="F260" s="34" t="str">
        <f>Database!Q272</f>
        <v>DMSO (Stock) &amp; 0.01% cremophor in ACSF</v>
      </c>
      <c r="G260" s="462">
        <f>Database!R272</f>
        <v>0</v>
      </c>
      <c r="H260" s="35">
        <f>Database!N272</f>
        <v>42240</v>
      </c>
    </row>
    <row r="261" spans="1:8" ht="23.25" x14ac:dyDescent="0.25">
      <c r="A261" s="225" t="str">
        <f>Database!A273</f>
        <v>15SAM077</v>
      </c>
      <c r="B261" s="34" t="str">
        <f>Database!E273</f>
        <v>TAKEDA</v>
      </c>
      <c r="C261" s="34" t="str">
        <f>Database!F273</f>
        <v>SYR231370Z</v>
      </c>
      <c r="D261" s="34">
        <f>Database!K273</f>
        <v>322.36</v>
      </c>
      <c r="E261" s="34" t="str">
        <f>Database!P273</f>
        <v>20.65 mg</v>
      </c>
      <c r="F261" s="34" t="str">
        <f>Database!Q273</f>
        <v>DMSO</v>
      </c>
      <c r="G261" s="462">
        <f>Database!R273</f>
        <v>0</v>
      </c>
      <c r="H261" s="35">
        <f>Database!N273</f>
        <v>42249</v>
      </c>
    </row>
    <row r="262" spans="1:8" ht="45" x14ac:dyDescent="0.25">
      <c r="A262" s="225" t="str">
        <f>Database!A274</f>
        <v>15REF078</v>
      </c>
      <c r="B262" s="34" t="str">
        <f>Database!E274</f>
        <v>NEUROSERVICE</v>
      </c>
      <c r="C262" s="34" t="str">
        <f>Database!F274</f>
        <v>Serotonin hydrochloride</v>
      </c>
      <c r="D262" s="34">
        <f>Database!K274</f>
        <v>212.68</v>
      </c>
      <c r="E262" s="34" t="str">
        <f>Database!P274</f>
        <v>100 mg</v>
      </c>
      <c r="F262" s="34" t="str">
        <f>Database!Q274</f>
        <v>0.1 M HCl</v>
      </c>
      <c r="G262" s="462">
        <f>Database!R274</f>
        <v>0</v>
      </c>
      <c r="H262" s="35">
        <f>Database!N274</f>
        <v>42250</v>
      </c>
    </row>
    <row r="263" spans="1:8" ht="30" x14ac:dyDescent="0.25">
      <c r="A263" s="225" t="str">
        <f>Database!A275</f>
        <v>15REF079</v>
      </c>
      <c r="B263" s="34" t="str">
        <f>Database!E275</f>
        <v>NEUROSERVICE</v>
      </c>
      <c r="C263" s="34" t="str">
        <f>Database!F275</f>
        <v>4-AP</v>
      </c>
      <c r="D263" s="34">
        <f>Database!K275</f>
        <v>94.11</v>
      </c>
      <c r="E263" s="34" t="str">
        <f>Database!P275</f>
        <v>1 000 mg</v>
      </c>
      <c r="F263" s="34" t="str">
        <f>Database!Q275</f>
        <v>H2O mQ</v>
      </c>
      <c r="G263" s="462">
        <f>Database!R275</f>
        <v>0</v>
      </c>
      <c r="H263" s="35">
        <f>Database!N275</f>
        <v>42251</v>
      </c>
    </row>
    <row r="264" spans="1:8" ht="45" x14ac:dyDescent="0.25">
      <c r="A264" s="225" t="str">
        <f>Database!A276</f>
        <v>15REF080</v>
      </c>
      <c r="B264" s="34" t="str">
        <f>Database!E276</f>
        <v>NEUROSERVICE</v>
      </c>
      <c r="C264" s="34" t="str">
        <f>Database!F276</f>
        <v>Yohimbine Hydrochloride</v>
      </c>
      <c r="D264" s="34">
        <f>Database!K276</f>
        <v>390.9</v>
      </c>
      <c r="E264" s="34" t="str">
        <f>Database!P276</f>
        <v>1000mg</v>
      </c>
      <c r="F264" s="34" t="str">
        <f>Database!Q276</f>
        <v>H2O mQ 10mg/mL</v>
      </c>
      <c r="G264" s="462">
        <f>Database!R276</f>
        <v>0</v>
      </c>
      <c r="H264" s="35">
        <f>Database!N276</f>
        <v>42251</v>
      </c>
    </row>
    <row r="265" spans="1:8" ht="75" x14ac:dyDescent="0.25">
      <c r="A265" s="225" t="str">
        <f>Database!A277</f>
        <v>15SAM081</v>
      </c>
      <c r="B265" s="34" t="str">
        <f>Database!E277</f>
        <v>SAGE</v>
      </c>
      <c r="C265" s="34" t="str">
        <f>Database!F277</f>
        <v>SGE-00516-05-A</v>
      </c>
      <c r="D265" s="34">
        <f>Database!K277</f>
        <v>385.54300000000001</v>
      </c>
      <c r="E265" s="34" t="str">
        <f>Database!P277</f>
        <v>10 mg</v>
      </c>
      <c r="F265" s="34" t="str">
        <f>Database!Q277</f>
        <v>DMSO (Stock) &amp; 0.01% cremophor in ACSF</v>
      </c>
      <c r="G265" s="462">
        <f>Database!R277</f>
        <v>0</v>
      </c>
      <c r="H265" s="35">
        <f>Database!N277</f>
        <v>42254</v>
      </c>
    </row>
    <row r="266" spans="1:8" ht="23.25" x14ac:dyDescent="0.25">
      <c r="A266" s="225" t="str">
        <f>Database!A278</f>
        <v>15SAM082</v>
      </c>
      <c r="B266" s="34" t="str">
        <f>Database!E278</f>
        <v>TAKEDA</v>
      </c>
      <c r="C266" s="34" t="str">
        <f>Database!F278</f>
        <v>SYR226027Z</v>
      </c>
      <c r="D266" s="34">
        <f>Database!K278</f>
        <v>320.83999999999997</v>
      </c>
      <c r="E266" s="34" t="str">
        <f>Database!P278</f>
        <v>10.82 mg</v>
      </c>
      <c r="F266" s="34" t="str">
        <f>Database!Q278</f>
        <v>DMSO</v>
      </c>
      <c r="G266" s="462">
        <f>Database!R278</f>
        <v>0</v>
      </c>
      <c r="H266" s="35">
        <f>Database!N278</f>
        <v>42160</v>
      </c>
    </row>
    <row r="267" spans="1:8" ht="23.25" x14ac:dyDescent="0.25">
      <c r="A267" s="225" t="str">
        <f>Database!A279</f>
        <v>15SAM083</v>
      </c>
      <c r="B267" s="34" t="str">
        <f>Database!E279</f>
        <v>TAKEDA</v>
      </c>
      <c r="C267" s="34" t="str">
        <f>Database!F279</f>
        <v>SYR226860A</v>
      </c>
      <c r="D267" s="34">
        <f>Database!K279</f>
        <v>320.81</v>
      </c>
      <c r="E267" s="34" t="str">
        <f>Database!P279</f>
        <v>10.59 mg</v>
      </c>
      <c r="F267" s="34" t="str">
        <f>Database!Q279</f>
        <v>DMSO</v>
      </c>
      <c r="G267" s="462">
        <f>Database!R279</f>
        <v>0</v>
      </c>
      <c r="H267" s="35">
        <f>Database!N279</f>
        <v>42160</v>
      </c>
    </row>
    <row r="268" spans="1:8" ht="23.25" x14ac:dyDescent="0.25">
      <c r="A268" s="225" t="str">
        <f>Database!A280</f>
        <v>15SAM084</v>
      </c>
      <c r="B268" s="34" t="str">
        <f>Database!E280</f>
        <v>TAKEDA</v>
      </c>
      <c r="C268" s="34" t="str">
        <f>Database!F280</f>
        <v>SYR214337Z</v>
      </c>
      <c r="D268" s="34">
        <f>Database!K280</f>
        <v>0</v>
      </c>
      <c r="E268" s="34">
        <f>Database!P280</f>
        <v>0</v>
      </c>
      <c r="F268" s="34" t="str">
        <f>Database!Q280</f>
        <v>DMSO</v>
      </c>
      <c r="G268" s="462">
        <f>Database!R280</f>
        <v>0</v>
      </c>
      <c r="H268" s="35">
        <f>Database!N280</f>
        <v>0</v>
      </c>
    </row>
    <row r="269" spans="1:8" ht="45" x14ac:dyDescent="0.25">
      <c r="A269" s="225" t="str">
        <f>Database!A281</f>
        <v>15SAM085</v>
      </c>
      <c r="B269" s="34" t="str">
        <f>Database!E281</f>
        <v>TAKEDA</v>
      </c>
      <c r="C269" s="34" t="str">
        <f>Database!F281</f>
        <v>Serotonin hydrochloride</v>
      </c>
      <c r="D269" s="34">
        <f>Database!K281</f>
        <v>212.68</v>
      </c>
      <c r="E269" s="34" t="str">
        <f>Database!P281</f>
        <v>250 mg</v>
      </c>
      <c r="F269" s="34" t="str">
        <f>Database!Q281</f>
        <v>0.1 M HCl</v>
      </c>
      <c r="G269" s="462">
        <f>Database!R281</f>
        <v>0</v>
      </c>
      <c r="H269" s="35">
        <f>Database!N281</f>
        <v>42258</v>
      </c>
    </row>
    <row r="270" spans="1:8" ht="45" x14ac:dyDescent="0.25">
      <c r="A270" s="225" t="str">
        <f>Database!A282</f>
        <v>15REF086</v>
      </c>
      <c r="B270" s="34" t="str">
        <f>Database!E282</f>
        <v>NEUROSERVICE</v>
      </c>
      <c r="C270" s="34" t="str">
        <f>Database!F282</f>
        <v>GLYX-13 trifluoroacetate</v>
      </c>
      <c r="D270" s="34">
        <f>Database!K282</f>
        <v>413.47</v>
      </c>
      <c r="E270" s="34" t="str">
        <f>Database!P282</f>
        <v>1 mg</v>
      </c>
      <c r="F270" s="34" t="str">
        <f>Database!Q282</f>
        <v>H2O mQ</v>
      </c>
      <c r="G270" s="462">
        <f>Database!R282</f>
        <v>0</v>
      </c>
      <c r="H270" s="35">
        <f>Database!N282</f>
        <v>42271</v>
      </c>
    </row>
    <row r="271" spans="1:8" ht="45" x14ac:dyDescent="0.25">
      <c r="A271" s="225" t="str">
        <f>Database!A283</f>
        <v>15REF087</v>
      </c>
      <c r="B271" s="34" t="str">
        <f>Database!E283</f>
        <v>NEUROSERVICE</v>
      </c>
      <c r="C271" s="34" t="str">
        <f>Database!F283</f>
        <v>GLYX-13 trifluoroacetate</v>
      </c>
      <c r="D271" s="34">
        <f>Database!K283</f>
        <v>413.47</v>
      </c>
      <c r="E271" s="34" t="str">
        <f>Database!P283</f>
        <v>1 mg</v>
      </c>
      <c r="F271" s="34" t="str">
        <f>Database!Q283</f>
        <v>H2O mQ</v>
      </c>
      <c r="G271" s="462">
        <f>Database!R283</f>
        <v>0</v>
      </c>
      <c r="H271" s="35">
        <f>Database!N283</f>
        <v>42271</v>
      </c>
    </row>
    <row r="272" spans="1:8" ht="30" x14ac:dyDescent="0.25">
      <c r="A272" s="225" t="str">
        <f>Database!A284</f>
        <v>15SAM088</v>
      </c>
      <c r="B272" s="34" t="str">
        <f>Database!E284</f>
        <v>AMGEN</v>
      </c>
      <c r="C272" s="34" t="str">
        <f>Database!F284</f>
        <v>D-AP5</v>
      </c>
      <c r="D272" s="34">
        <f>Database!K284</f>
        <v>197.13</v>
      </c>
      <c r="E272" s="34" t="str">
        <f>Database!P284</f>
        <v>50 mg</v>
      </c>
      <c r="F272" s="34" t="str">
        <f>Database!Q284</f>
        <v>H2O mQ to 100 mM</v>
      </c>
      <c r="G272" s="462">
        <f>Database!R284</f>
        <v>0</v>
      </c>
      <c r="H272" s="35">
        <f>Database!N284</f>
        <v>42272</v>
      </c>
    </row>
    <row r="273" spans="1:8" ht="30" x14ac:dyDescent="0.25">
      <c r="A273" s="225" t="str">
        <f>Database!A285</f>
        <v>15SAM089</v>
      </c>
      <c r="B273" s="34" t="str">
        <f>Database!E285</f>
        <v>AMGEN</v>
      </c>
      <c r="C273" s="34" t="str">
        <f>Database!F285</f>
        <v>Compound A</v>
      </c>
      <c r="D273" s="34">
        <f>Database!K285</f>
        <v>383.42599999999999</v>
      </c>
      <c r="E273" s="34" t="str">
        <f>Database!P285</f>
        <v>5.10 mg</v>
      </c>
      <c r="F273" s="34" t="str">
        <f>Database!Q285</f>
        <v>DMSO</v>
      </c>
      <c r="G273" s="462">
        <f>Database!R285</f>
        <v>0</v>
      </c>
      <c r="H273" s="35">
        <f>Database!N285</f>
        <v>42275</v>
      </c>
    </row>
    <row r="274" spans="1:8" ht="30" x14ac:dyDescent="0.25">
      <c r="A274" s="225" t="str">
        <f>Database!A286</f>
        <v>15SAM090</v>
      </c>
      <c r="B274" s="34" t="str">
        <f>Database!E286</f>
        <v>AMGEN</v>
      </c>
      <c r="C274" s="34" t="str">
        <f>Database!F286</f>
        <v>Compound B</v>
      </c>
      <c r="D274" s="34">
        <f>Database!K286</f>
        <v>383.42599999999999</v>
      </c>
      <c r="E274" s="34" t="str">
        <f>Database!P286</f>
        <v>5.24 mg</v>
      </c>
      <c r="F274" s="34" t="str">
        <f>Database!Q286</f>
        <v>DMSO</v>
      </c>
      <c r="G274" s="462">
        <f>Database!R286</f>
        <v>0</v>
      </c>
      <c r="H274" s="35">
        <f>Database!N286</f>
        <v>42275</v>
      </c>
    </row>
    <row r="275" spans="1:8" ht="23.25" x14ac:dyDescent="0.25">
      <c r="A275" s="225" t="str">
        <f>Database!A287</f>
        <v>15SAM091</v>
      </c>
      <c r="B275" s="34" t="str">
        <f>Database!E287</f>
        <v>TAKEDA</v>
      </c>
      <c r="C275" s="34" t="str">
        <f>Database!F287</f>
        <v>SYR277788A</v>
      </c>
      <c r="D275" s="34">
        <f>Database!K287</f>
        <v>248.11</v>
      </c>
      <c r="E275" s="34" t="str">
        <f>Database!P287</f>
        <v>96.01 mg</v>
      </c>
      <c r="F275" s="34" t="str">
        <f>Database!Q287</f>
        <v>H2O mQ</v>
      </c>
      <c r="G275" s="462">
        <f>Database!R287</f>
        <v>0</v>
      </c>
      <c r="H275" s="35">
        <f>Database!N287</f>
        <v>42289</v>
      </c>
    </row>
    <row r="276" spans="1:8" ht="30" x14ac:dyDescent="0.25">
      <c r="A276" s="225" t="str">
        <f>Database!A288</f>
        <v>15REF092</v>
      </c>
      <c r="B276" s="34" t="str">
        <f>Database!E288</f>
        <v>NEUROSERVICE</v>
      </c>
      <c r="C276" s="34" t="str">
        <f>Database!F288</f>
        <v>Ketamine Xylazine</v>
      </c>
      <c r="D276" s="34">
        <f>Database!K288</f>
        <v>0</v>
      </c>
      <c r="E276" s="34" t="str">
        <f>Database!P288</f>
        <v>10 mL</v>
      </c>
      <c r="F276" s="34">
        <f>Database!Q288</f>
        <v>0</v>
      </c>
      <c r="G276" s="462">
        <f>Database!R288</f>
        <v>0</v>
      </c>
      <c r="H276" s="35">
        <f>Database!N288</f>
        <v>42290</v>
      </c>
    </row>
    <row r="277" spans="1:8" ht="60" x14ac:dyDescent="0.25">
      <c r="A277" s="225" t="str">
        <f>Database!A289</f>
        <v>15REF093</v>
      </c>
      <c r="B277" s="34" t="str">
        <f>Database!E289</f>
        <v>NEUROSERVICE</v>
      </c>
      <c r="C277" s="34" t="str">
        <f>Database!F289</f>
        <v>Harmaline hydrochloride dihydrate</v>
      </c>
      <c r="D277" s="34">
        <f>Database!K289</f>
        <v>286.75</v>
      </c>
      <c r="E277" s="34" t="str">
        <f>Database!P289</f>
        <v>1 g</v>
      </c>
      <c r="F277" s="34" t="str">
        <f>Database!Q289</f>
        <v>H2O mQ</v>
      </c>
      <c r="G277" s="462">
        <f>Database!R289</f>
        <v>0</v>
      </c>
      <c r="H277" s="35">
        <f>Database!N289</f>
        <v>42290</v>
      </c>
    </row>
    <row r="278" spans="1:8" ht="45" x14ac:dyDescent="0.25">
      <c r="A278" s="225" t="str">
        <f>Database!A290</f>
        <v>15SAM094</v>
      </c>
      <c r="B278" s="34" t="str">
        <f>Database!E290</f>
        <v>Daiichi Sankyo</v>
      </c>
      <c r="C278" s="34" t="str">
        <f>Database!F290</f>
        <v>ω-conotoxin GVIA</v>
      </c>
      <c r="D278" s="34">
        <f>Database!K290</f>
        <v>3037</v>
      </c>
      <c r="E278" s="34" t="str">
        <f>Database!P290</f>
        <v>0.250 mg</v>
      </c>
      <c r="F278" s="34" t="str">
        <f>Database!Q290</f>
        <v>1 mg/ml in water</v>
      </c>
      <c r="G278" s="462">
        <f>Database!R290</f>
        <v>0</v>
      </c>
      <c r="H278" s="35">
        <f>Database!N290</f>
        <v>42291</v>
      </c>
    </row>
    <row r="279" spans="1:8" ht="30" x14ac:dyDescent="0.25">
      <c r="A279" s="225" t="str">
        <f>Database!A291</f>
        <v>15SAM095</v>
      </c>
      <c r="B279" s="34" t="str">
        <f>Database!E291</f>
        <v>Daiichi Sankyo</v>
      </c>
      <c r="C279" s="34" t="str">
        <f>Database!F291</f>
        <v>Pregabalin (ROX-2323)</v>
      </c>
      <c r="D279" s="34">
        <f>Database!K291</f>
        <v>159.22999999999999</v>
      </c>
      <c r="E279" s="34" t="str">
        <f>Database!P291</f>
        <v>21.8 mg</v>
      </c>
      <c r="F279" s="34" t="str">
        <f>Database!Q291</f>
        <v>Neurobasal A</v>
      </c>
      <c r="G279" s="462">
        <f>Database!R291</f>
        <v>0</v>
      </c>
      <c r="H279" s="35">
        <f>Database!N291</f>
        <v>42214</v>
      </c>
    </row>
    <row r="280" spans="1:8" ht="30" x14ac:dyDescent="0.25">
      <c r="A280" s="225" t="str">
        <f>Database!A292</f>
        <v>15SAM096</v>
      </c>
      <c r="B280" s="34" t="str">
        <f>Database!E292</f>
        <v>Daiichi Sankyo</v>
      </c>
      <c r="C280" s="34" t="str">
        <f>Database!F292</f>
        <v>A200-0700</v>
      </c>
      <c r="D280" s="34">
        <f>Database!K292</f>
        <v>209.28</v>
      </c>
      <c r="E280" s="34" t="str">
        <f>Database!P292</f>
        <v>21.6 mg</v>
      </c>
      <c r="F280" s="34" t="str">
        <f>Database!Q292</f>
        <v>Neurobasal A</v>
      </c>
      <c r="G280" s="462">
        <f>Database!R292</f>
        <v>0</v>
      </c>
      <c r="H280" s="35">
        <f>Database!N292</f>
        <v>42214</v>
      </c>
    </row>
    <row r="281" spans="1:8" ht="30" x14ac:dyDescent="0.25">
      <c r="A281" s="225" t="str">
        <f>Database!A293</f>
        <v>15SAM097</v>
      </c>
      <c r="B281" s="34" t="str">
        <f>Database!E293</f>
        <v>AMGEN</v>
      </c>
      <c r="C281" s="34" t="str">
        <f>Database!F293</f>
        <v>Octreotide</v>
      </c>
      <c r="D281" s="34">
        <f>Database!K293</f>
        <v>1019.24</v>
      </c>
      <c r="E281" s="34" t="str">
        <f>Database!P293</f>
        <v>1 mg</v>
      </c>
      <c r="F281" s="34" t="str">
        <f>Database!Q293</f>
        <v>1.20 mg/mL in H2O mQ</v>
      </c>
      <c r="G281" s="462">
        <f>Database!R293</f>
        <v>0</v>
      </c>
      <c r="H281" s="35">
        <f>Database!N293</f>
        <v>42298</v>
      </c>
    </row>
    <row r="282" spans="1:8" ht="30" x14ac:dyDescent="0.25">
      <c r="A282" s="225" t="str">
        <f>Database!A294</f>
        <v>15SAM098</v>
      </c>
      <c r="B282" s="34" t="str">
        <f>Database!E294</f>
        <v>AMGEN</v>
      </c>
      <c r="C282" s="34" t="str">
        <f>Database!F294</f>
        <v>CYN 154806</v>
      </c>
      <c r="D282" s="34">
        <f>Database!K294</f>
        <v>1197.4000000000001</v>
      </c>
      <c r="E282" s="34" t="str">
        <f>Database!P294</f>
        <v>1 mg</v>
      </c>
      <c r="F282" s="34" t="str">
        <f>Database!Q294</f>
        <v>1 mg/mL in H2O mQ</v>
      </c>
      <c r="G282" s="462">
        <f>Database!R294</f>
        <v>0</v>
      </c>
      <c r="H282" s="35">
        <f>Database!N294</f>
        <v>42298</v>
      </c>
    </row>
    <row r="283" spans="1:8" ht="30" x14ac:dyDescent="0.25">
      <c r="A283" s="225" t="str">
        <f>Database!A295</f>
        <v>15SAM099</v>
      </c>
      <c r="B283" s="34" t="str">
        <f>Database!E295</f>
        <v>AMGEN</v>
      </c>
      <c r="C283" s="34" t="str">
        <f>Database!F295</f>
        <v>CYN 154806</v>
      </c>
      <c r="D283" s="34">
        <f>Database!K295</f>
        <v>1197.4000000000001</v>
      </c>
      <c r="E283" s="34" t="str">
        <f>Database!P295</f>
        <v>1 mg</v>
      </c>
      <c r="F283" s="34" t="str">
        <f>Database!Q295</f>
        <v>1 mg/mL in H2O mQ</v>
      </c>
      <c r="G283" s="462">
        <f>Database!R295</f>
        <v>0</v>
      </c>
      <c r="H283" s="35">
        <f>Database!N295</f>
        <v>42298</v>
      </c>
    </row>
    <row r="284" spans="1:8" ht="23.25" x14ac:dyDescent="0.25">
      <c r="A284" s="225" t="str">
        <f>Database!A296</f>
        <v>15SAM100</v>
      </c>
      <c r="B284" s="34" t="str">
        <f>Database!E296</f>
        <v>TAKEDA</v>
      </c>
      <c r="C284" s="34" t="str">
        <f>Database!F296</f>
        <v>Retigabine</v>
      </c>
      <c r="D284" s="34">
        <f>Database!K296</f>
        <v>303.33</v>
      </c>
      <c r="E284" s="34" t="str">
        <f>Database!P296</f>
        <v>25 mg</v>
      </c>
      <c r="F284" s="34" t="str">
        <f>Database!Q296</f>
        <v>DMSO</v>
      </c>
      <c r="G284" s="462">
        <f>Database!R296</f>
        <v>0</v>
      </c>
      <c r="H284" s="35">
        <f>Database!N296</f>
        <v>42303</v>
      </c>
    </row>
    <row r="285" spans="1:8" ht="30" x14ac:dyDescent="0.25">
      <c r="A285" s="225" t="str">
        <f>Database!A297</f>
        <v>15SAM101</v>
      </c>
      <c r="B285" s="34" t="str">
        <f>Database!E297</f>
        <v>TAKEDA</v>
      </c>
      <c r="C285" s="34" t="str">
        <f>Database!F297</f>
        <v>XE-991</v>
      </c>
      <c r="D285" s="34">
        <f>Database!K297</f>
        <v>376.45</v>
      </c>
      <c r="E285" s="34" t="str">
        <f>Database!P297</f>
        <v>10 mg</v>
      </c>
      <c r="F285" s="34" t="str">
        <f>Database!Q297</f>
        <v>DMSO to 20 mg / mL</v>
      </c>
      <c r="G285" s="462">
        <f>Database!R297</f>
        <v>0</v>
      </c>
      <c r="H285" s="35">
        <f>Database!N297</f>
        <v>42303</v>
      </c>
    </row>
    <row r="286" spans="1:8" ht="23.25" x14ac:dyDescent="0.25">
      <c r="A286" s="225" t="str">
        <f>Database!A298</f>
        <v>15SAM102</v>
      </c>
      <c r="B286" s="34" t="str">
        <f>Database!E298</f>
        <v>ORION</v>
      </c>
      <c r="C286" s="34" t="str">
        <f>Database!F298</f>
        <v>ORIN01-492</v>
      </c>
      <c r="D286" s="34">
        <f>Database!K298</f>
        <v>386.22500000000002</v>
      </c>
      <c r="E286" s="34" t="str">
        <f>Database!P298</f>
        <v>30.7 mg</v>
      </c>
      <c r="F286" s="34" t="str">
        <f>Database!Q298</f>
        <v>DMSO</v>
      </c>
      <c r="G286" s="462">
        <f>Database!R298</f>
        <v>0</v>
      </c>
      <c r="H286" s="35">
        <f>Database!N298</f>
        <v>42300</v>
      </c>
    </row>
    <row r="287" spans="1:8" ht="23.25" x14ac:dyDescent="0.25">
      <c r="A287" s="225" t="str">
        <f>Database!A299</f>
        <v>15SAM103</v>
      </c>
      <c r="B287" s="34" t="str">
        <f>Database!E299</f>
        <v>TAKEDA</v>
      </c>
      <c r="C287" s="34" t="str">
        <f>Database!F299</f>
        <v>SYR270276Z</v>
      </c>
      <c r="D287" s="34">
        <f>Database!K299</f>
        <v>352.43400000000003</v>
      </c>
      <c r="E287" s="34" t="str">
        <f>Database!P299</f>
        <v>30.53 mg</v>
      </c>
      <c r="F287" s="34" t="str">
        <f>Database!Q299</f>
        <v>DMSO</v>
      </c>
      <c r="G287" s="462">
        <f>Database!R299</f>
        <v>0</v>
      </c>
      <c r="H287" s="35">
        <f>Database!N299</f>
        <v>42305</v>
      </c>
    </row>
    <row r="288" spans="1:8" ht="23.25" x14ac:dyDescent="0.25">
      <c r="A288" s="225" t="str">
        <f>Database!A300</f>
        <v>15SAM104</v>
      </c>
      <c r="B288" s="34" t="str">
        <f>Database!E300</f>
        <v>TAKEDA</v>
      </c>
      <c r="C288" s="34" t="str">
        <f>Database!F300</f>
        <v>SYR268663Z</v>
      </c>
      <c r="D288" s="34">
        <f>Database!K300</f>
        <v>402.87799999999999</v>
      </c>
      <c r="E288" s="34" t="str">
        <f>Database!P300</f>
        <v>35.04 mg</v>
      </c>
      <c r="F288" s="34" t="str">
        <f>Database!Q300</f>
        <v>DMSO</v>
      </c>
      <c r="G288" s="462">
        <f>Database!R300</f>
        <v>0</v>
      </c>
      <c r="H288" s="35">
        <f>Database!N300</f>
        <v>42305</v>
      </c>
    </row>
    <row r="289" spans="1:8" ht="30" x14ac:dyDescent="0.25">
      <c r="A289" s="225" t="str">
        <f>Database!A301</f>
        <v>15SAM105</v>
      </c>
      <c r="B289" s="34" t="str">
        <f>Database!E301</f>
        <v>ROCHE</v>
      </c>
      <c r="C289" s="34" t="str">
        <f>Database!F301</f>
        <v>RO6889450-004-001</v>
      </c>
      <c r="D289" s="34">
        <f>Database!K301</f>
        <v>350.84300000000002</v>
      </c>
      <c r="E289" s="34" t="str">
        <f>Database!P301</f>
        <v>23.84 mg</v>
      </c>
      <c r="F289" s="34" t="str">
        <f>Database!Q301</f>
        <v>DMSO</v>
      </c>
      <c r="G289" s="462">
        <f>Database!R301</f>
        <v>0</v>
      </c>
      <c r="H289" s="35">
        <f>Database!N301</f>
        <v>42306</v>
      </c>
    </row>
    <row r="290" spans="1:8" ht="30" x14ac:dyDescent="0.25">
      <c r="A290" s="225" t="str">
        <f>Database!A302</f>
        <v>15SAM106</v>
      </c>
      <c r="B290" s="34" t="str">
        <f>Database!E302</f>
        <v>ROCHE</v>
      </c>
      <c r="C290" s="34" t="str">
        <f>Database!F302</f>
        <v>RO5263397-006-001</v>
      </c>
      <c r="D290" s="34">
        <f>Database!K302</f>
        <v>230.66900000000001</v>
      </c>
      <c r="E290" s="34" t="str">
        <f>Database!P302</f>
        <v>10 mg</v>
      </c>
      <c r="F290" s="34" t="str">
        <f>Database!Q302</f>
        <v>DMSO</v>
      </c>
      <c r="G290" s="462">
        <f>Database!R302</f>
        <v>0</v>
      </c>
      <c r="H290" s="35">
        <f>Database!N302</f>
        <v>42306</v>
      </c>
    </row>
    <row r="291" spans="1:8" ht="30" x14ac:dyDescent="0.25">
      <c r="A291" s="225" t="str">
        <f>Database!A303</f>
        <v>15SAM107</v>
      </c>
      <c r="B291" s="34" t="str">
        <f>Database!E303</f>
        <v>TAKEDA</v>
      </c>
      <c r="C291" s="34" t="str">
        <f>Database!F303</f>
        <v>mCPBG</v>
      </c>
      <c r="D291" s="34">
        <f>Database!K303</f>
        <v>248.11</v>
      </c>
      <c r="E291" s="34" t="str">
        <f>Database!P303</f>
        <v>100 mg</v>
      </c>
      <c r="F291" s="34" t="str">
        <f>Database!Q303</f>
        <v>H2O mQ to 100 mM</v>
      </c>
      <c r="G291" s="462">
        <f>Database!R303</f>
        <v>0</v>
      </c>
      <c r="H291" s="35">
        <f>Database!N303</f>
        <v>42307</v>
      </c>
    </row>
    <row r="292" spans="1:8" ht="30" x14ac:dyDescent="0.25">
      <c r="A292" s="225" t="str">
        <f>Database!A304</f>
        <v>15SAM108</v>
      </c>
      <c r="B292" s="34" t="str">
        <f>Database!E304</f>
        <v>TAKEDA</v>
      </c>
      <c r="C292" s="34" t="str">
        <f>Database!F304</f>
        <v>mCPBG</v>
      </c>
      <c r="D292" s="34">
        <f>Database!K304</f>
        <v>248.11</v>
      </c>
      <c r="E292" s="34" t="str">
        <f>Database!P304</f>
        <v>100 mg</v>
      </c>
      <c r="F292" s="34" t="str">
        <f>Database!Q304</f>
        <v>H2O mQ to 100 mM</v>
      </c>
      <c r="G292" s="462">
        <f>Database!R304</f>
        <v>0</v>
      </c>
      <c r="H292" s="35">
        <f>Database!N304</f>
        <v>42307</v>
      </c>
    </row>
    <row r="293" spans="1:8" ht="30" x14ac:dyDescent="0.25">
      <c r="A293" s="225" t="str">
        <f>Database!A305</f>
        <v>15SAM109</v>
      </c>
      <c r="B293" s="34" t="str">
        <f>Database!E305</f>
        <v>TAKEDA</v>
      </c>
      <c r="C293" s="34" t="str">
        <f>Database!F305</f>
        <v>mCPBG</v>
      </c>
      <c r="D293" s="34">
        <f>Database!K305</f>
        <v>248.11</v>
      </c>
      <c r="E293" s="34" t="str">
        <f>Database!P305</f>
        <v>100 mg</v>
      </c>
      <c r="F293" s="34" t="str">
        <f>Database!Q305</f>
        <v>H2O mQ to 100 mM</v>
      </c>
      <c r="G293" s="462">
        <f>Database!R305</f>
        <v>0</v>
      </c>
      <c r="H293" s="35">
        <f>Database!N305</f>
        <v>42312</v>
      </c>
    </row>
    <row r="294" spans="1:8" ht="30" x14ac:dyDescent="0.25">
      <c r="A294" s="225" t="str">
        <f>Database!A306</f>
        <v>15REF110</v>
      </c>
      <c r="B294" s="34" t="str">
        <f>Database!E306</f>
        <v>NEUROSERVICE</v>
      </c>
      <c r="C294" s="34" t="str">
        <f>Database!F306</f>
        <v>NBQX</v>
      </c>
      <c r="D294" s="34">
        <f>Database!K306</f>
        <v>340.78</v>
      </c>
      <c r="E294" s="34" t="str">
        <f>Database!P306</f>
        <v>50 mg</v>
      </c>
      <c r="F294" s="34" t="str">
        <f>Database!Q306</f>
        <v>DMSO to 100 mM</v>
      </c>
      <c r="G294" s="462">
        <f>Database!R306</f>
        <v>0</v>
      </c>
      <c r="H294" s="35">
        <f>Database!N306</f>
        <v>42318</v>
      </c>
    </row>
    <row r="295" spans="1:8" ht="45" x14ac:dyDescent="0.25">
      <c r="A295" s="225" t="str">
        <f>Database!A307</f>
        <v>15REF111</v>
      </c>
      <c r="B295" s="34" t="str">
        <f>Database!E307</f>
        <v>NEUROSERVICE</v>
      </c>
      <c r="C295" s="34" t="str">
        <f>Database!F307</f>
        <v>CNQX disodium salt</v>
      </c>
      <c r="D295" s="34">
        <f>Database!K307</f>
        <v>303.14</v>
      </c>
      <c r="E295" s="34" t="str">
        <f>Database!P307</f>
        <v>50 mg</v>
      </c>
      <c r="F295" s="34" t="str">
        <f>Database!Q307</f>
        <v>H2O mQ to 25 mM</v>
      </c>
      <c r="G295" s="462">
        <f>Database!R307</f>
        <v>0</v>
      </c>
      <c r="H295" s="35">
        <f>Database!N307</f>
        <v>42318</v>
      </c>
    </row>
    <row r="296" spans="1:8" ht="30" x14ac:dyDescent="0.25">
      <c r="A296" s="225" t="str">
        <f>Database!A308</f>
        <v>15REF112</v>
      </c>
      <c r="B296" s="34" t="str">
        <f>Database!E308</f>
        <v>NEUROSERVICE</v>
      </c>
      <c r="C296" s="34" t="str">
        <f>Database!F308</f>
        <v>D-AP5</v>
      </c>
      <c r="D296" s="34">
        <f>Database!K308</f>
        <v>197.13</v>
      </c>
      <c r="E296" s="34" t="str">
        <f>Database!P308</f>
        <v>50 mg</v>
      </c>
      <c r="F296" s="34" t="str">
        <f>Database!Q308</f>
        <v>H2O mQ to 100 mM</v>
      </c>
      <c r="G296" s="462">
        <f>Database!R308</f>
        <v>0</v>
      </c>
      <c r="H296" s="35">
        <f>Database!N308</f>
        <v>42318</v>
      </c>
    </row>
    <row r="297" spans="1:8" ht="30" x14ac:dyDescent="0.25">
      <c r="A297" s="225" t="str">
        <f>Database!A309</f>
        <v>15SAM113</v>
      </c>
      <c r="B297" s="34" t="str">
        <f>Database!E309</f>
        <v>TAKEDA</v>
      </c>
      <c r="C297" s="34" t="str">
        <f>Database!F309</f>
        <v>mCPBG</v>
      </c>
      <c r="D297" s="34">
        <f>Database!K309</f>
        <v>248.11</v>
      </c>
      <c r="E297" s="34" t="str">
        <f>Database!P309</f>
        <v>100 mg</v>
      </c>
      <c r="F297" s="34" t="str">
        <f>Database!Q309</f>
        <v>H2O mQ to 100 mM</v>
      </c>
      <c r="G297" s="462">
        <f>Database!R309</f>
        <v>0</v>
      </c>
      <c r="H297" s="35">
        <f>Database!N309</f>
        <v>42321</v>
      </c>
    </row>
    <row r="298" spans="1:8" ht="30" x14ac:dyDescent="0.25">
      <c r="A298" s="225" t="str">
        <f>Database!A310</f>
        <v>15SAM114</v>
      </c>
      <c r="B298" s="34" t="str">
        <f>Database!E310</f>
        <v>TAKEDA</v>
      </c>
      <c r="C298" s="34" t="str">
        <f>Database!F310</f>
        <v>mCPBG</v>
      </c>
      <c r="D298" s="34">
        <f>Database!K310</f>
        <v>248.11</v>
      </c>
      <c r="E298" s="34" t="str">
        <f>Database!P310</f>
        <v>100 mg</v>
      </c>
      <c r="F298" s="34" t="str">
        <f>Database!Q310</f>
        <v>H2O mQ to 100 mM</v>
      </c>
      <c r="G298" s="462">
        <f>Database!R310</f>
        <v>0</v>
      </c>
      <c r="H298" s="35">
        <f>Database!N310</f>
        <v>42321</v>
      </c>
    </row>
    <row r="299" spans="1:8" ht="30" x14ac:dyDescent="0.25">
      <c r="A299" s="225" t="str">
        <f>Database!A311</f>
        <v>15SAM115</v>
      </c>
      <c r="B299" s="34" t="str">
        <f>Database!E311</f>
        <v>TAKEDA</v>
      </c>
      <c r="C299" s="34" t="str">
        <f>Database!F311</f>
        <v>SYR275422Z</v>
      </c>
      <c r="D299" s="34">
        <f>Database!K311</f>
        <v>386.423</v>
      </c>
      <c r="E299" s="34" t="str">
        <f>Database!P311</f>
        <v>30.16 mg</v>
      </c>
      <c r="F299" s="34" t="str">
        <f>Database!Q311</f>
        <v>DMSO to 10 mM</v>
      </c>
      <c r="G299" s="462">
        <f>Database!R311</f>
        <v>0</v>
      </c>
      <c r="H299" s="35">
        <f>Database!N311</f>
        <v>42324</v>
      </c>
    </row>
    <row r="300" spans="1:8" ht="30" x14ac:dyDescent="0.25">
      <c r="A300" s="225" t="str">
        <f>Database!A312</f>
        <v>15SAM116</v>
      </c>
      <c r="B300" s="34" t="str">
        <f>Database!E312</f>
        <v>TAKEDA</v>
      </c>
      <c r="C300" s="34" t="str">
        <f>Database!F312</f>
        <v>SYR273841Z</v>
      </c>
      <c r="D300" s="34">
        <f>Database!K312</f>
        <v>338.40699999999998</v>
      </c>
      <c r="E300" s="34" t="str">
        <f>Database!P312</f>
        <v>30.29mg</v>
      </c>
      <c r="F300" s="34" t="str">
        <f>Database!Q312</f>
        <v>DMSO to 10 mM</v>
      </c>
      <c r="G300" s="462">
        <f>Database!R312</f>
        <v>0</v>
      </c>
      <c r="H300" s="35">
        <f>Database!N312</f>
        <v>42324</v>
      </c>
    </row>
    <row r="301" spans="1:8" ht="30" x14ac:dyDescent="0.25">
      <c r="A301" s="225" t="str">
        <f>Database!A313</f>
        <v>15REF117</v>
      </c>
      <c r="B301" s="34" t="str">
        <f>Database!E313</f>
        <v>NEUROSERVICE</v>
      </c>
      <c r="C301" s="34" t="str">
        <f>Database!F313</f>
        <v>Bicuculline methiodide</v>
      </c>
      <c r="D301" s="34">
        <f>Database!K313</f>
        <v>509.29</v>
      </c>
      <c r="E301" s="34" t="str">
        <f>Database!P313</f>
        <v>50 mg</v>
      </c>
      <c r="F301" s="34" t="str">
        <f>Database!Q313</f>
        <v>10 mM in H2O mQ</v>
      </c>
      <c r="G301" s="462">
        <f>Database!R313</f>
        <v>0</v>
      </c>
      <c r="H301" s="35">
        <f>Database!N313</f>
        <v>42325</v>
      </c>
    </row>
    <row r="302" spans="1:8" ht="45" x14ac:dyDescent="0.25">
      <c r="A302" s="225" t="str">
        <f>Database!A314</f>
        <v>15SAM118</v>
      </c>
      <c r="B302" s="34" t="str">
        <f>Database!E314</f>
        <v>EIP Pharma</v>
      </c>
      <c r="C302" s="34" t="str">
        <f>Database!F314</f>
        <v>Interleukin 1 beta (rrIL-1β)</v>
      </c>
      <c r="D302" s="34" t="str">
        <f>Database!K314</f>
        <v>17000 g/mol</v>
      </c>
      <c r="E302" s="34" t="str">
        <f>Database!P314</f>
        <v>50 µg</v>
      </c>
      <c r="F302" s="34" t="str">
        <f>Database!Q314</f>
        <v>100 µg/mL in PBS</v>
      </c>
      <c r="G302" s="462">
        <f>Database!R314</f>
        <v>0</v>
      </c>
      <c r="H302" s="35">
        <f>Database!N314</f>
        <v>42326</v>
      </c>
    </row>
    <row r="303" spans="1:8" ht="30" x14ac:dyDescent="0.25">
      <c r="A303" s="225" t="str">
        <f>Database!A315</f>
        <v>15SAM119</v>
      </c>
      <c r="B303" s="34" t="str">
        <f>Database!E315</f>
        <v>TAKEDA</v>
      </c>
      <c r="C303" s="34" t="str">
        <f>Database!F315</f>
        <v>mCPBG</v>
      </c>
      <c r="D303" s="34">
        <f>Database!K315</f>
        <v>248.11</v>
      </c>
      <c r="E303" s="34" t="str">
        <f>Database!P315</f>
        <v>100 mg</v>
      </c>
      <c r="F303" s="34" t="str">
        <f>Database!Q315</f>
        <v>H2O mQ to 100 mM</v>
      </c>
      <c r="G303" s="462">
        <f>Database!R315</f>
        <v>0</v>
      </c>
      <c r="H303" s="35">
        <f>Database!N315</f>
        <v>42326</v>
      </c>
    </row>
    <row r="304" spans="1:8" ht="30" x14ac:dyDescent="0.25">
      <c r="A304" s="225" t="str">
        <f>Database!A316</f>
        <v>15SAM120</v>
      </c>
      <c r="B304" s="34" t="str">
        <f>Database!E316</f>
        <v>TAKEDA</v>
      </c>
      <c r="C304" s="34" t="str">
        <f>Database!F316</f>
        <v>mCPBG</v>
      </c>
      <c r="D304" s="34">
        <f>Database!K316</f>
        <v>248.11</v>
      </c>
      <c r="E304" s="34" t="str">
        <f>Database!P316</f>
        <v>100 mg</v>
      </c>
      <c r="F304" s="34" t="str">
        <f>Database!Q316</f>
        <v>H2O mQ to 100 mM</v>
      </c>
      <c r="G304" s="462">
        <f>Database!R316</f>
        <v>0</v>
      </c>
      <c r="H304" s="35">
        <f>Database!N316</f>
        <v>42326</v>
      </c>
    </row>
    <row r="305" spans="1:8" ht="30" x14ac:dyDescent="0.25">
      <c r="A305" s="225" t="str">
        <f>Database!A317</f>
        <v>15SAM121</v>
      </c>
      <c r="B305" s="34" t="str">
        <f>Database!E317</f>
        <v>IRONWOOD</v>
      </c>
      <c r="C305" s="34" t="str">
        <f>Database!F317</f>
        <v>MM-449446</v>
      </c>
      <c r="D305" s="34">
        <f>Database!K317</f>
        <v>355.3</v>
      </c>
      <c r="E305" s="34" t="str">
        <f>Database!P317</f>
        <v>11.7 mg</v>
      </c>
      <c r="F305" s="34" t="str">
        <f>Database!Q317</f>
        <v>DMSO</v>
      </c>
      <c r="G305" s="462">
        <f>Database!R317</f>
        <v>0</v>
      </c>
      <c r="H305" s="35">
        <f>Database!N317</f>
        <v>42328</v>
      </c>
    </row>
    <row r="306" spans="1:8" ht="30" x14ac:dyDescent="0.25">
      <c r="A306" s="225" t="str">
        <f>Database!A318</f>
        <v>15SAM122</v>
      </c>
      <c r="B306" s="34" t="str">
        <f>Database!E318</f>
        <v>IRONWOOD</v>
      </c>
      <c r="C306" s="34" t="str">
        <f>Database!F318</f>
        <v>MM-500077</v>
      </c>
      <c r="D306" s="34">
        <f>Database!K318</f>
        <v>395.46</v>
      </c>
      <c r="E306" s="34" t="str">
        <f>Database!P318</f>
        <v>10.5 mg</v>
      </c>
      <c r="F306" s="34" t="str">
        <f>Database!Q318</f>
        <v>DMSO</v>
      </c>
      <c r="G306" s="462">
        <f>Database!R318</f>
        <v>0</v>
      </c>
      <c r="H306" s="35">
        <f>Database!N318</f>
        <v>42328</v>
      </c>
    </row>
    <row r="307" spans="1:8" ht="30" x14ac:dyDescent="0.25">
      <c r="A307" s="225" t="str">
        <f>Database!A319</f>
        <v>15SAM123</v>
      </c>
      <c r="B307" s="34" t="str">
        <f>Database!E319</f>
        <v>IRONWOOD</v>
      </c>
      <c r="C307" s="34" t="str">
        <f>Database!F319</f>
        <v>MM-464575</v>
      </c>
      <c r="D307" s="34">
        <f>Database!K319</f>
        <v>345.28</v>
      </c>
      <c r="E307" s="34" t="str">
        <f>Database!P319</f>
        <v>10.2 mg</v>
      </c>
      <c r="F307" s="34" t="str">
        <f>Database!Q319</f>
        <v>DMSO</v>
      </c>
      <c r="G307" s="462">
        <f>Database!R319</f>
        <v>0</v>
      </c>
      <c r="H307" s="35">
        <f>Database!N319</f>
        <v>42328</v>
      </c>
    </row>
    <row r="308" spans="1:8" ht="30" x14ac:dyDescent="0.25">
      <c r="A308" s="225" t="str">
        <f>Database!A320</f>
        <v>15SAM124</v>
      </c>
      <c r="B308" s="34" t="str">
        <f>Database!E320</f>
        <v>AstraZeneca</v>
      </c>
      <c r="C308" s="34" t="str">
        <f>Database!F320</f>
        <v>AZ13812727-002</v>
      </c>
      <c r="D308" s="34">
        <f>Database!K320</f>
        <v>498.63200000000001</v>
      </c>
      <c r="E308" s="34" t="str">
        <f>Database!P320</f>
        <v>10.0 mg</v>
      </c>
      <c r="F308" s="34" t="str">
        <f>Database!Q320</f>
        <v>DMSO</v>
      </c>
      <c r="G308" s="462">
        <f>Database!R320</f>
        <v>0</v>
      </c>
      <c r="H308" s="35">
        <f>Database!N320</f>
        <v>42331</v>
      </c>
    </row>
    <row r="309" spans="1:8" ht="45" x14ac:dyDescent="0.25">
      <c r="A309" s="225" t="str">
        <f>Database!A321</f>
        <v>15SAM125</v>
      </c>
      <c r="B309" s="34" t="str">
        <f>Database!E321</f>
        <v>AstraZeneca</v>
      </c>
      <c r="C309" s="34" t="str">
        <f>Database!F321</f>
        <v>MK-801 hydrogen maleate</v>
      </c>
      <c r="D309" s="34">
        <f>Database!K321</f>
        <v>337.37</v>
      </c>
      <c r="E309" s="34" t="str">
        <f>Database!P321</f>
        <v>25 mg</v>
      </c>
      <c r="F309" s="34" t="str">
        <f>Database!Q321</f>
        <v>DMSO</v>
      </c>
      <c r="G309" s="462">
        <f>Database!R321</f>
        <v>0</v>
      </c>
      <c r="H309" s="35">
        <f>Database!N321</f>
        <v>42332</v>
      </c>
    </row>
    <row r="310" spans="1:8" ht="60" x14ac:dyDescent="0.25">
      <c r="A310" s="225" t="str">
        <f>Database!A322</f>
        <v>15SAM126</v>
      </c>
      <c r="B310" s="34" t="str">
        <f>Database!E322</f>
        <v>AstraZeneca</v>
      </c>
      <c r="C310" s="34" t="str">
        <f>Database!F322</f>
        <v>Scopolamine hydrobromide</v>
      </c>
      <c r="D310" s="34">
        <f>Database!K322</f>
        <v>438.31</v>
      </c>
      <c r="E310" s="34" t="str">
        <f>Database!P322</f>
        <v>1000 mg</v>
      </c>
      <c r="F310" s="34" t="str">
        <f>Database!Q322</f>
        <v>H2O</v>
      </c>
      <c r="G310" s="462">
        <f>Database!R322</f>
        <v>0</v>
      </c>
      <c r="H310" s="35">
        <f>Database!N322</f>
        <v>42332</v>
      </c>
    </row>
    <row r="311" spans="1:8" ht="23.25" x14ac:dyDescent="0.25">
      <c r="A311" s="225" t="str">
        <f>Database!A323</f>
        <v>15SAM127</v>
      </c>
      <c r="B311" s="34" t="str">
        <f>Database!E323</f>
        <v>ORION</v>
      </c>
      <c r="C311" s="34" t="str">
        <f>Database!F323</f>
        <v>orin01-042</v>
      </c>
      <c r="D311" s="34">
        <f>Database!K323</f>
        <v>309.13</v>
      </c>
      <c r="E311" s="34" t="str">
        <f>Database!P323</f>
        <v>30.8 mg</v>
      </c>
      <c r="F311" s="34" t="str">
        <f>Database!Q323</f>
        <v>DMSO</v>
      </c>
      <c r="G311" s="462">
        <f>Database!R323</f>
        <v>0</v>
      </c>
      <c r="H311" s="35">
        <f>Database!N323</f>
        <v>42333</v>
      </c>
    </row>
    <row r="312" spans="1:8" ht="30" x14ac:dyDescent="0.25">
      <c r="A312" s="225" t="str">
        <f>Database!A324</f>
        <v>15SAM128</v>
      </c>
      <c r="B312" s="34" t="str">
        <f>Database!E324</f>
        <v>AMGEN</v>
      </c>
      <c r="C312" s="34" t="str">
        <f>Database!F324</f>
        <v>AMG3147994</v>
      </c>
      <c r="D312" s="34">
        <f>Database!K324</f>
        <v>383.42</v>
      </c>
      <c r="E312" s="34" t="str">
        <f>Database!P324</f>
        <v>6,7mg</v>
      </c>
      <c r="F312" s="34" t="str">
        <f>Database!Q324</f>
        <v>DMSO</v>
      </c>
      <c r="G312" s="462">
        <f>Database!R324</f>
        <v>0</v>
      </c>
      <c r="H312" s="35">
        <f>Database!N324</f>
        <v>42335</v>
      </c>
    </row>
    <row r="313" spans="1:8" ht="45" x14ac:dyDescent="0.25">
      <c r="A313" s="225" t="str">
        <f>Database!A325</f>
        <v>15SAM129</v>
      </c>
      <c r="B313" s="34" t="str">
        <f>Database!E325</f>
        <v>EIP Pharma</v>
      </c>
      <c r="C313" s="34" t="str">
        <f>Database!F325</f>
        <v>Interleukin 1 beta (rrIL-1β)</v>
      </c>
      <c r="D313" s="34" t="str">
        <f>Database!K325</f>
        <v>17000 g/mol</v>
      </c>
      <c r="E313" s="34" t="str">
        <f>Database!P325</f>
        <v>50 µg</v>
      </c>
      <c r="F313" s="34" t="str">
        <f>Database!Q325</f>
        <v>100 µg/mL in PBS</v>
      </c>
      <c r="G313" s="462">
        <f>Database!R325</f>
        <v>0</v>
      </c>
      <c r="H313" s="35">
        <f>Database!N325</f>
        <v>42334</v>
      </c>
    </row>
    <row r="314" spans="1:8" ht="30" x14ac:dyDescent="0.25">
      <c r="A314" s="225" t="str">
        <f>Database!A326</f>
        <v>15SAM130</v>
      </c>
      <c r="B314" s="34" t="str">
        <f>Database!E326</f>
        <v>EIP Pharma</v>
      </c>
      <c r="C314" s="34" t="str">
        <f>Database!F326</f>
        <v>VX 745</v>
      </c>
      <c r="D314" s="34">
        <f>Database!K326</f>
        <v>436.26</v>
      </c>
      <c r="E314" s="34" t="str">
        <f>Database!P326</f>
        <v>10 mg</v>
      </c>
      <c r="F314" s="34" t="str">
        <f>Database!Q326</f>
        <v>DMSO to 100 mM</v>
      </c>
      <c r="G314" s="462">
        <f>Database!R326</f>
        <v>0</v>
      </c>
      <c r="H314" s="35">
        <f>Database!N326</f>
        <v>42334</v>
      </c>
    </row>
    <row r="315" spans="1:8" ht="30" x14ac:dyDescent="0.25">
      <c r="A315" s="225" t="str">
        <f>Database!A327</f>
        <v>15SAM131</v>
      </c>
      <c r="B315" s="34" t="str">
        <f>Database!E327</f>
        <v>Daiichi Sankyo</v>
      </c>
      <c r="C315" s="34" t="str">
        <f>Database!F327</f>
        <v>Pregabalin (ROX-2323)</v>
      </c>
      <c r="D315" s="34">
        <f>Database!K327</f>
        <v>159.22999999999999</v>
      </c>
      <c r="E315" s="34" t="str">
        <f>Database!P327</f>
        <v>77 mg</v>
      </c>
      <c r="F315" s="34" t="str">
        <f>Database!Q327</f>
        <v>Neurobasal A</v>
      </c>
      <c r="G315" s="462">
        <f>Database!R327</f>
        <v>0</v>
      </c>
      <c r="H315" s="35">
        <f>Database!N327</f>
        <v>42340</v>
      </c>
    </row>
    <row r="316" spans="1:8" ht="30" x14ac:dyDescent="0.25">
      <c r="A316" s="225" t="str">
        <f>Database!A328</f>
        <v>15SAM132</v>
      </c>
      <c r="B316" s="34" t="str">
        <f>Database!E328</f>
        <v>Daiichi Sankyo</v>
      </c>
      <c r="C316" s="34" t="str">
        <f>Database!F328</f>
        <v>A200-0700</v>
      </c>
      <c r="D316" s="34">
        <f>Database!K328</f>
        <v>209.28</v>
      </c>
      <c r="E316" s="34" t="str">
        <f>Database!P328</f>
        <v>202.8 mg</v>
      </c>
      <c r="F316" s="34" t="str">
        <f>Database!Q328</f>
        <v>Neurobasal A</v>
      </c>
      <c r="G316" s="462">
        <f>Database!R328</f>
        <v>0</v>
      </c>
      <c r="H316" s="35">
        <f>Database!N328</f>
        <v>42340</v>
      </c>
    </row>
    <row r="317" spans="1:8" ht="23.25" x14ac:dyDescent="0.25">
      <c r="A317" s="225" t="str">
        <f>Database!A329</f>
        <v>15SAM133</v>
      </c>
      <c r="B317" s="34" t="str">
        <f>Database!E329</f>
        <v>ROCHE</v>
      </c>
      <c r="C317" s="34" t="str">
        <f>Database!F329</f>
        <v>EPPTB</v>
      </c>
      <c r="D317" s="34">
        <f>Database!K329</f>
        <v>378.39</v>
      </c>
      <c r="E317" s="34" t="str">
        <f>Database!P329</f>
        <v>5 mg</v>
      </c>
      <c r="F317" s="34" t="str">
        <f>Database!Q329</f>
        <v>DMSO</v>
      </c>
      <c r="G317" s="462">
        <f>Database!R329</f>
        <v>0</v>
      </c>
      <c r="H317" s="35">
        <f>Database!N329</f>
        <v>42341</v>
      </c>
    </row>
    <row r="318" spans="1:8" ht="30" x14ac:dyDescent="0.25">
      <c r="A318" s="225" t="str">
        <f>Database!A330</f>
        <v>15REF134</v>
      </c>
      <c r="B318" s="34" t="str">
        <f>Database!E330</f>
        <v>NEUROSERVICE</v>
      </c>
      <c r="C318" s="34" t="str">
        <f>Database!F330</f>
        <v>Methylene blue</v>
      </c>
      <c r="D318" s="34">
        <f>Database!K330</f>
        <v>373.9</v>
      </c>
      <c r="E318" s="34" t="str">
        <f>Database!P330</f>
        <v>25 g</v>
      </c>
      <c r="F318" s="34" t="str">
        <f>Database!Q330</f>
        <v>4 mg/ml H2O mQ</v>
      </c>
      <c r="G318" s="462">
        <f>Database!R330</f>
        <v>0</v>
      </c>
      <c r="H318" s="35">
        <f>Database!N330</f>
        <v>42346</v>
      </c>
    </row>
    <row r="319" spans="1:8" ht="45" x14ac:dyDescent="0.25">
      <c r="A319" s="225" t="str">
        <f>Database!A331</f>
        <v>15SAM135</v>
      </c>
      <c r="B319" s="34" t="str">
        <f>Database!E331</f>
        <v>EIP Pharma</v>
      </c>
      <c r="C319" s="34" t="str">
        <f>Database!F331</f>
        <v>Interleukin 1 beta (rrIL-1β)</v>
      </c>
      <c r="D319" s="34" t="str">
        <f>Database!K331</f>
        <v>17000 g/mol</v>
      </c>
      <c r="E319" s="34" t="str">
        <f>Database!P331</f>
        <v>50 µg</v>
      </c>
      <c r="F319" s="34" t="str">
        <f>Database!Q331</f>
        <v>100 µg/mL in PBS</v>
      </c>
      <c r="G319" s="462">
        <f>Database!R331</f>
        <v>0</v>
      </c>
      <c r="H319" s="35">
        <f>Database!N331</f>
        <v>42347</v>
      </c>
    </row>
    <row r="320" spans="1:8" ht="60" x14ac:dyDescent="0.25">
      <c r="A320" s="225" t="str">
        <f>Database!A332</f>
        <v>15REF136</v>
      </c>
      <c r="B320" s="34" t="str">
        <f>Database!E332</f>
        <v>NEUROSERVICE</v>
      </c>
      <c r="C320" s="34" t="str">
        <f>Database!F332</f>
        <v>Ractopamine hydrochloride</v>
      </c>
      <c r="D320" s="34">
        <f>Database!K332</f>
        <v>351.35</v>
      </c>
      <c r="E320" s="34" t="str">
        <f>Database!P332</f>
        <v>50 mg</v>
      </c>
      <c r="F320" s="34" t="str">
        <f>Database!Q332</f>
        <v>H2O to 20 mM DMSO to 100 mM</v>
      </c>
      <c r="G320" s="462">
        <f>Database!R332</f>
        <v>0</v>
      </c>
      <c r="H320" s="35">
        <f>Database!N332</f>
        <v>42355</v>
      </c>
    </row>
    <row r="321" spans="1:8" ht="30" x14ac:dyDescent="0.25">
      <c r="A321" s="225" t="str">
        <f>Database!A333</f>
        <v>15SAM137</v>
      </c>
      <c r="B321" s="34" t="str">
        <f>Database!E333</f>
        <v>CHDI</v>
      </c>
      <c r="C321" s="34" t="str">
        <f>Database!F333</f>
        <v>CHDI-00487741</v>
      </c>
      <c r="D321" s="34">
        <f>Database!K333</f>
        <v>444.45</v>
      </c>
      <c r="E321" s="34" t="str">
        <f>Database!P333</f>
        <v>20 mg</v>
      </c>
      <c r="F321" s="34" t="str">
        <f>Database!Q333</f>
        <v>DMSO</v>
      </c>
      <c r="G321" s="462">
        <f>Database!R333</f>
        <v>0</v>
      </c>
      <c r="H321" s="35">
        <f>Database!N333</f>
        <v>42360</v>
      </c>
    </row>
    <row r="322" spans="1:8" ht="30" x14ac:dyDescent="0.25">
      <c r="A322" s="225" t="str">
        <f>Database!A334</f>
        <v>15SAM138</v>
      </c>
      <c r="B322" s="34" t="str">
        <f>Database!E334</f>
        <v>CHDI</v>
      </c>
      <c r="C322" s="34" t="str">
        <f>Database!F334</f>
        <v>CHDI-00051910</v>
      </c>
      <c r="D322" s="34">
        <f>Database!K334</f>
        <v>182.65</v>
      </c>
      <c r="E322" s="34" t="str">
        <f>Database!P334</f>
        <v>10 mg</v>
      </c>
      <c r="F322" s="34" t="str">
        <f>Database!Q334</f>
        <v>H2O mQ</v>
      </c>
      <c r="G322" s="462">
        <f>Database!R334</f>
        <v>0</v>
      </c>
      <c r="H322" s="35">
        <f>Database!N334</f>
        <v>42360</v>
      </c>
    </row>
    <row r="323" spans="1:8" ht="30" x14ac:dyDescent="0.25">
      <c r="A323" s="225" t="str">
        <f>Database!A336</f>
        <v>16SAM001</v>
      </c>
      <c r="B323" s="34" t="str">
        <f>Database!E336</f>
        <v>AMGEN</v>
      </c>
      <c r="C323" s="34" t="str">
        <f>Database!F336</f>
        <v>CYN 154806</v>
      </c>
      <c r="D323" s="34">
        <f>Database!K336</f>
        <v>1197.4000000000001</v>
      </c>
      <c r="E323" s="34" t="str">
        <f>Database!P336</f>
        <v>1 mg</v>
      </c>
      <c r="F323" s="34" t="str">
        <f>Database!Q336</f>
        <v>1 mg/mL in H2O mQ</v>
      </c>
      <c r="G323" s="462">
        <f>Database!R336</f>
        <v>0</v>
      </c>
      <c r="H323" s="35">
        <f>Database!N336</f>
        <v>42374</v>
      </c>
    </row>
    <row r="324" spans="1:8" ht="30" x14ac:dyDescent="0.25">
      <c r="A324" s="225" t="str">
        <f>Database!A337</f>
        <v>16SAM002</v>
      </c>
      <c r="B324" s="34" t="str">
        <f>Database!E337</f>
        <v>AMGEN</v>
      </c>
      <c r="C324" s="34" t="str">
        <f>Database!F337</f>
        <v>CYN 154806</v>
      </c>
      <c r="D324" s="34">
        <f>Database!K337</f>
        <v>1197.4000000000001</v>
      </c>
      <c r="E324" s="34" t="str">
        <f>Database!P337</f>
        <v>1 mg</v>
      </c>
      <c r="F324" s="34" t="str">
        <f>Database!Q337</f>
        <v>1 mg/mL in H2O mQ</v>
      </c>
      <c r="G324" s="462">
        <f>Database!R337</f>
        <v>0</v>
      </c>
      <c r="H324" s="35">
        <f>Database!N337</f>
        <v>42374</v>
      </c>
    </row>
    <row r="325" spans="1:8" ht="30" x14ac:dyDescent="0.25">
      <c r="A325" s="225" t="str">
        <f>Database!A338</f>
        <v>16REF003</v>
      </c>
      <c r="B325" s="34" t="str">
        <f>Database!E338</f>
        <v>NEUROSERVICE</v>
      </c>
      <c r="C325" s="34" t="str">
        <f>Database!F338</f>
        <v>Gabapentine</v>
      </c>
      <c r="D325" s="34">
        <f>Database!K338</f>
        <v>171.24</v>
      </c>
      <c r="E325" s="34" t="str">
        <f>Database!P338</f>
        <v>10 mg</v>
      </c>
      <c r="F325" s="34" t="str">
        <f>Database!Q338</f>
        <v>H2O to 10 mg/mL</v>
      </c>
      <c r="G325" s="462">
        <f>Database!R338</f>
        <v>0</v>
      </c>
      <c r="H325" s="35">
        <f>Database!N338</f>
        <v>42375</v>
      </c>
    </row>
    <row r="326" spans="1:8" ht="60" x14ac:dyDescent="0.25">
      <c r="A326" s="225" t="str">
        <f>Database!A339</f>
        <v>16SAM004</v>
      </c>
      <c r="B326" s="34" t="str">
        <f>Database!E339</f>
        <v>Janssen</v>
      </c>
      <c r="C326" s="34" t="str">
        <f>Database!F339</f>
        <v>MK-801 maleate (Dizocilpine)</v>
      </c>
      <c r="D326" s="34">
        <f>Database!K339</f>
        <v>337.37</v>
      </c>
      <c r="E326" s="34" t="str">
        <f>Database!P339</f>
        <v>50mg</v>
      </c>
      <c r="F326" s="34" t="str">
        <f>Database!Q339</f>
        <v>25mM in H2O mQ</v>
      </c>
      <c r="G326" s="462">
        <f>Database!R339</f>
        <v>0</v>
      </c>
      <c r="H326" s="35">
        <f>Database!N339</f>
        <v>42376</v>
      </c>
    </row>
    <row r="327" spans="1:8" ht="30" x14ac:dyDescent="0.25">
      <c r="A327" s="225" t="str">
        <f>Database!A340</f>
        <v>16SAM005</v>
      </c>
      <c r="B327" s="34" t="str">
        <f>Database!E340</f>
        <v>Janssen</v>
      </c>
      <c r="C327" s="34" t="str">
        <f>Database!F340</f>
        <v>NBQX</v>
      </c>
      <c r="D327" s="34">
        <f>Database!K340</f>
        <v>340.78</v>
      </c>
      <c r="E327" s="34" t="str">
        <f>Database!P340</f>
        <v>10mg</v>
      </c>
      <c r="F327" s="34" t="str">
        <f>Database!Q340</f>
        <v>DMSO to 100 mM</v>
      </c>
      <c r="G327" s="462">
        <f>Database!R340</f>
        <v>0</v>
      </c>
      <c r="H327" s="35">
        <f>Database!N340</f>
        <v>42376</v>
      </c>
    </row>
    <row r="328" spans="1:8" ht="30" x14ac:dyDescent="0.25">
      <c r="A328" s="225" t="str">
        <f>Database!A341</f>
        <v>16SAM006</v>
      </c>
      <c r="B328" s="34" t="str">
        <f>Database!E341</f>
        <v>Janssen</v>
      </c>
      <c r="C328" s="34" t="str">
        <f>Database!F341</f>
        <v>NBQX</v>
      </c>
      <c r="D328" s="34">
        <f>Database!K341</f>
        <v>340.78</v>
      </c>
      <c r="E328" s="34" t="str">
        <f>Database!P341</f>
        <v>10mg</v>
      </c>
      <c r="F328" s="34" t="str">
        <f>Database!Q341</f>
        <v>DMSO to 100 mM</v>
      </c>
      <c r="G328" s="462">
        <f>Database!R341</f>
        <v>0</v>
      </c>
      <c r="H328" s="35">
        <f>Database!N341</f>
        <v>42376</v>
      </c>
    </row>
    <row r="329" spans="1:8" ht="30" x14ac:dyDescent="0.25">
      <c r="A329" s="225" t="str">
        <f>Database!A342</f>
        <v>16SAM007</v>
      </c>
      <c r="B329" s="34" t="str">
        <f>Database!E342</f>
        <v>Janssen</v>
      </c>
      <c r="C329" s="34" t="str">
        <f>Database!F342</f>
        <v>SR95531</v>
      </c>
      <c r="D329" s="34">
        <f>Database!K342</f>
        <v>368.23</v>
      </c>
      <c r="E329" s="34" t="str">
        <f>Database!P342</f>
        <v>50mg</v>
      </c>
      <c r="F329" s="34" t="str">
        <f>Database!Q342</f>
        <v>25mM in H2O mQ</v>
      </c>
      <c r="G329" s="462">
        <f>Database!R342</f>
        <v>0</v>
      </c>
      <c r="H329" s="35">
        <f>Database!N342</f>
        <v>42376</v>
      </c>
    </row>
    <row r="330" spans="1:8" ht="45" x14ac:dyDescent="0.25">
      <c r="A330" s="225" t="str">
        <f>Database!A343</f>
        <v>16SAM008</v>
      </c>
      <c r="B330" s="34" t="str">
        <f>Database!E343</f>
        <v>Janssen</v>
      </c>
      <c r="C330" s="34" t="str">
        <f>Database!F343</f>
        <v>Strychnine hydrochloride</v>
      </c>
      <c r="D330" s="34">
        <f>Database!K343</f>
        <v>402.4</v>
      </c>
      <c r="E330" s="34" t="str">
        <f>Database!P343</f>
        <v>100mg</v>
      </c>
      <c r="F330" s="34" t="str">
        <f>Database!Q343</f>
        <v>50mM in H2O mQ</v>
      </c>
      <c r="G330" s="462">
        <f>Database!R343</f>
        <v>0</v>
      </c>
      <c r="H330" s="35">
        <f>Database!N343</f>
        <v>42376</v>
      </c>
    </row>
    <row r="331" spans="1:8" ht="45" x14ac:dyDescent="0.25">
      <c r="A331" s="225" t="str">
        <f>Database!A344</f>
        <v>16SAM009</v>
      </c>
      <c r="B331" s="34" t="str">
        <f>Database!E344</f>
        <v>Janssen</v>
      </c>
      <c r="C331" s="34" t="str">
        <f>Database!F344</f>
        <v>GYKI 53655</v>
      </c>
      <c r="D331" s="34">
        <f>Database!K344</f>
        <v>429.39</v>
      </c>
      <c r="E331" s="34" t="str">
        <f>Database!P344</f>
        <v>10mg</v>
      </c>
      <c r="F331" s="34" t="str">
        <f>Database!Q344</f>
        <v>100mM in H2O mQ or DMSO</v>
      </c>
      <c r="G331" s="462">
        <f>Database!R344</f>
        <v>0</v>
      </c>
      <c r="H331" s="35">
        <f>Database!N344</f>
        <v>42376</v>
      </c>
    </row>
    <row r="332" spans="1:8" ht="30" x14ac:dyDescent="0.25">
      <c r="A332" s="225" t="str">
        <f>Database!A345</f>
        <v>16SAM010</v>
      </c>
      <c r="B332" s="34" t="str">
        <f>Database!E345</f>
        <v>AMGEN</v>
      </c>
      <c r="C332" s="34" t="str">
        <f>Database!F345</f>
        <v>CYN 154806</v>
      </c>
      <c r="D332" s="34">
        <f>Database!K345</f>
        <v>1197.4000000000001</v>
      </c>
      <c r="E332" s="34" t="str">
        <f>Database!P345</f>
        <v>1 mg</v>
      </c>
      <c r="F332" s="34" t="str">
        <f>Database!Q345</f>
        <v>1 mg/mL in H2O mQ</v>
      </c>
      <c r="G332" s="462">
        <f>Database!R345</f>
        <v>0</v>
      </c>
      <c r="H332" s="35">
        <f>Database!N345</f>
        <v>42374</v>
      </c>
    </row>
    <row r="333" spans="1:8" ht="30" x14ac:dyDescent="0.25">
      <c r="A333" s="225" t="str">
        <f>Database!A346</f>
        <v>16SAM011</v>
      </c>
      <c r="B333" s="34" t="str">
        <f>Database!E346</f>
        <v>AMGEN</v>
      </c>
      <c r="C333" s="34" t="str">
        <f>Database!F346</f>
        <v>CYN 154806</v>
      </c>
      <c r="D333" s="34">
        <f>Database!K346</f>
        <v>1197.4000000000001</v>
      </c>
      <c r="E333" s="34" t="str">
        <f>Database!P346</f>
        <v>1 mg</v>
      </c>
      <c r="F333" s="34" t="str">
        <f>Database!Q346</f>
        <v>1 mg/mL in H2O mQ</v>
      </c>
      <c r="G333" s="462">
        <f>Database!R346</f>
        <v>0</v>
      </c>
      <c r="H333" s="35">
        <f>Database!N346</f>
        <v>42374</v>
      </c>
    </row>
    <row r="334" spans="1:8" ht="30" x14ac:dyDescent="0.25">
      <c r="A334" s="225" t="str">
        <f>Database!A347</f>
        <v>16SAM012</v>
      </c>
      <c r="B334" s="34" t="str">
        <f>Database!E347</f>
        <v>AMGEN</v>
      </c>
      <c r="C334" s="34" t="str">
        <f>Database!F347</f>
        <v>CYN 154806</v>
      </c>
      <c r="D334" s="34">
        <f>Database!K347</f>
        <v>1197.4000000000001</v>
      </c>
      <c r="E334" s="34" t="str">
        <f>Database!P347</f>
        <v>1 mg</v>
      </c>
      <c r="F334" s="34" t="str">
        <f>Database!Q347</f>
        <v>1 mg/mL in H2O mQ</v>
      </c>
      <c r="G334" s="462">
        <f>Database!R347</f>
        <v>0</v>
      </c>
      <c r="H334" s="35">
        <f>Database!N347</f>
        <v>42374</v>
      </c>
    </row>
    <row r="335" spans="1:8" ht="45" x14ac:dyDescent="0.25">
      <c r="A335" s="225" t="str">
        <f>Database!A348</f>
        <v>16SAM013</v>
      </c>
      <c r="B335" s="34" t="str">
        <f>Database!E348</f>
        <v>Janssen</v>
      </c>
      <c r="C335" s="34" t="str">
        <f>Database!F348</f>
        <v>GYKI 53655</v>
      </c>
      <c r="D335" s="34">
        <f>Database!K348</f>
        <v>429.39</v>
      </c>
      <c r="E335" s="34" t="str">
        <f>Database!P348</f>
        <v>10mg</v>
      </c>
      <c r="F335" s="34" t="str">
        <f>Database!Q348</f>
        <v>100mM in H2O mQ or DMSO</v>
      </c>
      <c r="G335" s="462">
        <f>Database!R348</f>
        <v>0</v>
      </c>
      <c r="H335" s="35">
        <f>Database!N348</f>
        <v>42376</v>
      </c>
    </row>
    <row r="336" spans="1:8" ht="30" x14ac:dyDescent="0.25">
      <c r="A336" s="225" t="str">
        <f>Database!A349</f>
        <v>16SAM014</v>
      </c>
      <c r="B336" s="34" t="str">
        <f>Database!E349</f>
        <v>AMGEN</v>
      </c>
      <c r="C336" s="34" t="str">
        <f>Database!F349</f>
        <v>CYN 154806</v>
      </c>
      <c r="D336" s="34">
        <f>Database!K349</f>
        <v>1197.4000000000001</v>
      </c>
      <c r="E336" s="34" t="str">
        <f>Database!P349</f>
        <v>1 mg</v>
      </c>
      <c r="F336" s="34" t="str">
        <f>Database!Q349</f>
        <v>1 mg/mL in H2O mQ</v>
      </c>
      <c r="G336" s="462">
        <f>Database!R349</f>
        <v>0</v>
      </c>
      <c r="H336" s="35">
        <f>Database!N349</f>
        <v>42377</v>
      </c>
    </row>
    <row r="337" spans="1:8" ht="30" x14ac:dyDescent="0.25">
      <c r="A337" s="225" t="str">
        <f>Database!A350</f>
        <v>16SAM015</v>
      </c>
      <c r="B337" s="34" t="str">
        <f>Database!E350</f>
        <v>AMGEN</v>
      </c>
      <c r="C337" s="34" t="str">
        <f>Database!F350</f>
        <v>CYN 154806</v>
      </c>
      <c r="D337" s="34">
        <f>Database!K350</f>
        <v>1197.4000000000001</v>
      </c>
      <c r="E337" s="34" t="str">
        <f>Database!P350</f>
        <v>1 mg</v>
      </c>
      <c r="F337" s="34" t="str">
        <f>Database!Q350</f>
        <v>1 mg/mL in H2O mQ</v>
      </c>
      <c r="G337" s="462">
        <f>Database!R350</f>
        <v>0</v>
      </c>
      <c r="H337" s="35">
        <f>Database!N350</f>
        <v>42377</v>
      </c>
    </row>
    <row r="338" spans="1:8" ht="45" x14ac:dyDescent="0.25">
      <c r="A338" s="225" t="str">
        <f>Database!A351</f>
        <v>16SAM016</v>
      </c>
      <c r="B338" s="34" t="str">
        <f>Database!E351</f>
        <v>Esteve Pharma</v>
      </c>
      <c r="C338" s="34" t="str">
        <f>Database!F351</f>
        <v>EST0014400 (Gabapentin)</v>
      </c>
      <c r="D338" s="34">
        <f>Database!K351</f>
        <v>171.23699999999999</v>
      </c>
      <c r="E338" s="34" t="str">
        <f>Database!P351</f>
        <v>5.02 mg</v>
      </c>
      <c r="F338" s="34" t="str">
        <f>Database!Q351</f>
        <v>H2O mQ</v>
      </c>
      <c r="G338" s="462">
        <f>Database!R351</f>
        <v>0</v>
      </c>
      <c r="H338" s="35">
        <f>Database!N351</f>
        <v>42380</v>
      </c>
    </row>
    <row r="339" spans="1:8" ht="60" x14ac:dyDescent="0.25">
      <c r="A339" s="225" t="str">
        <f>Database!A352</f>
        <v>16SAM017</v>
      </c>
      <c r="B339" s="34" t="str">
        <f>Database!E352</f>
        <v>Esteve Pharma</v>
      </c>
      <c r="C339" s="34" t="str">
        <f>Database!F352</f>
        <v>EST0008676.A (Pregabalin)</v>
      </c>
      <c r="D339" s="34">
        <f>Database!K352</f>
        <v>213.702</v>
      </c>
      <c r="E339" s="34" t="str">
        <f>Database!P352</f>
        <v>5.39 mg</v>
      </c>
      <c r="F339" s="34" t="str">
        <f>Database!Q352</f>
        <v>H2O mQ</v>
      </c>
      <c r="G339" s="462">
        <f>Database!R352</f>
        <v>0</v>
      </c>
      <c r="H339" s="35">
        <f>Database!N352</f>
        <v>42380</v>
      </c>
    </row>
    <row r="340" spans="1:8" ht="30" x14ac:dyDescent="0.25">
      <c r="A340" s="225" t="str">
        <f>Database!A353</f>
        <v>16SAM018</v>
      </c>
      <c r="B340" s="34" t="str">
        <f>Database!E353</f>
        <v>AMGEN</v>
      </c>
      <c r="C340" s="34" t="str">
        <f>Database!F353</f>
        <v>CYN 154806</v>
      </c>
      <c r="D340" s="34">
        <f>Database!K353</f>
        <v>1197.4000000000001</v>
      </c>
      <c r="E340" s="34" t="str">
        <f>Database!P353</f>
        <v>1 mg</v>
      </c>
      <c r="F340" s="34" t="str">
        <f>Database!Q353</f>
        <v>1 mg/mL in H2O mQ</v>
      </c>
      <c r="G340" s="462">
        <f>Database!R353</f>
        <v>0</v>
      </c>
      <c r="H340" s="35">
        <f>Database!N353</f>
        <v>42381</v>
      </c>
    </row>
    <row r="341" spans="1:8" ht="30" x14ac:dyDescent="0.25">
      <c r="A341" s="225" t="str">
        <f>Database!A354</f>
        <v>16REF019</v>
      </c>
      <c r="B341" s="34" t="str">
        <f>Database!E354</f>
        <v>NEUROSERVICE</v>
      </c>
      <c r="C341" s="34" t="str">
        <f>Database!F354</f>
        <v>Kynurenic acid</v>
      </c>
      <c r="D341" s="34">
        <f>Database!K354</f>
        <v>189.17</v>
      </c>
      <c r="E341" s="34" t="str">
        <f>Database!P354</f>
        <v>5 g</v>
      </c>
      <c r="F341" s="34">
        <f>Database!Q354</f>
        <v>0</v>
      </c>
      <c r="G341" s="462">
        <f>Database!R354</f>
        <v>0</v>
      </c>
      <c r="H341" s="35">
        <f>Database!N354</f>
        <v>41810</v>
      </c>
    </row>
    <row r="342" spans="1:8" ht="30" x14ac:dyDescent="0.25">
      <c r="A342" s="225" t="str">
        <f>Database!A355</f>
        <v>16REF020</v>
      </c>
      <c r="B342" s="34" t="str">
        <f>Database!E355</f>
        <v>NEUROSERVICE</v>
      </c>
      <c r="C342" s="34" t="str">
        <f>Database!F355</f>
        <v>Kynurenic acid</v>
      </c>
      <c r="D342" s="34">
        <f>Database!K355</f>
        <v>189.17</v>
      </c>
      <c r="E342" s="34" t="str">
        <f>Database!P355</f>
        <v>5 g</v>
      </c>
      <c r="F342" s="34">
        <f>Database!Q355</f>
        <v>0</v>
      </c>
      <c r="G342" s="462">
        <f>Database!R355</f>
        <v>0</v>
      </c>
      <c r="H342" s="35">
        <f>Database!N355</f>
        <v>42383</v>
      </c>
    </row>
    <row r="343" spans="1:8" ht="45" x14ac:dyDescent="0.25">
      <c r="A343" s="225" t="str">
        <f>Database!A356</f>
        <v>16REF021</v>
      </c>
      <c r="B343" s="34" t="str">
        <f>Database!E356</f>
        <v>NEUROSERVICE</v>
      </c>
      <c r="C343" s="34" t="str">
        <f>Database!F356</f>
        <v>Donepezil hydrochloride</v>
      </c>
      <c r="D343" s="34">
        <f>Database!K356</f>
        <v>415.95</v>
      </c>
      <c r="E343" s="34" t="str">
        <f>Database!P356</f>
        <v>10 mg</v>
      </c>
      <c r="F343" s="34" t="str">
        <f>Database!Q356</f>
        <v>H2O mQ up to 75 mM</v>
      </c>
      <c r="G343" s="462">
        <f>Database!R356</f>
        <v>0</v>
      </c>
      <c r="H343" s="35">
        <f>Database!N356</f>
        <v>42390</v>
      </c>
    </row>
    <row r="344" spans="1:8" ht="45" x14ac:dyDescent="0.25">
      <c r="A344" s="225" t="str">
        <f>Database!A357</f>
        <v>16SAM022</v>
      </c>
      <c r="B344" s="34" t="str">
        <f>Database!E357</f>
        <v>ROIVANT</v>
      </c>
      <c r="C344" s="34" t="str">
        <f>Database!F357</f>
        <v>Donepezil hydrochloride</v>
      </c>
      <c r="D344" s="34">
        <f>Database!K357</f>
        <v>415.95</v>
      </c>
      <c r="E344" s="34" t="str">
        <f>Database!P357</f>
        <v>1 g</v>
      </c>
      <c r="F344" s="34" t="str">
        <f>Database!Q357</f>
        <v>DMSO</v>
      </c>
      <c r="G344" s="462">
        <f>Database!R357</f>
        <v>0</v>
      </c>
      <c r="H344" s="35">
        <f>Database!N357</f>
        <v>42394</v>
      </c>
    </row>
    <row r="345" spans="1:8" ht="45" x14ac:dyDescent="0.25">
      <c r="A345" s="225" t="str">
        <f>Database!A358</f>
        <v>16SAM023</v>
      </c>
      <c r="B345" s="34" t="str">
        <f>Database!E358</f>
        <v>EIP Pharma</v>
      </c>
      <c r="C345" s="34" t="str">
        <f>Database!F358</f>
        <v>Interleukin 1 beta (rrIL-1β)</v>
      </c>
      <c r="D345" s="34" t="str">
        <f>Database!K358</f>
        <v>17000 g/mol</v>
      </c>
      <c r="E345" s="34" t="str">
        <f>Database!P358</f>
        <v>50 µg</v>
      </c>
      <c r="F345" s="34" t="str">
        <f>Database!Q358</f>
        <v>&gt; 97 % purity, 100 µg/mL PBS</v>
      </c>
      <c r="G345" s="462">
        <f>Database!R358</f>
        <v>0</v>
      </c>
      <c r="H345" s="35">
        <f>Database!N358</f>
        <v>42396</v>
      </c>
    </row>
    <row r="346" spans="1:8" ht="45" x14ac:dyDescent="0.25">
      <c r="A346" s="225" t="str">
        <f>Database!A359</f>
        <v>16SAM024</v>
      </c>
      <c r="B346" s="34" t="str">
        <f>Database!E359</f>
        <v>ROIVANT</v>
      </c>
      <c r="C346" s="34" t="str">
        <f>Database!F359</f>
        <v>RVT-101  PRS101</v>
      </c>
      <c r="D346" s="34">
        <f>Database!K359</f>
        <v>353.44</v>
      </c>
      <c r="E346" s="34" t="str">
        <f>Database!P359</f>
        <v>~ 25 mg</v>
      </c>
      <c r="F346" s="34" t="str">
        <f>Database!Q359</f>
        <v>&gt; 99.8% purity, DMSO</v>
      </c>
      <c r="G346" s="462">
        <f>Database!R359</f>
        <v>0</v>
      </c>
      <c r="H346" s="35">
        <f>Database!N359</f>
        <v>42396</v>
      </c>
    </row>
    <row r="347" spans="1:8" ht="30" x14ac:dyDescent="0.25">
      <c r="A347" s="225" t="str">
        <f>Database!A360</f>
        <v>16REF025</v>
      </c>
      <c r="B347" s="34" t="str">
        <f>Database!E360</f>
        <v>NEUROSERVICE</v>
      </c>
      <c r="C347" s="34" t="str">
        <f>Database!F360</f>
        <v>VU 0463271</v>
      </c>
      <c r="D347" s="34">
        <f>Database!K360</f>
        <v>387</v>
      </c>
      <c r="E347" s="34" t="str">
        <f>Database!P360</f>
        <v>10 mg</v>
      </c>
      <c r="F347" s="34" t="str">
        <f>Database!Q360</f>
        <v>&gt; 98 %, 50 mM DMSO</v>
      </c>
      <c r="G347" s="462">
        <f>Database!R360</f>
        <v>0</v>
      </c>
      <c r="H347" s="35">
        <f>Database!N360</f>
        <v>42404</v>
      </c>
    </row>
    <row r="348" spans="1:8" ht="45" x14ac:dyDescent="0.25">
      <c r="A348" s="225" t="str">
        <f>Database!A361</f>
        <v>16SAM026</v>
      </c>
      <c r="B348" s="34" t="str">
        <f>Database!E361</f>
        <v>SAGE</v>
      </c>
      <c r="C348" s="34" t="str">
        <f>Database!F361</f>
        <v>SGE-00118-02-A</v>
      </c>
      <c r="D348" s="34">
        <f>Database!K361</f>
        <v>402.7</v>
      </c>
      <c r="E348" s="34" t="str">
        <f>Database!P361</f>
        <v>45 mg</v>
      </c>
      <c r="F348" s="34" t="str">
        <f>Database!Q361</f>
        <v>DMSO &amp; 0.01% cremophor</v>
      </c>
      <c r="G348" s="462">
        <f>Database!R361</f>
        <v>0</v>
      </c>
      <c r="H348" s="35">
        <f>Database!N361</f>
        <v>42419</v>
      </c>
    </row>
    <row r="349" spans="1:8" ht="45" x14ac:dyDescent="0.25">
      <c r="A349" s="225" t="str">
        <f>Database!A362</f>
        <v>16SAM027</v>
      </c>
      <c r="B349" s="34" t="str">
        <f>Database!E362</f>
        <v>SAGE</v>
      </c>
      <c r="C349" s="34" t="str">
        <f>Database!F362</f>
        <v>SGE-01731-01-A</v>
      </c>
      <c r="D349" s="34">
        <f>Database!K362</f>
        <v>404.6</v>
      </c>
      <c r="E349" s="34" t="str">
        <f>Database!P362</f>
        <v>15 mg</v>
      </c>
      <c r="F349" s="34" t="str">
        <f>Database!Q362</f>
        <v>DMSO &amp; 0.01% cremophor</v>
      </c>
      <c r="G349" s="462">
        <f>Database!R362</f>
        <v>0</v>
      </c>
      <c r="H349" s="35">
        <f>Database!N362</f>
        <v>42419</v>
      </c>
    </row>
    <row r="350" spans="1:8" ht="45" x14ac:dyDescent="0.25">
      <c r="A350" s="225" t="str">
        <f>Database!A363</f>
        <v>16SAM028</v>
      </c>
      <c r="B350" s="34" t="str">
        <f>Database!E363</f>
        <v>SAGE</v>
      </c>
      <c r="C350" s="34" t="str">
        <f>Database!F363</f>
        <v>SGE-01732-01-A</v>
      </c>
      <c r="D350" s="34">
        <f>Database!K363</f>
        <v>432.7</v>
      </c>
      <c r="E350" s="34" t="str">
        <f>Database!P363</f>
        <v>15 mg</v>
      </c>
      <c r="F350" s="34" t="str">
        <f>Database!Q363</f>
        <v>DMSO &amp; 0.01% cremophor</v>
      </c>
      <c r="G350" s="462">
        <f>Database!R363</f>
        <v>0</v>
      </c>
      <c r="H350" s="35">
        <f>Database!N363</f>
        <v>42419</v>
      </c>
    </row>
    <row r="351" spans="1:8" ht="45" x14ac:dyDescent="0.25">
      <c r="A351" s="225" t="str">
        <f>Database!A364</f>
        <v>16SAM029</v>
      </c>
      <c r="B351" s="34" t="str">
        <f>Database!E364</f>
        <v>ORION</v>
      </c>
      <c r="C351" s="34" t="str">
        <f>Database!F364</f>
        <v>ORM-0160438-001-0003</v>
      </c>
      <c r="D351" s="34">
        <f>Database!K364</f>
        <v>505.05</v>
      </c>
      <c r="E351" s="34" t="str">
        <f>Database!P364</f>
        <v>50.08 mg</v>
      </c>
      <c r="F351" s="34" t="str">
        <f>Database!Q364</f>
        <v>DMSO to 30 mM</v>
      </c>
      <c r="G351" s="462">
        <f>Database!R364</f>
        <v>0</v>
      </c>
      <c r="H351" s="35">
        <f>Database!N364</f>
        <v>42422</v>
      </c>
    </row>
    <row r="352" spans="1:8" ht="45" x14ac:dyDescent="0.25">
      <c r="A352" s="225" t="str">
        <f>Database!A365</f>
        <v>16SAM030</v>
      </c>
      <c r="B352" s="34" t="str">
        <f>Database!E365</f>
        <v>Janssen</v>
      </c>
      <c r="C352" s="34" t="str">
        <f>Database!F365</f>
        <v>Cmpd A / JNJ26116220</v>
      </c>
      <c r="D352" s="34">
        <f>Database!K365</f>
        <v>366.4</v>
      </c>
      <c r="E352" s="34" t="str">
        <f>Database!P365</f>
        <v xml:space="preserve">3.0 mg </v>
      </c>
      <c r="F352" s="34" t="str">
        <f>Database!Q365</f>
        <v>DMSO to 10 mM</v>
      </c>
      <c r="G352" s="462">
        <f>Database!R365</f>
        <v>0</v>
      </c>
      <c r="H352" s="35">
        <f>Database!N365</f>
        <v>42422</v>
      </c>
    </row>
    <row r="353" spans="1:8" ht="45" x14ac:dyDescent="0.25">
      <c r="A353" s="225" t="str">
        <f>Database!A366</f>
        <v>16SAM031</v>
      </c>
      <c r="B353" s="34" t="str">
        <f>Database!E366</f>
        <v>Janssen</v>
      </c>
      <c r="C353" s="34" t="str">
        <f>Database!F366</f>
        <v>Cmpd B / JNJ40875094</v>
      </c>
      <c r="D353" s="34">
        <f>Database!K366</f>
        <v>407.7</v>
      </c>
      <c r="E353" s="34" t="str">
        <f>Database!P366</f>
        <v xml:space="preserve">3.0 mg </v>
      </c>
      <c r="F353" s="34" t="str">
        <f>Database!Q366</f>
        <v>DMSO to 10mM</v>
      </c>
      <c r="G353" s="462">
        <f>Database!R366</f>
        <v>0</v>
      </c>
      <c r="H353" s="35">
        <f>Database!N366</f>
        <v>42422</v>
      </c>
    </row>
    <row r="354" spans="1:8" ht="30" x14ac:dyDescent="0.25">
      <c r="A354" s="225" t="str">
        <f>Database!A367</f>
        <v>16SAM032</v>
      </c>
      <c r="B354" s="34" t="str">
        <f>Database!E367</f>
        <v>ROCHE</v>
      </c>
      <c r="C354" s="34" t="str">
        <f>Database!F367</f>
        <v>RO6889450-004-001</v>
      </c>
      <c r="D354" s="34">
        <f>Database!K367</f>
        <v>350.84300000000002</v>
      </c>
      <c r="E354" s="34" t="str">
        <f>Database!P367</f>
        <v>35 mg</v>
      </c>
      <c r="F354" s="34" t="str">
        <f>Database!Q367</f>
        <v>DMSO</v>
      </c>
      <c r="G354" s="462">
        <f>Database!R367</f>
        <v>0</v>
      </c>
      <c r="H354" s="35">
        <f>Database!N367</f>
        <v>42424</v>
      </c>
    </row>
    <row r="355" spans="1:8" ht="30" x14ac:dyDescent="0.25">
      <c r="A355" s="225" t="str">
        <f>Database!A368</f>
        <v>16SAM033</v>
      </c>
      <c r="B355" s="34" t="str">
        <f>Database!E368</f>
        <v>AMGEN</v>
      </c>
      <c r="C355" s="34" t="str">
        <f>Database!F368</f>
        <v>Octreotide</v>
      </c>
      <c r="D355" s="34">
        <f>Database!K368</f>
        <v>1019.24</v>
      </c>
      <c r="E355" s="34" t="str">
        <f>Database!P368</f>
        <v>1 mg</v>
      </c>
      <c r="F355" s="34" t="str">
        <f>Database!Q368</f>
        <v>H2O 1,2mg/ml</v>
      </c>
      <c r="G355" s="462">
        <f>Database!R368</f>
        <v>0</v>
      </c>
      <c r="H355" s="35">
        <f>Database!N368</f>
        <v>42425</v>
      </c>
    </row>
    <row r="356" spans="1:8" ht="23.25" x14ac:dyDescent="0.25">
      <c r="A356" s="225" t="str">
        <f>Database!A369</f>
        <v>16SAM034</v>
      </c>
      <c r="B356" s="34" t="str">
        <f>Database!E369</f>
        <v>ROCHE</v>
      </c>
      <c r="C356" s="34" t="str">
        <f>Database!F369</f>
        <v>Cmpd "P"</v>
      </c>
      <c r="D356" s="34">
        <f>Database!K369</f>
        <v>380.459</v>
      </c>
      <c r="E356" s="34">
        <f>Database!P369</f>
        <v>80.650000000000006</v>
      </c>
      <c r="F356" s="34">
        <f>Database!Q369</f>
        <v>0</v>
      </c>
      <c r="G356" s="462">
        <f>Database!R369</f>
        <v>0</v>
      </c>
      <c r="H356" s="35">
        <f>Database!N369</f>
        <v>42429</v>
      </c>
    </row>
    <row r="357" spans="1:8" ht="45" x14ac:dyDescent="0.25">
      <c r="A357" s="225" t="str">
        <f>Database!A370</f>
        <v>16REF035</v>
      </c>
      <c r="B357" s="34" t="str">
        <f>Database!E370</f>
        <v>NEUROSERVICE</v>
      </c>
      <c r="C357" s="34" t="str">
        <f>Database!F370</f>
        <v>Ketamine Hydrochloride</v>
      </c>
      <c r="D357" s="34">
        <f>Database!K370</f>
        <v>274.19</v>
      </c>
      <c r="E357" s="34" t="str">
        <f>Database!P370</f>
        <v>1 g</v>
      </c>
      <c r="F357" s="34" t="str">
        <f>Database!Q370</f>
        <v>H2O mQ 200 mg/mL</v>
      </c>
      <c r="G357" s="462">
        <f>Database!R370</f>
        <v>0</v>
      </c>
      <c r="H357" s="35">
        <f>Database!N370</f>
        <v>42430</v>
      </c>
    </row>
    <row r="358" spans="1:8" ht="45" x14ac:dyDescent="0.25">
      <c r="A358" s="225" t="str">
        <f>Database!A371</f>
        <v>16SAM036</v>
      </c>
      <c r="B358" s="34" t="str">
        <f>Database!E371</f>
        <v>ROIVANT</v>
      </c>
      <c r="C358" s="34" t="str">
        <f>Database!F371</f>
        <v xml:space="preserve">RVT-101 </v>
      </c>
      <c r="D358" s="34">
        <f>Database!K371</f>
        <v>353.44</v>
      </c>
      <c r="E358" s="34" t="str">
        <f>Database!P371</f>
        <v>250 mg</v>
      </c>
      <c r="F358" s="34" t="str">
        <f>Database!Q371</f>
        <v>&gt; 99.8% purity DMSO</v>
      </c>
      <c r="G358" s="462">
        <f>Database!R371</f>
        <v>0</v>
      </c>
      <c r="H358" s="35">
        <f>Database!N371</f>
        <v>42430</v>
      </c>
    </row>
    <row r="359" spans="1:8" ht="30" x14ac:dyDescent="0.25">
      <c r="A359" s="225" t="str">
        <f>Database!A372</f>
        <v>16SAM037</v>
      </c>
      <c r="B359" s="34" t="str">
        <f>Database!E372</f>
        <v>ABBVIE</v>
      </c>
      <c r="C359" s="34" t="str">
        <f>Database!F372</f>
        <v>Vehicule DMSO</v>
      </c>
      <c r="D359" s="34" t="str">
        <f>Database!K372</f>
        <v>-</v>
      </c>
      <c r="E359" s="34" t="str">
        <f>Database!P372</f>
        <v>4.86 mL</v>
      </c>
      <c r="F359" s="34">
        <f>Database!Q372</f>
        <v>0</v>
      </c>
      <c r="G359" s="462">
        <f>Database!R372</f>
        <v>0</v>
      </c>
      <c r="H359" s="35">
        <f>Database!N372</f>
        <v>42431</v>
      </c>
    </row>
    <row r="360" spans="1:8" ht="30" x14ac:dyDescent="0.25">
      <c r="A360" s="225" t="str">
        <f>Database!A373</f>
        <v>16SAM038</v>
      </c>
      <c r="B360" s="34" t="str">
        <f>Database!E373</f>
        <v>ABBVIE</v>
      </c>
      <c r="C360" s="34" t="str">
        <f>Database!F373</f>
        <v>Compound A</v>
      </c>
      <c r="D360" s="34" t="str">
        <f>Database!K373</f>
        <v>-</v>
      </c>
      <c r="E360" s="34" t="str">
        <f>Database!P373</f>
        <v>4.86 mL</v>
      </c>
      <c r="F360" s="34">
        <f>Database!Q373</f>
        <v>0</v>
      </c>
      <c r="G360" s="462">
        <f>Database!R373</f>
        <v>0</v>
      </c>
      <c r="H360" s="35">
        <f>Database!N373</f>
        <v>42431</v>
      </c>
    </row>
    <row r="361" spans="1:8" ht="30" x14ac:dyDescent="0.25">
      <c r="A361" s="225" t="str">
        <f>Database!A374</f>
        <v>16SAM039</v>
      </c>
      <c r="B361" s="34" t="str">
        <f>Database!E374</f>
        <v>ABBVIE</v>
      </c>
      <c r="C361" s="34" t="str">
        <f>Database!F374</f>
        <v>Compound B</v>
      </c>
      <c r="D361" s="34" t="str">
        <f>Database!K374</f>
        <v>-</v>
      </c>
      <c r="E361" s="34" t="str">
        <f>Database!P374</f>
        <v>4.86 mL</v>
      </c>
      <c r="F361" s="34">
        <f>Database!Q374</f>
        <v>0</v>
      </c>
      <c r="G361" s="462">
        <f>Database!R374</f>
        <v>0</v>
      </c>
      <c r="H361" s="35">
        <f>Database!N374</f>
        <v>42431</v>
      </c>
    </row>
    <row r="362" spans="1:8" ht="30" x14ac:dyDescent="0.25">
      <c r="A362" s="225" t="str">
        <f>Database!A375</f>
        <v>16SAM040</v>
      </c>
      <c r="B362" s="34" t="str">
        <f>Database!E375</f>
        <v>ABBVIE</v>
      </c>
      <c r="C362" s="34" t="str">
        <f>Database!F375</f>
        <v>Compound C</v>
      </c>
      <c r="D362" s="34" t="str">
        <f>Database!K375</f>
        <v>-</v>
      </c>
      <c r="E362" s="34" t="str">
        <f>Database!P375</f>
        <v>4.86 mL</v>
      </c>
      <c r="F362" s="34">
        <f>Database!Q375</f>
        <v>0</v>
      </c>
      <c r="G362" s="462">
        <f>Database!R375</f>
        <v>0</v>
      </c>
      <c r="H362" s="35">
        <f>Database!N375</f>
        <v>42431</v>
      </c>
    </row>
    <row r="363" spans="1:8" ht="30" x14ac:dyDescent="0.25">
      <c r="A363" s="225" t="str">
        <f>Database!A376</f>
        <v>16SAM041</v>
      </c>
      <c r="B363" s="34" t="str">
        <f>Database!E376</f>
        <v>ABBVIE</v>
      </c>
      <c r="C363" s="34" t="str">
        <f>Database!F376</f>
        <v>Compound D</v>
      </c>
      <c r="D363" s="34" t="str">
        <f>Database!K376</f>
        <v>-</v>
      </c>
      <c r="E363" s="34" t="str">
        <f>Database!P376</f>
        <v>4.86 mL</v>
      </c>
      <c r="F363" s="34">
        <f>Database!Q376</f>
        <v>0</v>
      </c>
      <c r="G363" s="462">
        <f>Database!R376</f>
        <v>0</v>
      </c>
      <c r="H363" s="35">
        <f>Database!N376</f>
        <v>42431</v>
      </c>
    </row>
    <row r="364" spans="1:8" ht="30" x14ac:dyDescent="0.25">
      <c r="A364" s="225" t="str">
        <f>Database!A377</f>
        <v>16SAM042</v>
      </c>
      <c r="B364" s="34" t="str">
        <f>Database!E377</f>
        <v>Alcobra</v>
      </c>
      <c r="C364" s="34" t="str">
        <f>Database!F377</f>
        <v xml:space="preserve">Metadoxine </v>
      </c>
      <c r="D364" s="34">
        <f>Database!K377</f>
        <v>298.29000000000002</v>
      </c>
      <c r="E364" s="34" t="str">
        <f>Database!P377</f>
        <v>5 g</v>
      </c>
      <c r="F364" s="34" t="str">
        <f>Database!Q377</f>
        <v>H2O and DMSO</v>
      </c>
      <c r="G364" s="462">
        <f>Database!R377</f>
        <v>0</v>
      </c>
      <c r="H364" s="35">
        <f>Database!N377</f>
        <v>42431</v>
      </c>
    </row>
    <row r="365" spans="1:8" ht="45" x14ac:dyDescent="0.25">
      <c r="A365" s="225" t="str">
        <f>Database!A378</f>
        <v>16SAM043</v>
      </c>
      <c r="B365" s="34" t="str">
        <f>Database!E378</f>
        <v>Janssen</v>
      </c>
      <c r="C365" s="34" t="str">
        <f>Database!F378</f>
        <v>GYKI 53655</v>
      </c>
      <c r="D365" s="34">
        <f>Database!K378</f>
        <v>429.39</v>
      </c>
      <c r="E365" s="34" t="str">
        <f>Database!P378</f>
        <v>10mg</v>
      </c>
      <c r="F365" s="34" t="str">
        <f>Database!Q378</f>
        <v>100mM in H2O mQ or DMSO</v>
      </c>
      <c r="G365" s="462">
        <f>Database!R378</f>
        <v>0</v>
      </c>
      <c r="H365" s="35">
        <f>Database!N378</f>
        <v>42437</v>
      </c>
    </row>
    <row r="366" spans="1:8" ht="45" x14ac:dyDescent="0.25">
      <c r="A366" s="225" t="str">
        <f>Database!A379</f>
        <v>16SAM044</v>
      </c>
      <c r="B366" s="34" t="str">
        <f>Database!E379</f>
        <v>Janssen</v>
      </c>
      <c r="C366" s="34" t="str">
        <f>Database!F379</f>
        <v>GYKI 53655</v>
      </c>
      <c r="D366" s="34">
        <f>Database!K379</f>
        <v>429.39</v>
      </c>
      <c r="E366" s="34" t="str">
        <f>Database!P379</f>
        <v>10mg</v>
      </c>
      <c r="F366" s="34" t="str">
        <f>Database!Q379</f>
        <v>100mM in H2O mQ or DMSO</v>
      </c>
      <c r="G366" s="462">
        <f>Database!R379</f>
        <v>0</v>
      </c>
      <c r="H366" s="35">
        <f>Database!N379</f>
        <v>42437</v>
      </c>
    </row>
    <row r="367" spans="1:8" ht="30" x14ac:dyDescent="0.25">
      <c r="A367" s="225" t="str">
        <f>Database!A380</f>
        <v>16SAM045</v>
      </c>
      <c r="B367" s="34" t="str">
        <f>Database!E380</f>
        <v>AMGEN</v>
      </c>
      <c r="C367" s="34" t="str">
        <f>Database!F380</f>
        <v>AMG3167692</v>
      </c>
      <c r="D367" s="34">
        <f>Database!K380</f>
        <v>509.60700000000003</v>
      </c>
      <c r="E367" s="34" t="str">
        <f>Database!P380</f>
        <v>25,45 mg</v>
      </c>
      <c r="F367" s="34" t="str">
        <f>Database!Q380</f>
        <v>DMSO to 10mM</v>
      </c>
      <c r="G367" s="462">
        <f>Database!R380</f>
        <v>0</v>
      </c>
      <c r="H367" s="35">
        <f>Database!N380</f>
        <v>42437</v>
      </c>
    </row>
    <row r="368" spans="1:8" ht="30" x14ac:dyDescent="0.25">
      <c r="A368" s="225" t="str">
        <f>Database!A381</f>
        <v>16SAM046</v>
      </c>
      <c r="B368" s="34" t="str">
        <f>Database!E381</f>
        <v>J&amp;J</v>
      </c>
      <c r="C368" s="34" t="str">
        <f>Database!F381</f>
        <v>CP-101,606</v>
      </c>
      <c r="D368" s="34">
        <f>Database!K381</f>
        <v>327.42</v>
      </c>
      <c r="E368" s="34" t="str">
        <f>Database!P381</f>
        <v>25 mg</v>
      </c>
      <c r="F368" s="34" t="str">
        <f>Database!Q381</f>
        <v>purity &gt;98 %</v>
      </c>
      <c r="G368" s="462">
        <f>Database!R381</f>
        <v>0</v>
      </c>
      <c r="H368" s="35">
        <f>Database!N381</f>
        <v>42439</v>
      </c>
    </row>
    <row r="369" spans="1:8" ht="30" x14ac:dyDescent="0.25">
      <c r="A369" s="225" t="str">
        <f>Database!A382</f>
        <v>16SAM047</v>
      </c>
      <c r="B369" s="34" t="str">
        <f>Database!E382</f>
        <v>J&amp;J</v>
      </c>
      <c r="C369" s="34" t="str">
        <f>Database!F382</f>
        <v>CP-101,606</v>
      </c>
      <c r="D369" s="34">
        <f>Database!K382</f>
        <v>327.42</v>
      </c>
      <c r="E369" s="34" t="str">
        <f>Database!P382</f>
        <v>25 mg</v>
      </c>
      <c r="F369" s="34" t="str">
        <f>Database!Q382</f>
        <v>purity &gt;98 %</v>
      </c>
      <c r="G369" s="462">
        <f>Database!R382</f>
        <v>0</v>
      </c>
      <c r="H369" s="35">
        <f>Database!N382</f>
        <v>42439</v>
      </c>
    </row>
    <row r="370" spans="1:8" ht="30" x14ac:dyDescent="0.25">
      <c r="A370" s="225" t="str">
        <f>Database!A383</f>
        <v>16SAM048</v>
      </c>
      <c r="B370" s="34" t="str">
        <f>Database!E383</f>
        <v>J&amp;J</v>
      </c>
      <c r="C370" s="34" t="str">
        <f>Database!F383</f>
        <v>CP-101,606</v>
      </c>
      <c r="D370" s="34">
        <f>Database!K383</f>
        <v>327.42</v>
      </c>
      <c r="E370" s="34" t="str">
        <f>Database!P383</f>
        <v>25 mg</v>
      </c>
      <c r="F370" s="34" t="str">
        <f>Database!Q383</f>
        <v>purity &gt;98 %</v>
      </c>
      <c r="G370" s="462">
        <f>Database!R383</f>
        <v>0</v>
      </c>
      <c r="H370" s="35">
        <f>Database!N383</f>
        <v>42439</v>
      </c>
    </row>
    <row r="371" spans="1:8" ht="30" x14ac:dyDescent="0.25">
      <c r="A371" s="225" t="str">
        <f>Database!A384</f>
        <v>16SAM049</v>
      </c>
      <c r="B371" s="34" t="str">
        <f>Database!E384</f>
        <v>ABBVIE</v>
      </c>
      <c r="C371" s="34" t="str">
        <f>Database!F384</f>
        <v>Vehicule DMSO</v>
      </c>
      <c r="D371" s="34" t="str">
        <f>Database!K384</f>
        <v>-</v>
      </c>
      <c r="E371" s="34" t="str">
        <f>Database!P384</f>
        <v>4.86 mL</v>
      </c>
      <c r="F371" s="34">
        <f>Database!Q384</f>
        <v>0</v>
      </c>
      <c r="G371" s="462">
        <f>Database!R384</f>
        <v>0</v>
      </c>
      <c r="H371" s="35">
        <f>Database!N384</f>
        <v>42444</v>
      </c>
    </row>
    <row r="372" spans="1:8" ht="30" x14ac:dyDescent="0.25">
      <c r="A372" s="225" t="str">
        <f>Database!A385</f>
        <v>16SAM050</v>
      </c>
      <c r="B372" s="34" t="str">
        <f>Database!E385</f>
        <v>ABBVIE</v>
      </c>
      <c r="C372" s="34" t="str">
        <f>Database!F385</f>
        <v>Compound A</v>
      </c>
      <c r="D372" s="34" t="str">
        <f>Database!K385</f>
        <v>-</v>
      </c>
      <c r="E372" s="34" t="str">
        <f>Database!P385</f>
        <v>4.86 mL</v>
      </c>
      <c r="F372" s="34">
        <f>Database!Q385</f>
        <v>0</v>
      </c>
      <c r="G372" s="462">
        <f>Database!R385</f>
        <v>0</v>
      </c>
      <c r="H372" s="35">
        <f>Database!N385</f>
        <v>42444</v>
      </c>
    </row>
    <row r="373" spans="1:8" ht="30" x14ac:dyDescent="0.25">
      <c r="A373" s="225" t="str">
        <f>Database!A386</f>
        <v>16SAM051</v>
      </c>
      <c r="B373" s="34" t="str">
        <f>Database!E386</f>
        <v>ABBVIE</v>
      </c>
      <c r="C373" s="34" t="str">
        <f>Database!F386</f>
        <v>Compound B</v>
      </c>
      <c r="D373" s="34" t="str">
        <f>Database!K386</f>
        <v>-</v>
      </c>
      <c r="E373" s="34" t="str">
        <f>Database!P386</f>
        <v>3.9 mL</v>
      </c>
      <c r="F373" s="34">
        <f>Database!Q386</f>
        <v>0</v>
      </c>
      <c r="G373" s="462">
        <f>Database!R386</f>
        <v>0</v>
      </c>
      <c r="H373" s="35">
        <f>Database!N386</f>
        <v>42444</v>
      </c>
    </row>
    <row r="374" spans="1:8" ht="30" x14ac:dyDescent="0.25">
      <c r="A374" s="225" t="str">
        <f>Database!A387</f>
        <v>16SAM052</v>
      </c>
      <c r="B374" s="34" t="str">
        <f>Database!E387</f>
        <v>ABBVIE</v>
      </c>
      <c r="C374" s="34" t="str">
        <f>Database!F387</f>
        <v>Compound C</v>
      </c>
      <c r="D374" s="34" t="str">
        <f>Database!K387</f>
        <v>-</v>
      </c>
      <c r="E374" s="34" t="str">
        <f>Database!P387</f>
        <v>4.86 mL</v>
      </c>
      <c r="F374" s="34">
        <f>Database!Q387</f>
        <v>0</v>
      </c>
      <c r="G374" s="462">
        <f>Database!R387</f>
        <v>0</v>
      </c>
      <c r="H374" s="35">
        <f>Database!N387</f>
        <v>42444</v>
      </c>
    </row>
    <row r="375" spans="1:8" ht="30" x14ac:dyDescent="0.25">
      <c r="A375" s="225" t="str">
        <f>Database!A388</f>
        <v>16SAM053</v>
      </c>
      <c r="B375" s="34" t="str">
        <f>Database!E388</f>
        <v>ABBVIE</v>
      </c>
      <c r="C375" s="34" t="str">
        <f>Database!F388</f>
        <v>Compound D</v>
      </c>
      <c r="D375" s="34" t="str">
        <f>Database!K388</f>
        <v>-</v>
      </c>
      <c r="E375" s="34" t="str">
        <f>Database!P388</f>
        <v>4.86 mL</v>
      </c>
      <c r="F375" s="34">
        <f>Database!Q388</f>
        <v>0</v>
      </c>
      <c r="G375" s="462">
        <f>Database!R388</f>
        <v>0</v>
      </c>
      <c r="H375" s="35">
        <f>Database!N388</f>
        <v>42444</v>
      </c>
    </row>
    <row r="376" spans="1:8" ht="45" x14ac:dyDescent="0.25">
      <c r="A376" s="225" t="str">
        <f>Database!A389</f>
        <v>16SAM054</v>
      </c>
      <c r="B376" s="34" t="str">
        <f>Database!E389</f>
        <v>ALCOBRA</v>
      </c>
      <c r="C376" s="34" t="str">
        <f>Database!F389</f>
        <v>CNQX disodium salt</v>
      </c>
      <c r="D376" s="34">
        <f>Database!K389</f>
        <v>307.64999999999998</v>
      </c>
      <c r="E376" s="34" t="str">
        <f>Database!P389</f>
        <v>50 mg</v>
      </c>
      <c r="F376" s="34" t="str">
        <f>Database!Q389</f>
        <v>H2O mQ to 25 mM</v>
      </c>
      <c r="G376" s="462">
        <f>Database!R389</f>
        <v>0</v>
      </c>
      <c r="H376" s="35">
        <f>Database!N389</f>
        <v>42446</v>
      </c>
    </row>
    <row r="377" spans="1:8" ht="45" x14ac:dyDescent="0.25">
      <c r="A377" s="225" t="str">
        <f>Database!A390</f>
        <v>16SAM055</v>
      </c>
      <c r="B377" s="34" t="str">
        <f>Database!E390</f>
        <v>ALCOBRA</v>
      </c>
      <c r="C377" s="34" t="str">
        <f>Database!F390</f>
        <v>CNQX disodium salt</v>
      </c>
      <c r="D377" s="34">
        <f>Database!K390</f>
        <v>307.64999999999998</v>
      </c>
      <c r="E377" s="34" t="str">
        <f>Database!P390</f>
        <v>50 mg</v>
      </c>
      <c r="F377" s="34" t="str">
        <f>Database!Q390</f>
        <v>H2O mQ to 25 mM</v>
      </c>
      <c r="G377" s="462">
        <f>Database!R390</f>
        <v>0</v>
      </c>
      <c r="H377" s="35">
        <f>Database!N390</f>
        <v>42446</v>
      </c>
    </row>
    <row r="378" spans="1:8" ht="30" x14ac:dyDescent="0.25">
      <c r="A378" s="225" t="str">
        <f>Database!A391</f>
        <v>16SAM056</v>
      </c>
      <c r="B378" s="34" t="str">
        <f>Database!E391</f>
        <v>ALCOBRA</v>
      </c>
      <c r="C378" s="34" t="str">
        <f>Database!F391</f>
        <v>Bicuculline methiodide</v>
      </c>
      <c r="D378" s="34">
        <f>Database!K391</f>
        <v>527.30999999999995</v>
      </c>
      <c r="E378" s="34" t="str">
        <f>Database!P391</f>
        <v>50 mg</v>
      </c>
      <c r="F378" s="34" t="str">
        <f>Database!Q391</f>
        <v>H2O mQ to 25 mM</v>
      </c>
      <c r="G378" s="462">
        <f>Database!R391</f>
        <v>0</v>
      </c>
      <c r="H378" s="35">
        <f>Database!N391</f>
        <v>42446</v>
      </c>
    </row>
    <row r="379" spans="1:8" ht="30" x14ac:dyDescent="0.25">
      <c r="A379" s="225" t="str">
        <f>Database!A392</f>
        <v>16SAM057</v>
      </c>
      <c r="B379" s="34" t="str">
        <f>Database!E392</f>
        <v>SAGE</v>
      </c>
      <c r="C379" s="34" t="str">
        <f>Database!F392</f>
        <v>SGE-00118-03-A</v>
      </c>
      <c r="D379" s="34">
        <f>Database!K392</f>
        <v>402.7</v>
      </c>
      <c r="E379" s="34" t="str">
        <f>Database!P392</f>
        <v>45.1 mg</v>
      </c>
      <c r="F379" s="34" t="str">
        <f>Database!Q392</f>
        <v>DMSO</v>
      </c>
      <c r="G379" s="462">
        <f>Database!R392</f>
        <v>0</v>
      </c>
      <c r="H379" s="35">
        <f>Database!N392</f>
        <v>42447</v>
      </c>
    </row>
    <row r="380" spans="1:8" ht="45" x14ac:dyDescent="0.25">
      <c r="A380" s="225" t="str">
        <f>Database!A393</f>
        <v>16SAM058</v>
      </c>
      <c r="B380" s="34" t="str">
        <f>Database!E393</f>
        <v>J&amp;J</v>
      </c>
      <c r="C380" s="34" t="str">
        <f>Database!F393</f>
        <v>CP-101,606</v>
      </c>
      <c r="D380" s="34">
        <f>Database!K393</f>
        <v>327.42</v>
      </c>
      <c r="E380" s="34" t="str">
        <f>Database!P393</f>
        <v>25 mg</v>
      </c>
      <c r="F380" s="34" t="str">
        <f>Database!Q393</f>
        <v>20 % Cyclodextrin</v>
      </c>
      <c r="G380" s="462">
        <f>Database!R393</f>
        <v>0</v>
      </c>
      <c r="H380" s="35">
        <f>Database!N393</f>
        <v>42447</v>
      </c>
    </row>
    <row r="381" spans="1:8" ht="30" x14ac:dyDescent="0.25">
      <c r="A381" s="225" t="str">
        <f>Database!A394</f>
        <v>16SAM059</v>
      </c>
      <c r="B381" s="34" t="str">
        <f>Database!E394</f>
        <v>ALCOBRA</v>
      </c>
      <c r="C381" s="34" t="str">
        <f>Database!F394</f>
        <v>D-AP5</v>
      </c>
      <c r="D381" s="34">
        <f>Database!K394</f>
        <v>197.13</v>
      </c>
      <c r="E381" s="34" t="str">
        <f>Database!P394</f>
        <v>50 mg</v>
      </c>
      <c r="F381" s="34" t="str">
        <f>Database!Q394</f>
        <v>H2O mQ to 100 mM</v>
      </c>
      <c r="G381" s="462">
        <f>Database!R394</f>
        <v>0</v>
      </c>
      <c r="H381" s="35">
        <f>Database!N394</f>
        <v>42450</v>
      </c>
    </row>
    <row r="382" spans="1:8" ht="30" x14ac:dyDescent="0.25">
      <c r="A382" s="225" t="str">
        <f>Database!A395</f>
        <v>16SAM060</v>
      </c>
      <c r="B382" s="34" t="str">
        <f>Database!E395</f>
        <v>ALCOBRA</v>
      </c>
      <c r="C382" s="34" t="str">
        <f>Database!F395</f>
        <v>GABA</v>
      </c>
      <c r="D382" s="34">
        <f>Database!K395</f>
        <v>103.12</v>
      </c>
      <c r="E382" s="34" t="str">
        <f>Database!P395</f>
        <v>5 g</v>
      </c>
      <c r="F382" s="34" t="str">
        <f>Database!Q395</f>
        <v>H2O mQ to 100 mM</v>
      </c>
      <c r="G382" s="462">
        <f>Database!R395</f>
        <v>0</v>
      </c>
      <c r="H382" s="35">
        <f>Database!N395</f>
        <v>42450</v>
      </c>
    </row>
    <row r="383" spans="1:8" ht="30" x14ac:dyDescent="0.25">
      <c r="A383" s="225" t="str">
        <f>Database!A396</f>
        <v>16SAM061</v>
      </c>
      <c r="B383" s="34" t="str">
        <f>Database!E396</f>
        <v>J&amp;J</v>
      </c>
      <c r="C383" s="34" t="str">
        <f>Database!F396</f>
        <v>CP-101,606</v>
      </c>
      <c r="D383" s="34">
        <f>Database!K396</f>
        <v>327.42</v>
      </c>
      <c r="E383" s="34" t="str">
        <f>Database!P396</f>
        <v>5 mg</v>
      </c>
      <c r="F383" s="34" t="str">
        <f>Database!Q396</f>
        <v>purity &gt;98 %</v>
      </c>
      <c r="G383" s="462">
        <f>Database!R396</f>
        <v>0</v>
      </c>
      <c r="H383" s="35">
        <f>Database!N396</f>
        <v>42450</v>
      </c>
    </row>
    <row r="384" spans="1:8" ht="30" x14ac:dyDescent="0.25">
      <c r="A384" s="225" t="str">
        <f>Database!A397</f>
        <v>16SAM062</v>
      </c>
      <c r="B384" s="34" t="str">
        <f>Database!E397</f>
        <v>J&amp;J</v>
      </c>
      <c r="C384" s="34" t="str">
        <f>Database!F397</f>
        <v>CP-101,606</v>
      </c>
      <c r="D384" s="34">
        <f>Database!K397</f>
        <v>327.42</v>
      </c>
      <c r="E384" s="34" t="str">
        <f>Database!P397</f>
        <v>5 mg</v>
      </c>
      <c r="F384" s="34" t="str">
        <f>Database!Q397</f>
        <v>purity &gt;98 %</v>
      </c>
      <c r="G384" s="462">
        <f>Database!R397</f>
        <v>0</v>
      </c>
      <c r="H384" s="35">
        <f>Database!N397</f>
        <v>42450</v>
      </c>
    </row>
    <row r="385" spans="1:8" ht="30" x14ac:dyDescent="0.25">
      <c r="A385" s="225" t="str">
        <f>Database!A398</f>
        <v>16SAM063</v>
      </c>
      <c r="B385" s="34" t="str">
        <f>Database!E398</f>
        <v>J&amp;J</v>
      </c>
      <c r="C385" s="34" t="str">
        <f>Database!F398</f>
        <v>CP-101,606</v>
      </c>
      <c r="D385" s="34">
        <f>Database!K398</f>
        <v>327.42</v>
      </c>
      <c r="E385" s="34" t="str">
        <f>Database!P398</f>
        <v>5 mg</v>
      </c>
      <c r="F385" s="34" t="str">
        <f>Database!Q398</f>
        <v>purity &gt;98 %</v>
      </c>
      <c r="G385" s="462">
        <f>Database!R398</f>
        <v>0</v>
      </c>
      <c r="H385" s="35">
        <f>Database!N398</f>
        <v>42450</v>
      </c>
    </row>
    <row r="386" spans="1:8" ht="30" x14ac:dyDescent="0.25">
      <c r="A386" s="225" t="str">
        <f>Database!A399</f>
        <v>16SAM064</v>
      </c>
      <c r="B386" s="34" t="str">
        <f>Database!E399</f>
        <v>J&amp;J</v>
      </c>
      <c r="C386" s="34" t="str">
        <f>Database!F399</f>
        <v>CP-101,606</v>
      </c>
      <c r="D386" s="34">
        <f>Database!K399</f>
        <v>327.42</v>
      </c>
      <c r="E386" s="34" t="str">
        <f>Database!P399</f>
        <v>5 mg</v>
      </c>
      <c r="F386" s="34" t="str">
        <f>Database!Q399</f>
        <v>purity &gt;98 %</v>
      </c>
      <c r="G386" s="462">
        <f>Database!R399</f>
        <v>0</v>
      </c>
      <c r="H386" s="35">
        <f>Database!N399</f>
        <v>42450</v>
      </c>
    </row>
    <row r="387" spans="1:8" ht="30" x14ac:dyDescent="0.25">
      <c r="A387" s="225" t="str">
        <f>Database!A400</f>
        <v>16SAM065</v>
      </c>
      <c r="B387" s="34" t="str">
        <f>Database!E400</f>
        <v>J&amp;J</v>
      </c>
      <c r="C387" s="34" t="str">
        <f>Database!F400</f>
        <v>CP-101,606</v>
      </c>
      <c r="D387" s="34">
        <f>Database!K400</f>
        <v>327.42</v>
      </c>
      <c r="E387" s="34" t="str">
        <f>Database!P400</f>
        <v>5 mg</v>
      </c>
      <c r="F387" s="34" t="str">
        <f>Database!Q400</f>
        <v>purity &gt;98 %</v>
      </c>
      <c r="G387" s="462">
        <f>Database!R400</f>
        <v>0</v>
      </c>
      <c r="H387" s="35">
        <f>Database!N400</f>
        <v>42450</v>
      </c>
    </row>
    <row r="388" spans="1:8" ht="30" x14ac:dyDescent="0.25">
      <c r="A388" s="225" t="str">
        <f>Database!A401</f>
        <v>16SAM066</v>
      </c>
      <c r="B388" s="34" t="str">
        <f>Database!E401</f>
        <v>J&amp;J</v>
      </c>
      <c r="C388" s="34" t="str">
        <f>Database!F401</f>
        <v>CP-101,606</v>
      </c>
      <c r="D388" s="34">
        <f>Database!K401</f>
        <v>327.42</v>
      </c>
      <c r="E388" s="34" t="str">
        <f>Database!P401</f>
        <v>5 mg</v>
      </c>
      <c r="F388" s="34" t="str">
        <f>Database!Q401</f>
        <v>purity &gt;98 %</v>
      </c>
      <c r="G388" s="462">
        <f>Database!R401</f>
        <v>0</v>
      </c>
      <c r="H388" s="35">
        <f>Database!N401</f>
        <v>42450</v>
      </c>
    </row>
    <row r="389" spans="1:8" ht="30" x14ac:dyDescent="0.25">
      <c r="A389" s="225" t="str">
        <f>Database!A402</f>
        <v>16SAM067</v>
      </c>
      <c r="B389" s="34" t="str">
        <f>Database!E402</f>
        <v>J&amp;J</v>
      </c>
      <c r="C389" s="34" t="str">
        <f>Database!F402</f>
        <v>CP-101,606</v>
      </c>
      <c r="D389" s="34">
        <f>Database!K402</f>
        <v>327.42</v>
      </c>
      <c r="E389" s="34" t="str">
        <f>Database!P402</f>
        <v>5 mg</v>
      </c>
      <c r="F389" s="34" t="str">
        <f>Database!Q402</f>
        <v>purity &gt;98 %</v>
      </c>
      <c r="G389" s="462">
        <f>Database!R402</f>
        <v>0</v>
      </c>
      <c r="H389" s="35">
        <f>Database!N402</f>
        <v>42450</v>
      </c>
    </row>
    <row r="390" spans="1:8" ht="75" x14ac:dyDescent="0.25">
      <c r="A390" s="225" t="str">
        <f>Database!A403</f>
        <v>16SAM068</v>
      </c>
      <c r="B390" s="34" t="str">
        <f>Database!E403</f>
        <v>J&amp;J</v>
      </c>
      <c r="C390" s="34" t="str">
        <f>Database!F403</f>
        <v>HBC ( 2-hydropropyl-β-cyclodextrin</v>
      </c>
      <c r="D390" s="34" t="str">
        <f>Database!K403</f>
        <v>~1460</v>
      </c>
      <c r="E390" s="34" t="str">
        <f>Database!P403</f>
        <v>100 g</v>
      </c>
      <c r="F390" s="34">
        <f>Database!Q403</f>
        <v>0</v>
      </c>
      <c r="G390" s="462">
        <f>Database!R403</f>
        <v>0</v>
      </c>
      <c r="H390" s="35">
        <f>Database!N403</f>
        <v>42453</v>
      </c>
    </row>
    <row r="391" spans="1:8" ht="30" x14ac:dyDescent="0.25">
      <c r="A391" s="225" t="str">
        <f>Database!A404</f>
        <v>16SAM069</v>
      </c>
      <c r="B391" s="34" t="str">
        <f>Database!E404</f>
        <v>J&amp;J</v>
      </c>
      <c r="C391" s="34" t="str">
        <f>Database!F404</f>
        <v>NaOH 1N</v>
      </c>
      <c r="D391" s="34">
        <f>Database!K404</f>
        <v>40</v>
      </c>
      <c r="E391" s="34" t="str">
        <f>Database!P404</f>
        <v>100 mL</v>
      </c>
      <c r="F391" s="34" t="str">
        <f>Database!Q404</f>
        <v>stérile et filtré</v>
      </c>
      <c r="G391" s="462">
        <f>Database!R404</f>
        <v>0</v>
      </c>
      <c r="H391" s="35">
        <f>Database!N404</f>
        <v>42453</v>
      </c>
    </row>
    <row r="392" spans="1:8" ht="30" x14ac:dyDescent="0.25">
      <c r="A392" s="225" t="str">
        <f>Database!A405</f>
        <v>16SAM070</v>
      </c>
      <c r="B392" s="34" t="str">
        <f>Database!E405</f>
        <v>J&amp;J</v>
      </c>
      <c r="C392" s="34" t="str">
        <f>Database!F405</f>
        <v>HCl 1N</v>
      </c>
      <c r="D392" s="34">
        <f>Database!K405</f>
        <v>36.46</v>
      </c>
      <c r="E392" s="34" t="str">
        <f>Database!P405</f>
        <v>100 mL</v>
      </c>
      <c r="F392" s="34" t="str">
        <f>Database!Q405</f>
        <v>stérile et filtré</v>
      </c>
      <c r="G392" s="462">
        <f>Database!R405</f>
        <v>0</v>
      </c>
      <c r="H392" s="35">
        <f>Database!N405</f>
        <v>42453</v>
      </c>
    </row>
    <row r="393" spans="1:8" ht="45" x14ac:dyDescent="0.25">
      <c r="A393" s="225" t="str">
        <f>Database!A406</f>
        <v>16SAM071</v>
      </c>
      <c r="B393" s="34" t="str">
        <f>Database!E406</f>
        <v>ALCOBRA</v>
      </c>
      <c r="C393" s="34" t="str">
        <f>Database!F406</f>
        <v>NO-711 hydrochloride</v>
      </c>
      <c r="D393" s="34">
        <f>Database!K406</f>
        <v>386.87</v>
      </c>
      <c r="E393" s="34" t="str">
        <f>Database!P406</f>
        <v>5 mg</v>
      </c>
      <c r="F393" s="34" t="str">
        <f>Database!Q406</f>
        <v>H2O</v>
      </c>
      <c r="G393" s="462">
        <f>Database!R406</f>
        <v>0</v>
      </c>
      <c r="H393" s="35">
        <f>Database!N406</f>
        <v>42458</v>
      </c>
    </row>
    <row r="394" spans="1:8" ht="23.25" x14ac:dyDescent="0.25">
      <c r="A394" s="225" t="str">
        <f>Database!A407</f>
        <v>16SAM072</v>
      </c>
      <c r="B394" s="34" t="str">
        <f>Database!E407</f>
        <v>TAKEDA</v>
      </c>
      <c r="C394" s="34" t="str">
        <f>Database!F407</f>
        <v>SYR272400Z</v>
      </c>
      <c r="D394" s="34">
        <f>Database!K407</f>
        <v>404</v>
      </c>
      <c r="E394" s="34" t="str">
        <f>Database!P407</f>
        <v>100.09 mg</v>
      </c>
      <c r="F394" s="34" t="str">
        <f>Database!Q407</f>
        <v>DMSO</v>
      </c>
      <c r="G394" s="462">
        <f>Database!R407</f>
        <v>0</v>
      </c>
      <c r="H394" s="35">
        <f>Database!N407</f>
        <v>42464</v>
      </c>
    </row>
    <row r="395" spans="1:8" ht="30" x14ac:dyDescent="0.25">
      <c r="A395" s="225" t="str">
        <f>Database!A408</f>
        <v>16REF073</v>
      </c>
      <c r="B395" s="34" t="str">
        <f>Database!E408</f>
        <v>NEUROSERVICE</v>
      </c>
      <c r="C395" s="34" t="str">
        <f>Database!F408</f>
        <v>NBQX</v>
      </c>
      <c r="D395" s="34">
        <f>Database!K408</f>
        <v>340.78</v>
      </c>
      <c r="E395" s="34" t="str">
        <f>Database!P408</f>
        <v>50 mg</v>
      </c>
      <c r="F395" s="34" t="str">
        <f>Database!Q408</f>
        <v>DMSO to 100 mM</v>
      </c>
      <c r="G395" s="462">
        <f>Database!R408</f>
        <v>0</v>
      </c>
      <c r="H395" s="35">
        <f>Database!N408</f>
        <v>42464</v>
      </c>
    </row>
    <row r="396" spans="1:8" ht="30" x14ac:dyDescent="0.25">
      <c r="A396" s="225" t="str">
        <f>Database!A409</f>
        <v>16REF074</v>
      </c>
      <c r="B396" s="34" t="str">
        <f>Database!E409</f>
        <v>NEUROSERVICE</v>
      </c>
      <c r="C396" s="34" t="str">
        <f>Database!F409</f>
        <v>Bicuculline methiodide</v>
      </c>
      <c r="D396" s="34">
        <f>Database!K409</f>
        <v>527.30999999999995</v>
      </c>
      <c r="E396" s="34" t="str">
        <f>Database!P409</f>
        <v>50 mg</v>
      </c>
      <c r="F396" s="34" t="str">
        <f>Database!Q409</f>
        <v>H2O to 25 mM</v>
      </c>
      <c r="G396" s="462">
        <f>Database!R409</f>
        <v>0</v>
      </c>
      <c r="H396" s="35">
        <f>Database!N409</f>
        <v>42464</v>
      </c>
    </row>
    <row r="397" spans="1:8" ht="45" x14ac:dyDescent="0.25">
      <c r="A397" s="225" t="str">
        <f>Database!A410</f>
        <v>16SAM075</v>
      </c>
      <c r="B397" s="34" t="str">
        <f>Database!E410</f>
        <v>J&amp;J</v>
      </c>
      <c r="C397" s="34" t="str">
        <f>Database!F410</f>
        <v>41725840-AAA-44993550</v>
      </c>
      <c r="D397" s="34">
        <f>Database!K410</f>
        <v>327.8</v>
      </c>
      <c r="E397" s="34" t="str">
        <f>Database!P410</f>
        <v>3.20 mg</v>
      </c>
      <c r="F397" s="34">
        <f>Database!Q410</f>
        <v>0</v>
      </c>
      <c r="G397" s="462">
        <f>Database!R410</f>
        <v>0</v>
      </c>
      <c r="H397" s="35">
        <f>Database!N410</f>
        <v>42473</v>
      </c>
    </row>
    <row r="398" spans="1:8" ht="60" x14ac:dyDescent="0.25">
      <c r="A398" s="225" t="str">
        <f>Database!A411</f>
        <v>16SAM076</v>
      </c>
      <c r="B398" s="34" t="str">
        <f>Database!E411</f>
        <v>J&amp;J</v>
      </c>
      <c r="C398" s="34" t="str">
        <f>Database!F411</f>
        <v>CP-101,606</v>
      </c>
      <c r="D398" s="34">
        <f>Database!K411</f>
        <v>327.42</v>
      </c>
      <c r="E398" s="34" t="str">
        <f>Database!P411</f>
        <v>25 mg</v>
      </c>
      <c r="F398" s="34" t="str">
        <f>Database!Q411</f>
        <v>20% Cyclodextrine/ purity 98%</v>
      </c>
      <c r="G398" s="462">
        <f>Database!R411</f>
        <v>0</v>
      </c>
      <c r="H398" s="35">
        <f>Database!N411</f>
        <v>42473</v>
      </c>
    </row>
    <row r="399" spans="1:8" ht="60" x14ac:dyDescent="0.25">
      <c r="A399" s="225" t="str">
        <f>Database!A412</f>
        <v>16SAM077</v>
      </c>
      <c r="B399" s="34" t="str">
        <f>Database!E412</f>
        <v>J&amp;J</v>
      </c>
      <c r="C399" s="34" t="str">
        <f>Database!F412</f>
        <v>CP-101,606</v>
      </c>
      <c r="D399" s="34">
        <f>Database!K412</f>
        <v>327.42</v>
      </c>
      <c r="E399" s="34" t="str">
        <f>Database!P412</f>
        <v>25 mg</v>
      </c>
      <c r="F399" s="34" t="str">
        <f>Database!Q412</f>
        <v>20% Cyclodextrine/ purity 98%</v>
      </c>
      <c r="G399" s="462">
        <f>Database!R412</f>
        <v>0</v>
      </c>
      <c r="H399" s="35">
        <f>Database!N412</f>
        <v>42473</v>
      </c>
    </row>
    <row r="400" spans="1:8" ht="30" x14ac:dyDescent="0.25">
      <c r="A400" s="225" t="str">
        <f>Database!A413</f>
        <v>16SAM078</v>
      </c>
      <c r="B400" s="34" t="str">
        <f>Database!E413</f>
        <v>J&amp;J</v>
      </c>
      <c r="C400" s="34" t="str">
        <f>Database!F413</f>
        <v>UBP 310</v>
      </c>
      <c r="D400" s="34">
        <f>Database!K413</f>
        <v>366.86</v>
      </c>
      <c r="E400" s="34" t="str">
        <f>Database!P413</f>
        <v>10 mg</v>
      </c>
      <c r="F400" s="34" t="str">
        <f>Database!Q413</f>
        <v>DMSO to 100 mM</v>
      </c>
      <c r="G400" s="462">
        <f>Database!R413</f>
        <v>0</v>
      </c>
      <c r="H400" s="35">
        <f>Database!N413</f>
        <v>42479</v>
      </c>
    </row>
    <row r="401" spans="1:8" ht="45" x14ac:dyDescent="0.25">
      <c r="A401" s="225" t="str">
        <f>Database!A414</f>
        <v>16SAM079</v>
      </c>
      <c r="B401" s="34" t="str">
        <f>Database!E414</f>
        <v>AMGEN</v>
      </c>
      <c r="C401" s="34" t="str">
        <f>Database!F414</f>
        <v>CYN 154806</v>
      </c>
      <c r="D401" s="34">
        <f>Database!K414</f>
        <v>1197.4000000000001</v>
      </c>
      <c r="E401" s="34" t="str">
        <f>Database!P414</f>
        <v>1 mg</v>
      </c>
      <c r="F401" s="34" t="str">
        <f>Database!Q414</f>
        <v>soluble to 1 mg/ml in H2O mQ</v>
      </c>
      <c r="G401" s="462">
        <f>Database!R414</f>
        <v>0</v>
      </c>
      <c r="H401" s="35">
        <f>Database!N414</f>
        <v>42481</v>
      </c>
    </row>
    <row r="402" spans="1:8" ht="45" x14ac:dyDescent="0.25">
      <c r="A402" s="225" t="str">
        <f>Database!A415</f>
        <v>16SAM080</v>
      </c>
      <c r="B402" s="34" t="str">
        <f>Database!E415</f>
        <v>AMGEN</v>
      </c>
      <c r="C402" s="34" t="str">
        <f>Database!F415</f>
        <v>CYN 154806</v>
      </c>
      <c r="D402" s="34">
        <f>Database!K415</f>
        <v>1197.4000000000001</v>
      </c>
      <c r="E402" s="34" t="str">
        <f>Database!P415</f>
        <v>1 mg</v>
      </c>
      <c r="F402" s="34" t="str">
        <f>Database!Q415</f>
        <v>soluble to 1 mg/ml in H2O mQ</v>
      </c>
      <c r="G402" s="462">
        <f>Database!R415</f>
        <v>0</v>
      </c>
      <c r="H402" s="35">
        <f>Database!N415</f>
        <v>42481</v>
      </c>
    </row>
    <row r="403" spans="1:8" ht="23.25" x14ac:dyDescent="0.25">
      <c r="A403" s="225" t="str">
        <f>Database!A416</f>
        <v>16SAM081</v>
      </c>
      <c r="B403" s="34" t="str">
        <f>Database!E416</f>
        <v>TAKEDA</v>
      </c>
      <c r="C403" s="34" t="str">
        <f>Database!F416</f>
        <v>SYR248158Z</v>
      </c>
      <c r="D403" s="34">
        <f>Database!K416</f>
        <v>513.6</v>
      </c>
      <c r="E403" s="34" t="str">
        <f>Database!P416</f>
        <v>5.01 mg</v>
      </c>
      <c r="F403" s="34" t="str">
        <f>Database!Q416</f>
        <v>DMSO</v>
      </c>
      <c r="G403" s="462">
        <f>Database!R416</f>
        <v>0</v>
      </c>
      <c r="H403" s="35">
        <f>Database!N416</f>
        <v>42481</v>
      </c>
    </row>
    <row r="404" spans="1:8" ht="30" x14ac:dyDescent="0.25">
      <c r="A404" s="225" t="str">
        <f>Database!A417</f>
        <v>16REF082</v>
      </c>
      <c r="B404" s="34" t="str">
        <f>Database!E417</f>
        <v>NEUROSERVICE</v>
      </c>
      <c r="C404" s="34" t="str">
        <f>Database!F417</f>
        <v>Anisomycin</v>
      </c>
      <c r="D404" s="34">
        <f>Database!K417</f>
        <v>265.31</v>
      </c>
      <c r="E404" s="34" t="str">
        <f>Database!P417</f>
        <v>50 mg</v>
      </c>
      <c r="F404" s="34" t="str">
        <f>Database!Q417</f>
        <v>DMSO to 100 mM</v>
      </c>
      <c r="G404" s="462" t="str">
        <f>Database!R417</f>
        <v>&gt; 98 %</v>
      </c>
      <c r="H404" s="35">
        <f>Database!N417</f>
        <v>42486</v>
      </c>
    </row>
    <row r="405" spans="1:8" ht="30" x14ac:dyDescent="0.25">
      <c r="A405" s="225" t="str">
        <f>Database!A418</f>
        <v>16REF083</v>
      </c>
      <c r="B405" s="34" t="str">
        <f>Database!E418</f>
        <v>NEUROSERVICE</v>
      </c>
      <c r="C405" s="34" t="str">
        <f>Database!F418</f>
        <v>Cycloheximide</v>
      </c>
      <c r="D405" s="34">
        <f>Database!K418</f>
        <v>281.35000000000002</v>
      </c>
      <c r="E405" s="34" t="str">
        <f>Database!P418</f>
        <v>1 g</v>
      </c>
      <c r="F405" s="34" t="str">
        <f>Database!Q418</f>
        <v>25 mM in H2O</v>
      </c>
      <c r="G405" s="462" t="str">
        <f>Database!R418</f>
        <v>&gt; 98 %</v>
      </c>
      <c r="H405" s="35">
        <f>Database!N418</f>
        <v>42494</v>
      </c>
    </row>
    <row r="406" spans="1:8" ht="30" x14ac:dyDescent="0.25">
      <c r="A406" s="225" t="str">
        <f>Database!A419</f>
        <v>16REF084</v>
      </c>
      <c r="B406" s="34" t="str">
        <f>Database!E419</f>
        <v>NEUROSERVICE</v>
      </c>
      <c r="C406" s="34" t="str">
        <f>Database!F419</f>
        <v>Acetaminophen</v>
      </c>
      <c r="D406" s="34">
        <f>Database!K419</f>
        <v>151.16</v>
      </c>
      <c r="E406" s="34" t="str">
        <f>Database!P419</f>
        <v>100 g</v>
      </c>
      <c r="F406" s="34" t="str">
        <f>Database!Q419</f>
        <v>843 mg/mL  in DMSO</v>
      </c>
      <c r="G406" s="462" t="str">
        <f>Database!R419</f>
        <v>&gt; 99 %</v>
      </c>
      <c r="H406" s="35">
        <f>Database!N419</f>
        <v>42494</v>
      </c>
    </row>
    <row r="407" spans="1:8" ht="30" x14ac:dyDescent="0.25">
      <c r="A407" s="225" t="str">
        <f>Database!A420</f>
        <v>16REF085</v>
      </c>
      <c r="B407" s="34" t="str">
        <f>Database!E420</f>
        <v>NEUROSERVICE</v>
      </c>
      <c r="C407" s="34" t="str">
        <f>Database!F420</f>
        <v>Cyanure de potassium</v>
      </c>
      <c r="D407" s="34">
        <f>Database!K420</f>
        <v>65.12</v>
      </c>
      <c r="E407" s="34" t="str">
        <f>Database!P420</f>
        <v>25 g</v>
      </c>
      <c r="F407" s="34" t="str">
        <f>Database!Q420</f>
        <v>1 M in H2O at 20°C</v>
      </c>
      <c r="G407" s="462" t="str">
        <f>Database!R420</f>
        <v>&gt; 98 %</v>
      </c>
      <c r="H407" s="35">
        <f>Database!N420</f>
        <v>42494</v>
      </c>
    </row>
    <row r="408" spans="1:8" ht="45" x14ac:dyDescent="0.25">
      <c r="A408" s="225" t="str">
        <f>Database!A421</f>
        <v>16REF086</v>
      </c>
      <c r="B408" s="34" t="str">
        <f>Database!E421</f>
        <v>NEUROSERVICE</v>
      </c>
      <c r="C408" s="34" t="str">
        <f>Database!F421</f>
        <v>Serotonin hydrochloride</v>
      </c>
      <c r="D408" s="34">
        <f>Database!K421</f>
        <v>212.68</v>
      </c>
      <c r="E408" s="34" t="str">
        <f>Database!P421</f>
        <v>100 mg</v>
      </c>
      <c r="F408" s="34" t="str">
        <f>Database!Q421</f>
        <v>0.1 M HCL, 22 mg/mL</v>
      </c>
      <c r="G408" s="462">
        <f>Database!R421</f>
        <v>0.99</v>
      </c>
      <c r="H408" s="35">
        <f>Database!N421</f>
        <v>42494</v>
      </c>
    </row>
    <row r="409" spans="1:8" ht="60" x14ac:dyDescent="0.25">
      <c r="A409" s="225" t="str">
        <f>Database!A422</f>
        <v>16SAM087</v>
      </c>
      <c r="B409" s="34" t="str">
        <f>Database!E422</f>
        <v>TAKEDA</v>
      </c>
      <c r="C409" s="34" t="str">
        <f>Database!F422</f>
        <v>D-Erythro-Sphingosine, N-Hexanoyl</v>
      </c>
      <c r="D409" s="34">
        <f>Database!K422</f>
        <v>397.6</v>
      </c>
      <c r="E409" s="34" t="str">
        <f>Database!P422</f>
        <v>5 mg</v>
      </c>
      <c r="F409" s="34" t="str">
        <f>Database!Q422</f>
        <v>DMSO 25 mg / mL</v>
      </c>
      <c r="G409" s="462">
        <f>Database!R422</f>
        <v>0.98</v>
      </c>
      <c r="H409" s="35">
        <f>Database!N422</f>
        <v>42494</v>
      </c>
    </row>
    <row r="410" spans="1:8" ht="30" x14ac:dyDescent="0.25">
      <c r="A410" s="225" t="str">
        <f>Database!A423</f>
        <v>16SAM088</v>
      </c>
      <c r="B410" s="34" t="str">
        <f>Database!E423</f>
        <v>SERVIER</v>
      </c>
      <c r="C410" s="34" t="str">
        <f>Database!F423</f>
        <v>S 79759-3</v>
      </c>
      <c r="D410" s="34">
        <f>Database!K423</f>
        <v>443.5</v>
      </c>
      <c r="E410" s="34" t="str">
        <f>Database!P423</f>
        <v>208.69 mg</v>
      </c>
      <c r="F410" s="34" t="str">
        <f>Database!Q423</f>
        <v>soluble in OR2</v>
      </c>
      <c r="G410" s="462">
        <f>Database!R423</f>
        <v>158.01999999999998</v>
      </c>
      <c r="H410" s="35">
        <f>Database!N423</f>
        <v>42494</v>
      </c>
    </row>
    <row r="411" spans="1:8" ht="30" x14ac:dyDescent="0.25">
      <c r="A411" s="225" t="str">
        <f>Database!A424</f>
        <v>16REF089</v>
      </c>
      <c r="B411" s="34" t="str">
        <f>Database!E424</f>
        <v>NEUROSERVICE</v>
      </c>
      <c r="C411" s="34" t="str">
        <f>Database!F424</f>
        <v>Laminin</v>
      </c>
      <c r="D411" s="34" t="str">
        <f>Database!K424</f>
        <v>1-2 mg mL</v>
      </c>
      <c r="E411" s="34" t="str">
        <f>Database!P424</f>
        <v>1mg</v>
      </c>
      <c r="F411" s="34">
        <f>Database!Q424</f>
        <v>0</v>
      </c>
      <c r="G411" s="462" t="str">
        <f>Database!R424</f>
        <v>-</v>
      </c>
      <c r="H411" s="35">
        <f>Database!N424</f>
        <v>42494</v>
      </c>
    </row>
    <row r="412" spans="1:8" ht="60" x14ac:dyDescent="0.25">
      <c r="A412" s="225" t="str">
        <f>Database!A425</f>
        <v>16SAM090</v>
      </c>
      <c r="B412" s="34" t="str">
        <f>Database!E425</f>
        <v>SERVIER</v>
      </c>
      <c r="C412" s="34" t="str">
        <f>Database!F425</f>
        <v>Donepezil hydrochloride</v>
      </c>
      <c r="D412" s="34">
        <f>Database!K425</f>
        <v>415.95</v>
      </c>
      <c r="E412" s="34" t="str">
        <f>Database!P425</f>
        <v>10 mg</v>
      </c>
      <c r="F412" s="34" t="str">
        <f>Database!Q425</f>
        <v>H2O mQ to 75 mM, DMSO to 10 mM</v>
      </c>
      <c r="G412" s="462">
        <f>Database!R425</f>
        <v>1</v>
      </c>
      <c r="H412" s="35">
        <f>Database!N425</f>
        <v>42499</v>
      </c>
    </row>
    <row r="413" spans="1:8" ht="30" x14ac:dyDescent="0.25">
      <c r="A413" s="225" t="str">
        <f>Database!A426</f>
        <v>16SAM091</v>
      </c>
      <c r="B413" s="34" t="str">
        <f>Database!E426</f>
        <v>SERVIER</v>
      </c>
      <c r="C413" s="34" t="str">
        <f>Database!F426</f>
        <v>PNU 120596</v>
      </c>
      <c r="D413" s="34">
        <f>Database!K426</f>
        <v>311.72000000000003</v>
      </c>
      <c r="E413" s="34" t="str">
        <f>Database!P426</f>
        <v>10 mg</v>
      </c>
      <c r="F413" s="34" t="str">
        <f>Database!Q426</f>
        <v>DMSO to 100 mM</v>
      </c>
      <c r="G413" s="462" t="str">
        <f>Database!R426</f>
        <v>&gt; 99.5%</v>
      </c>
      <c r="H413" s="35">
        <f>Database!N426</f>
        <v>42499</v>
      </c>
    </row>
    <row r="414" spans="1:8" ht="60" x14ac:dyDescent="0.25">
      <c r="A414" s="225" t="str">
        <f>Database!A427</f>
        <v>16SAM092</v>
      </c>
      <c r="B414" s="34" t="str">
        <f>Database!E427</f>
        <v>SERVIER</v>
      </c>
      <c r="C414" s="34" t="str">
        <f>Database!F427</f>
        <v>PNU 282987</v>
      </c>
      <c r="D414" s="34">
        <f>Database!K427</f>
        <v>264.75</v>
      </c>
      <c r="E414" s="34" t="str">
        <f>Database!P427</f>
        <v>10 mg</v>
      </c>
      <c r="F414" s="34" t="str">
        <f>Database!Q427</f>
        <v>1eq HCl to 100 mM DMSO to 100 mM</v>
      </c>
      <c r="G414" s="462">
        <f>Database!R427</f>
        <v>0.98899999999999999</v>
      </c>
      <c r="H414" s="35">
        <f>Database!N427</f>
        <v>42499</v>
      </c>
    </row>
    <row r="415" spans="1:8" ht="45" x14ac:dyDescent="0.25">
      <c r="A415" s="225" t="str">
        <f>Database!A428</f>
        <v>16REF093</v>
      </c>
      <c r="B415" s="34" t="str">
        <f>Database!E428</f>
        <v>NEUROSERVICE</v>
      </c>
      <c r="C415" s="34" t="str">
        <f>Database!F428</f>
        <v>Theophylline</v>
      </c>
      <c r="D415" s="34">
        <f>Database!K428</f>
        <v>180.16</v>
      </c>
      <c r="E415" s="34" t="str">
        <f>Database!P428</f>
        <v>50 g</v>
      </c>
      <c r="F415" s="34" t="str">
        <f>Database!Q428</f>
        <v>H2O mQ to 8.3 mg/mL or 0.1m HCl</v>
      </c>
      <c r="G415" s="462">
        <f>Database!R428</f>
        <v>1</v>
      </c>
      <c r="H415" s="35">
        <f>Database!N428</f>
        <v>42499</v>
      </c>
    </row>
    <row r="416" spans="1:8" ht="30" x14ac:dyDescent="0.25">
      <c r="A416" s="225" t="str">
        <f>Database!A429</f>
        <v>16REF094</v>
      </c>
      <c r="B416" s="34" t="str">
        <f>Database!E429</f>
        <v>NEUROSERVICE</v>
      </c>
      <c r="C416" s="34" t="str">
        <f>Database!F429</f>
        <v>Aminophylline</v>
      </c>
      <c r="D416" s="34">
        <f>Database!K429</f>
        <v>420.43</v>
      </c>
      <c r="E416" s="34" t="str">
        <f>Database!P429</f>
        <v>25 g</v>
      </c>
      <c r="F416" s="34" t="str">
        <f>Database!Q429</f>
        <v>H2O mQ to 100 mM</v>
      </c>
      <c r="G416" s="462" t="str">
        <f>Database!R429</f>
        <v>&gt; 98 %</v>
      </c>
      <c r="H416" s="35">
        <f>Database!N429</f>
        <v>42499</v>
      </c>
    </row>
    <row r="417" spans="1:8" ht="45" x14ac:dyDescent="0.25">
      <c r="A417" s="225" t="str">
        <f>Database!A430</f>
        <v>16REF095</v>
      </c>
      <c r="B417" s="34" t="str">
        <f>Database!E430</f>
        <v>NEUROSERVICE</v>
      </c>
      <c r="C417" s="34" t="str">
        <f>Database!F430</f>
        <v>Emetine dihydrochloride</v>
      </c>
      <c r="D417" s="34">
        <f>Database!K430</f>
        <v>553.55999999999995</v>
      </c>
      <c r="E417" s="34" t="str">
        <f>Database!P430</f>
        <v>50 mg</v>
      </c>
      <c r="F417" s="34" t="str">
        <f>Database!Q430</f>
        <v>H2O mQ to 100 mM</v>
      </c>
      <c r="G417" s="462" t="str">
        <f>Database!R430</f>
        <v>&gt; 98 %</v>
      </c>
      <c r="H417" s="35">
        <f>Database!N430</f>
        <v>42499</v>
      </c>
    </row>
    <row r="418" spans="1:8" ht="30" x14ac:dyDescent="0.25">
      <c r="A418" s="225" t="str">
        <f>Database!A431</f>
        <v>16SAM096</v>
      </c>
      <c r="B418" s="34" t="str">
        <f>Database!E431</f>
        <v>SAGE</v>
      </c>
      <c r="C418" s="34" t="str">
        <f>Database!F431</f>
        <v>SGE-01869-02-A</v>
      </c>
      <c r="D418" s="34">
        <f>Database!K431</f>
        <v>430.71</v>
      </c>
      <c r="E418" s="34" t="str">
        <f>Database!P431</f>
        <v>15.1 mg</v>
      </c>
      <c r="F418" s="34" t="str">
        <f>Database!Q431</f>
        <v>DMSO</v>
      </c>
      <c r="G418" s="462" t="str">
        <f>Database!R431</f>
        <v>-</v>
      </c>
      <c r="H418" s="35">
        <f>Database!N431</f>
        <v>42499</v>
      </c>
    </row>
    <row r="419" spans="1:8" ht="45" x14ac:dyDescent="0.25">
      <c r="A419" s="225" t="str">
        <f>Database!A432</f>
        <v>16REF097</v>
      </c>
      <c r="B419" s="34" t="str">
        <f>Database!E432</f>
        <v>NEUROSERVICE</v>
      </c>
      <c r="C419" s="34" t="str">
        <f>Database!F432</f>
        <v>NBQX</v>
      </c>
      <c r="D419" s="34">
        <f>Database!K432</f>
        <v>340.78</v>
      </c>
      <c r="E419" s="34" t="str">
        <f>Database!P432</f>
        <v>50 mg</v>
      </c>
      <c r="F419" s="34" t="str">
        <f>Database!Q432</f>
        <v>up to 100 mM in DMSO</v>
      </c>
      <c r="G419" s="462" t="str">
        <f>Database!R432</f>
        <v>&gt; 99%</v>
      </c>
      <c r="H419" s="35">
        <f>Database!N432</f>
        <v>42501</v>
      </c>
    </row>
    <row r="420" spans="1:8" ht="45" x14ac:dyDescent="0.25">
      <c r="A420" s="225" t="str">
        <f>Database!A433</f>
        <v>16REF098</v>
      </c>
      <c r="B420" s="34" t="str">
        <f>Database!E433</f>
        <v>NEUROSERVICE</v>
      </c>
      <c r="C420" s="34" t="str">
        <f>Database!F433</f>
        <v>NBQX</v>
      </c>
      <c r="D420" s="34">
        <f>Database!K433</f>
        <v>340.78</v>
      </c>
      <c r="E420" s="34" t="str">
        <f>Database!P433</f>
        <v>50 mg</v>
      </c>
      <c r="F420" s="34" t="str">
        <f>Database!Q433</f>
        <v>up to 100 mM in DMSO</v>
      </c>
      <c r="G420" s="462" t="str">
        <f>Database!R433</f>
        <v>&gt; 99 %</v>
      </c>
      <c r="H420" s="35">
        <f>Database!N433</f>
        <v>42501</v>
      </c>
    </row>
    <row r="421" spans="1:8" ht="60" x14ac:dyDescent="0.25">
      <c r="A421" s="225" t="str">
        <f>Database!A434</f>
        <v>16SAM099</v>
      </c>
      <c r="B421" s="34" t="str">
        <f>Database!E434</f>
        <v>CHDI</v>
      </c>
      <c r="C421" s="34" t="str">
        <f>Database!F434</f>
        <v>CHDI-00488367</v>
      </c>
      <c r="D421" s="34">
        <f>Database!K434</f>
        <v>350.39299999999997</v>
      </c>
      <c r="E421" s="34" t="str">
        <f>Database!P434</f>
        <v>10 mg</v>
      </c>
      <c r="F421" s="34" t="str">
        <f>Database!Q434</f>
        <v>0.013 mg/ml in aqueous solubility</v>
      </c>
      <c r="G421" s="462">
        <f>Database!R434</f>
        <v>0.99</v>
      </c>
      <c r="H421" s="35">
        <f>Database!N434</f>
        <v>42507</v>
      </c>
    </row>
    <row r="422" spans="1:8" ht="45" x14ac:dyDescent="0.25">
      <c r="A422" s="225" t="str">
        <f>Database!A435</f>
        <v>16SAM100</v>
      </c>
      <c r="B422" s="34" t="str">
        <f>Database!E435</f>
        <v>GW Pharma</v>
      </c>
      <c r="C422" s="34" t="str">
        <f>Database!F435</f>
        <v>CBD (pure cannabidiol)</v>
      </c>
      <c r="D422" s="34">
        <f>Database!K435</f>
        <v>314.45999999999998</v>
      </c>
      <c r="E422" s="34" t="str">
        <f>Database!P435</f>
        <v>26 mg</v>
      </c>
      <c r="F422" s="34" t="str">
        <f>Database!Q435</f>
        <v>30 mM in DMSO</v>
      </c>
      <c r="G422" s="462">
        <f>Database!R435</f>
        <v>0.98199999999999998</v>
      </c>
      <c r="H422" s="35">
        <f>Database!N435</f>
        <v>42509</v>
      </c>
    </row>
    <row r="423" spans="1:8" ht="45" x14ac:dyDescent="0.25">
      <c r="A423" s="225" t="str">
        <f>Database!A436</f>
        <v>16SAM101</v>
      </c>
      <c r="B423" s="34" t="str">
        <f>Database!E436</f>
        <v>GW Pharma</v>
      </c>
      <c r="C423" s="34" t="str">
        <f>Database!F436</f>
        <v>CBDA (pure cannabidiolic acid)</v>
      </c>
      <c r="D423" s="34">
        <f>Database!K436</f>
        <v>358.48</v>
      </c>
      <c r="E423" s="34" t="str">
        <f>Database!P436</f>
        <v>25 mg</v>
      </c>
      <c r="F423" s="34" t="str">
        <f>Database!Q436</f>
        <v>30 mM in DMSO</v>
      </c>
      <c r="G423" s="462">
        <f>Database!R436</f>
        <v>0.96799999999999997</v>
      </c>
      <c r="H423" s="35">
        <f>Database!N436</f>
        <v>42509</v>
      </c>
    </row>
    <row r="424" spans="1:8" ht="45" x14ac:dyDescent="0.25">
      <c r="A424" s="225" t="str">
        <f>Database!A437</f>
        <v>16SAM102</v>
      </c>
      <c r="B424" s="34" t="str">
        <f>Database!E437</f>
        <v>GW Pharma</v>
      </c>
      <c r="C424" s="34" t="str">
        <f>Database!F437</f>
        <v>CBDV (pure cannabidivarin)</v>
      </c>
      <c r="D424" s="34">
        <f>Database!K437</f>
        <v>286.2</v>
      </c>
      <c r="E424" s="34" t="str">
        <f>Database!P437</f>
        <v>28 mg</v>
      </c>
      <c r="F424" s="34" t="str">
        <f>Database!Q437</f>
        <v>30 mM in DMSO</v>
      </c>
      <c r="G424" s="462">
        <f>Database!R437</f>
        <v>0.98899999999999999</v>
      </c>
      <c r="H424" s="35">
        <f>Database!N437</f>
        <v>42509</v>
      </c>
    </row>
    <row r="425" spans="1:8" ht="30" x14ac:dyDescent="0.25">
      <c r="A425" s="225" t="str">
        <f>Database!A438</f>
        <v>16SAM103</v>
      </c>
      <c r="B425" s="34" t="str">
        <f>Database!E438</f>
        <v>GW Pharma</v>
      </c>
      <c r="C425" s="34" t="str">
        <f>Database!F438</f>
        <v>7-OH CBD</v>
      </c>
      <c r="D425" s="34">
        <f>Database!K438</f>
        <v>330.47</v>
      </c>
      <c r="E425" s="34" t="str">
        <f>Database!P438</f>
        <v>25 mg</v>
      </c>
      <c r="F425" s="34" t="str">
        <f>Database!Q438</f>
        <v>30 mM in DMSO</v>
      </c>
      <c r="G425" s="462">
        <f>Database!R438</f>
        <v>0.879</v>
      </c>
      <c r="H425" s="35">
        <f>Database!N438</f>
        <v>42509</v>
      </c>
    </row>
    <row r="426" spans="1:8" ht="30" x14ac:dyDescent="0.25">
      <c r="A426" s="225" t="str">
        <f>Database!A439</f>
        <v>16SAM104</v>
      </c>
      <c r="B426" s="34" t="str">
        <f>Database!E439</f>
        <v>GW Pharma</v>
      </c>
      <c r="C426" s="34" t="str">
        <f>Database!F439</f>
        <v>7-COOH CBD</v>
      </c>
      <c r="D426" s="34">
        <f>Database!K439</f>
        <v>344.44</v>
      </c>
      <c r="E426" s="34" t="str">
        <f>Database!P439</f>
        <v>25 mg</v>
      </c>
      <c r="F426" s="34" t="str">
        <f>Database!Q439</f>
        <v>30 mM in DMSO</v>
      </c>
      <c r="G426" s="462">
        <f>Database!R439</f>
        <v>0.99099999999999999</v>
      </c>
      <c r="H426" s="35">
        <f>Database!N439</f>
        <v>42509</v>
      </c>
    </row>
    <row r="427" spans="1:8" ht="30" x14ac:dyDescent="0.25">
      <c r="A427" s="225" t="str">
        <f>Database!A440</f>
        <v>16SAM105</v>
      </c>
      <c r="B427" s="34" t="str">
        <f>Database!E440</f>
        <v>GW Pharma</v>
      </c>
      <c r="C427" s="34" t="str">
        <f>Database!F440</f>
        <v>7-OH CBDV</v>
      </c>
      <c r="D427" s="34">
        <f>Database!K440</f>
        <v>302.2</v>
      </c>
      <c r="E427" s="34" t="str">
        <f>Database!P440</f>
        <v>28 mg</v>
      </c>
      <c r="F427" s="34" t="str">
        <f>Database!Q440</f>
        <v>30 mM in DMSO</v>
      </c>
      <c r="G427" s="462">
        <f>Database!R440</f>
        <v>0.96599999999999997</v>
      </c>
      <c r="H427" s="35">
        <f>Database!N440</f>
        <v>42509</v>
      </c>
    </row>
    <row r="428" spans="1:8" ht="30" x14ac:dyDescent="0.25">
      <c r="A428" s="225" t="str">
        <f>Database!A441</f>
        <v>16SAM106</v>
      </c>
      <c r="B428" s="34" t="str">
        <f>Database!E441</f>
        <v>GW Pharma</v>
      </c>
      <c r="C428" s="34" t="str">
        <f>Database!F441</f>
        <v>7-COOH CBDV</v>
      </c>
      <c r="D428" s="34">
        <f>Database!K441</f>
        <v>316.39</v>
      </c>
      <c r="E428" s="34" t="str">
        <f>Database!P441</f>
        <v>27 mg</v>
      </c>
      <c r="F428" s="34" t="str">
        <f>Database!Q441</f>
        <v>30 mM in DMSO</v>
      </c>
      <c r="G428" s="462">
        <f>Database!R441</f>
        <v>0.97199999999999998</v>
      </c>
      <c r="H428" s="35">
        <f>Database!N441</f>
        <v>42509</v>
      </c>
    </row>
    <row r="429" spans="1:8" ht="30" x14ac:dyDescent="0.25">
      <c r="A429" s="225" t="str">
        <f>Database!A442</f>
        <v>16SAM107</v>
      </c>
      <c r="B429" s="34" t="str">
        <f>Database!E442</f>
        <v>Takeda</v>
      </c>
      <c r="C429" s="34" t="str">
        <f>Database!F442</f>
        <v>SYR272400Z</v>
      </c>
      <c r="D429" s="34">
        <f>Database!K442</f>
        <v>404</v>
      </c>
      <c r="E429" s="34" t="str">
        <f>Database!P442</f>
        <v>100.1 mg</v>
      </c>
      <c r="F429" s="34" t="str">
        <f>Database!Q442</f>
        <v>30 mM in DMSO</v>
      </c>
      <c r="G429" s="462">
        <f>Database!R442</f>
        <v>0</v>
      </c>
      <c r="H429" s="35">
        <f>Database!N442</f>
        <v>42510</v>
      </c>
    </row>
    <row r="430" spans="1:8" ht="45" x14ac:dyDescent="0.25">
      <c r="A430" s="225" t="str">
        <f>Database!A443</f>
        <v>16REF108</v>
      </c>
      <c r="B430" s="34" t="str">
        <f>Database!E443</f>
        <v>NEUROSERVICE</v>
      </c>
      <c r="C430" s="34" t="str">
        <f>Database!F443</f>
        <v>Ketamine hydrochloride</v>
      </c>
      <c r="D430" s="34">
        <f>Database!K443</f>
        <v>274.19</v>
      </c>
      <c r="E430" s="34" t="str">
        <f>Database!P443</f>
        <v>1 g</v>
      </c>
      <c r="F430" s="34">
        <f>Database!Q443</f>
        <v>0</v>
      </c>
      <c r="G430" s="462">
        <f>Database!R443</f>
        <v>0</v>
      </c>
      <c r="H430" s="35">
        <f>Database!N443</f>
        <v>42514</v>
      </c>
    </row>
    <row r="431" spans="1:8" ht="45" x14ac:dyDescent="0.25">
      <c r="A431" s="225" t="str">
        <f>Database!A444</f>
        <v>16SAM109</v>
      </c>
      <c r="B431" s="34" t="str">
        <f>Database!E444</f>
        <v>SAGE</v>
      </c>
      <c r="C431" s="34" t="str">
        <f>Database!F444</f>
        <v>Copper (iii) chloride dihydrate</v>
      </c>
      <c r="D431" s="34">
        <f>Database!K444</f>
        <v>170.48</v>
      </c>
      <c r="E431" s="34" t="str">
        <f>Database!P444</f>
        <v>100 g</v>
      </c>
      <c r="F431" s="34" t="str">
        <f>Database!Q444</f>
        <v>H2O mQ</v>
      </c>
      <c r="G431" s="462">
        <f>Database!R444</f>
        <v>0.996</v>
      </c>
      <c r="H431" s="35">
        <f>Database!N444</f>
        <v>42521</v>
      </c>
    </row>
    <row r="432" spans="1:8" ht="60" x14ac:dyDescent="0.25">
      <c r="A432" s="225" t="str">
        <f>Database!A445</f>
        <v>16REF110</v>
      </c>
      <c r="B432" s="34" t="str">
        <f>Database!E445</f>
        <v>NEUROSERVICE</v>
      </c>
      <c r="C432" s="34" t="str">
        <f>Database!F445</f>
        <v>Capsaicin</v>
      </c>
      <c r="D432" s="34">
        <f>Database!K445</f>
        <v>305.41000000000003</v>
      </c>
      <c r="E432" s="34" t="str">
        <f>Database!P445</f>
        <v>50 mg</v>
      </c>
      <c r="F432" s="34" t="str">
        <f>Database!Q445</f>
        <v>DMSO ( chloroform alcohol benzene)</v>
      </c>
      <c r="G432" s="462">
        <f>Database!R445</f>
        <v>0.97</v>
      </c>
      <c r="H432" s="35">
        <f>Database!N445</f>
        <v>42521</v>
      </c>
    </row>
    <row r="433" spans="1:8" ht="60" x14ac:dyDescent="0.25">
      <c r="A433" s="225" t="str">
        <f>Database!A446</f>
        <v>16SAM111</v>
      </c>
      <c r="B433" s="34" t="str">
        <f>Database!E446</f>
        <v>TAKEDA</v>
      </c>
      <c r="C433" s="34" t="str">
        <f>Database!F446</f>
        <v>Linopirdine dihydrochloride</v>
      </c>
      <c r="D433" s="34">
        <f>Database!K446</f>
        <v>468.89</v>
      </c>
      <c r="E433" s="34" t="str">
        <f>Database!P446</f>
        <v>50 mg</v>
      </c>
      <c r="F433" s="34" t="str">
        <f>Database!Q446</f>
        <v>H2o mQ to 100 mM or DMSO to 100 mM</v>
      </c>
      <c r="G433" s="462">
        <f>Database!R446</f>
        <v>1</v>
      </c>
      <c r="H433" s="35">
        <f>Database!N446</f>
        <v>42522</v>
      </c>
    </row>
    <row r="434" spans="1:8" ht="30" x14ac:dyDescent="0.25">
      <c r="A434" s="225" t="str">
        <f>Database!A447</f>
        <v>16SAM112</v>
      </c>
      <c r="B434" s="34" t="str">
        <f>Database!E447</f>
        <v>ABBVIE</v>
      </c>
      <c r="C434" s="34" t="str">
        <f>Database!F447</f>
        <v>DHPG [ (S) -3.5-DHPG]</v>
      </c>
      <c r="D434" s="34">
        <f>Database!K447</f>
        <v>201.18</v>
      </c>
      <c r="E434" s="34" t="str">
        <f>Database!P447</f>
        <v>10 mg</v>
      </c>
      <c r="F434" s="34" t="str">
        <f>Database!Q447</f>
        <v>H2O mQ to 50 mM</v>
      </c>
      <c r="G434" s="462" t="str">
        <f>Database!R447</f>
        <v>&gt; 99.8 %</v>
      </c>
      <c r="H434" s="35">
        <f>Database!N447</f>
        <v>42524</v>
      </c>
    </row>
    <row r="435" spans="1:8" ht="30" x14ac:dyDescent="0.25">
      <c r="A435" s="225" t="str">
        <f>Database!A448</f>
        <v>16SAM113</v>
      </c>
      <c r="B435" s="34" t="str">
        <f>Database!E448</f>
        <v>ABBVIE</v>
      </c>
      <c r="C435" s="34" t="str">
        <f>Database!F448</f>
        <v>DHPG [ (S) -3.5-DHPG]</v>
      </c>
      <c r="D435" s="34">
        <f>Database!K448</f>
        <v>201.18</v>
      </c>
      <c r="E435" s="34" t="str">
        <f>Database!P448</f>
        <v>10 mg</v>
      </c>
      <c r="F435" s="34" t="str">
        <f>Database!Q448</f>
        <v>H2O mQ to 50 mM</v>
      </c>
      <c r="G435" s="462" t="str">
        <f>Database!R448</f>
        <v>&gt; 99.8 %</v>
      </c>
      <c r="H435" s="35">
        <f>Database!N448</f>
        <v>42524</v>
      </c>
    </row>
    <row r="436" spans="1:8" ht="30" x14ac:dyDescent="0.25">
      <c r="A436" s="225" t="str">
        <f>Database!A449</f>
        <v>16SAM114</v>
      </c>
      <c r="B436" s="34" t="str">
        <f>Database!E449</f>
        <v>ABBVIE</v>
      </c>
      <c r="C436" s="34" t="str">
        <f>Database!F449</f>
        <v>DHPG [ (S) -3.5-DHPG]</v>
      </c>
      <c r="D436" s="34">
        <f>Database!K449</f>
        <v>201.18</v>
      </c>
      <c r="E436" s="34" t="str">
        <f>Database!P449</f>
        <v>10 mg</v>
      </c>
      <c r="F436" s="34" t="str">
        <f>Database!Q449</f>
        <v>H2O mQ to 50 mM</v>
      </c>
      <c r="G436" s="462" t="str">
        <f>Database!R449</f>
        <v>&gt; 99.4 %</v>
      </c>
      <c r="H436" s="35">
        <f>Database!N449</f>
        <v>42524</v>
      </c>
    </row>
    <row r="437" spans="1:8" ht="30" x14ac:dyDescent="0.25">
      <c r="A437" s="225" t="str">
        <f>Database!A450</f>
        <v>16SAM115</v>
      </c>
      <c r="B437" s="34" t="str">
        <f>Database!E450</f>
        <v>ABBVIE</v>
      </c>
      <c r="C437" s="34" t="str">
        <f>Database!F450</f>
        <v>DHPG [ (S) -3.5-DHPG]</v>
      </c>
      <c r="D437" s="34">
        <f>Database!K450</f>
        <v>201.18</v>
      </c>
      <c r="E437" s="34" t="str">
        <f>Database!P450</f>
        <v>10 mg</v>
      </c>
      <c r="F437" s="34" t="str">
        <f>Database!Q450</f>
        <v>H2O mQ to 50 mM</v>
      </c>
      <c r="G437" s="462" t="str">
        <f>Database!R450</f>
        <v>&gt; 99.4 %</v>
      </c>
      <c r="H437" s="35">
        <f>Database!N450</f>
        <v>42524</v>
      </c>
    </row>
    <row r="438" spans="1:8" ht="30" x14ac:dyDescent="0.25">
      <c r="A438" s="225" t="str">
        <f>Database!A451</f>
        <v>16SAM116</v>
      </c>
      <c r="B438" s="34" t="str">
        <f>Database!E451</f>
        <v>ABBVIE</v>
      </c>
      <c r="C438" s="34" t="str">
        <f>Database!F451</f>
        <v>DHPG [ (S) -3.5-DHPG]</v>
      </c>
      <c r="D438" s="34">
        <f>Database!K451</f>
        <v>201.18</v>
      </c>
      <c r="E438" s="34" t="str">
        <f>Database!P451</f>
        <v>10 mg</v>
      </c>
      <c r="F438" s="34" t="str">
        <f>Database!Q451</f>
        <v>H2O mQ to 50 mM</v>
      </c>
      <c r="G438" s="462" t="str">
        <f>Database!R451</f>
        <v>&gt; 99.4 %</v>
      </c>
      <c r="H438" s="35">
        <f>Database!N451</f>
        <v>42524</v>
      </c>
    </row>
    <row r="439" spans="1:8" ht="30" x14ac:dyDescent="0.25">
      <c r="A439" s="225" t="str">
        <f>Database!A452</f>
        <v>16SAM117</v>
      </c>
      <c r="B439" s="34" t="str">
        <f>Database!E452</f>
        <v>ABBVIE</v>
      </c>
      <c r="C439" s="34" t="str">
        <f>Database!F452</f>
        <v>DMSO  100 %</v>
      </c>
      <c r="D439" s="34" t="str">
        <f>Database!K452</f>
        <v>-</v>
      </c>
      <c r="E439" s="34" t="str">
        <f>Database!P452</f>
        <v>5 mL</v>
      </c>
      <c r="F439" s="34">
        <f>Database!Q452</f>
        <v>0</v>
      </c>
      <c r="G439" s="462">
        <f>Database!R452</f>
        <v>0</v>
      </c>
      <c r="H439" s="35">
        <f>Database!N452</f>
        <v>42524</v>
      </c>
    </row>
    <row r="440" spans="1:8" ht="30" x14ac:dyDescent="0.25">
      <c r="A440" s="225" t="str">
        <f>Database!A453</f>
        <v>16SAM118</v>
      </c>
      <c r="B440" s="34" t="str">
        <f>Database!E453</f>
        <v>ABBVIE</v>
      </c>
      <c r="C440" s="34" t="str">
        <f>Database!F453</f>
        <v>Compound A</v>
      </c>
      <c r="D440" s="34" t="str">
        <f>Database!K453</f>
        <v>-</v>
      </c>
      <c r="E440" s="34" t="str">
        <f>Database!P453</f>
        <v>5mL</v>
      </c>
      <c r="F440" s="34" t="str">
        <f>Database!Q453</f>
        <v>200 µM in DMSO</v>
      </c>
      <c r="G440" s="462" t="str">
        <f>Database!R453</f>
        <v>-</v>
      </c>
      <c r="H440" s="35">
        <f>Database!N453</f>
        <v>42524</v>
      </c>
    </row>
    <row r="441" spans="1:8" ht="30" x14ac:dyDescent="0.25">
      <c r="A441" s="225" t="str">
        <f>Database!A454</f>
        <v>16SAM119</v>
      </c>
      <c r="B441" s="34" t="str">
        <f>Database!E454</f>
        <v>ABBVIE</v>
      </c>
      <c r="C441" s="34" t="str">
        <f>Database!F454</f>
        <v>Compound B</v>
      </c>
      <c r="D441" s="34" t="str">
        <f>Database!K454</f>
        <v>-</v>
      </c>
      <c r="E441" s="34" t="str">
        <f>Database!P454</f>
        <v>5 mL</v>
      </c>
      <c r="F441" s="34" t="str">
        <f>Database!Q454</f>
        <v>1 mM in DMSO</v>
      </c>
      <c r="G441" s="462" t="str">
        <f>Database!R454</f>
        <v>-</v>
      </c>
      <c r="H441" s="35">
        <f>Database!N454</f>
        <v>42524</v>
      </c>
    </row>
    <row r="442" spans="1:8" ht="30" x14ac:dyDescent="0.25">
      <c r="A442" s="225" t="str">
        <f>Database!A455</f>
        <v>16SAM120</v>
      </c>
      <c r="B442" s="34" t="str">
        <f>Database!E455</f>
        <v>ABBVIE</v>
      </c>
      <c r="C442" s="34" t="str">
        <f>Database!F455</f>
        <v>Compound C</v>
      </c>
      <c r="D442" s="34" t="str">
        <f>Database!K455</f>
        <v>-</v>
      </c>
      <c r="E442" s="34" t="str">
        <f>Database!P455</f>
        <v>5 mL</v>
      </c>
      <c r="F442" s="34" t="str">
        <f>Database!Q455</f>
        <v>200 µM in DMSO</v>
      </c>
      <c r="G442" s="462" t="str">
        <f>Database!R455</f>
        <v>-</v>
      </c>
      <c r="H442" s="35">
        <f>Database!N455</f>
        <v>42524</v>
      </c>
    </row>
    <row r="443" spans="1:8" ht="30" x14ac:dyDescent="0.25">
      <c r="A443" s="225" t="str">
        <f>Database!A456</f>
        <v>16SAM121</v>
      </c>
      <c r="B443" s="34" t="str">
        <f>Database!E456</f>
        <v>TAKEDA</v>
      </c>
      <c r="C443" s="34" t="str">
        <f>Database!F456</f>
        <v>Norepinephrine</v>
      </c>
      <c r="D443" s="34">
        <f>Database!K456</f>
        <v>169.18</v>
      </c>
      <c r="E443" s="34" t="str">
        <f>Database!P456</f>
        <v>500 mg</v>
      </c>
      <c r="F443" s="34" t="str">
        <f>Database!Q456</f>
        <v>2 eq HCL</v>
      </c>
      <c r="G443" s="462">
        <f>Database!R456</f>
        <v>1</v>
      </c>
      <c r="H443" s="35">
        <f>Database!N456</f>
        <v>42536</v>
      </c>
    </row>
    <row r="444" spans="1:8" ht="30" x14ac:dyDescent="0.25">
      <c r="A444" s="225" t="str">
        <f>Database!A457</f>
        <v>16REF122</v>
      </c>
      <c r="B444" s="34" t="str">
        <f>Database!E457</f>
        <v>NEUROSERVICE</v>
      </c>
      <c r="C444" s="34" t="str">
        <f>Database!F457</f>
        <v>Kynurenic acid</v>
      </c>
      <c r="D444" s="34">
        <f>Database!K457</f>
        <v>189.17</v>
      </c>
      <c r="E444" s="34" t="str">
        <f>Database!P457</f>
        <v>5 g</v>
      </c>
      <c r="F444" s="34">
        <f>Database!Q457</f>
        <v>0</v>
      </c>
      <c r="G444" s="462">
        <f>Database!R457</f>
        <v>1</v>
      </c>
      <c r="H444" s="35">
        <f>Database!N457</f>
        <v>42536</v>
      </c>
    </row>
    <row r="445" spans="1:8" ht="23.25" x14ac:dyDescent="0.25">
      <c r="A445" s="225" t="str">
        <f>Database!A458</f>
        <v>16SAM123</v>
      </c>
      <c r="B445" s="34" t="str">
        <f>Database!E458</f>
        <v>TAKEDA</v>
      </c>
      <c r="C445" s="34" t="str">
        <f>Database!F458</f>
        <v>SYR214337Z</v>
      </c>
      <c r="D445" s="34">
        <f>Database!K458</f>
        <v>379.46</v>
      </c>
      <c r="E445" s="34" t="str">
        <f>Database!P458</f>
        <v>5.01 mg</v>
      </c>
      <c r="F445" s="34" t="str">
        <f>Database!Q458</f>
        <v>DMSO</v>
      </c>
      <c r="G445" s="462">
        <f>Database!R458</f>
        <v>0</v>
      </c>
      <c r="H445" s="35">
        <f>Database!N458</f>
        <v>42537</v>
      </c>
    </row>
    <row r="446" spans="1:8" ht="45" x14ac:dyDescent="0.25">
      <c r="A446" s="225" t="str">
        <f>Database!A459</f>
        <v>16REF124</v>
      </c>
      <c r="B446" s="34" t="str">
        <f>Database!E459</f>
        <v>NEUROSERVICE</v>
      </c>
      <c r="C446" s="34" t="str">
        <f>Database!F459</f>
        <v>5-Fluoro-2'-deoxyuridine</v>
      </c>
      <c r="D446" s="34">
        <f>Database!K459</f>
        <v>246.19</v>
      </c>
      <c r="E446" s="34" t="str">
        <f>Database!P459</f>
        <v>250 mg</v>
      </c>
      <c r="F446" s="34" t="str">
        <f>Database!Q459</f>
        <v>50 mg/mL in H2O mQ</v>
      </c>
      <c r="G446" s="462">
        <f>Database!R459</f>
        <v>1</v>
      </c>
      <c r="H446" s="35">
        <f>Database!N459</f>
        <v>42538</v>
      </c>
    </row>
    <row r="447" spans="1:8" ht="30" x14ac:dyDescent="0.25">
      <c r="A447" s="225" t="str">
        <f>Database!A460</f>
        <v>16SAM125</v>
      </c>
      <c r="B447" s="34" t="str">
        <f>Database!E460</f>
        <v>SAGE</v>
      </c>
      <c r="C447" s="34" t="str">
        <f>Database!F460</f>
        <v>SGE-00516-05-A</v>
      </c>
      <c r="D447" s="34">
        <f>Database!K460</f>
        <v>385.54300000000001</v>
      </c>
      <c r="E447" s="34" t="str">
        <f>Database!P460</f>
        <v>100, 1 mg</v>
      </c>
      <c r="F447" s="34" t="str">
        <f>Database!Q460</f>
        <v>DMSO</v>
      </c>
      <c r="G447" s="462">
        <f>Database!R460</f>
        <v>0</v>
      </c>
      <c r="H447" s="35">
        <f>Database!N460</f>
        <v>42538</v>
      </c>
    </row>
    <row r="448" spans="1:8" ht="30" x14ac:dyDescent="0.25">
      <c r="A448" s="225" t="str">
        <f>Database!A461</f>
        <v>16SAM126</v>
      </c>
      <c r="B448" s="34" t="str">
        <f>Database!E461</f>
        <v>SAGE</v>
      </c>
      <c r="C448" s="34" t="str">
        <f>Database!F461</f>
        <v>SGE-00118-04-A</v>
      </c>
      <c r="D448" s="34">
        <f>Database!K461</f>
        <v>402.7</v>
      </c>
      <c r="E448" s="34" t="str">
        <f>Database!P461</f>
        <v>75 mg</v>
      </c>
      <c r="F448" s="34" t="str">
        <f>Database!Q461</f>
        <v>DMSO</v>
      </c>
      <c r="G448" s="462">
        <f>Database!R461</f>
        <v>0</v>
      </c>
      <c r="H448" s="35">
        <f>Database!N461</f>
        <v>42538</v>
      </c>
    </row>
    <row r="449" spans="1:8" ht="45" x14ac:dyDescent="0.25">
      <c r="A449" s="225" t="str">
        <f>Database!A462</f>
        <v>16SAM127</v>
      </c>
      <c r="B449" s="34" t="str">
        <f>Database!E462</f>
        <v>PIERRE FABRE</v>
      </c>
      <c r="C449" s="34" t="str">
        <f>Database!F462</f>
        <v>Strychnine hydrochloride</v>
      </c>
      <c r="D449" s="34">
        <f>Database!K462</f>
        <v>402.4</v>
      </c>
      <c r="E449" s="34" t="str">
        <f>Database!P462</f>
        <v>100 mg</v>
      </c>
      <c r="F449" s="34" t="str">
        <f>Database!Q462</f>
        <v>H2O mQ to 50 mM</v>
      </c>
      <c r="G449" s="462" t="str">
        <f>Database!R462</f>
        <v>&gt; 99 %</v>
      </c>
      <c r="H449" s="35">
        <f>Database!N462</f>
        <v>42543</v>
      </c>
    </row>
    <row r="450" spans="1:8" ht="30" x14ac:dyDescent="0.25">
      <c r="A450" s="225" t="str">
        <f>Database!A463</f>
        <v>16SAM128</v>
      </c>
      <c r="B450" s="34" t="str">
        <f>Database!E463</f>
        <v>PIERRE FABRE</v>
      </c>
      <c r="C450" s="34" t="str">
        <f>Database!F463</f>
        <v>NMDA</v>
      </c>
      <c r="D450" s="34">
        <f>Database!K463</f>
        <v>147.13</v>
      </c>
      <c r="E450" s="34" t="str">
        <f>Database!P463</f>
        <v>500 mg</v>
      </c>
      <c r="F450" s="34" t="str">
        <f>Database!Q463</f>
        <v>H2O mQ to 100 mM</v>
      </c>
      <c r="G450" s="462" t="str">
        <f>Database!R463</f>
        <v>&gt; 99 %</v>
      </c>
      <c r="H450" s="35">
        <f>Database!N463</f>
        <v>42543</v>
      </c>
    </row>
    <row r="451" spans="1:8" ht="30" x14ac:dyDescent="0.25">
      <c r="A451" s="225" t="str">
        <f>Database!A464</f>
        <v>16SAM129</v>
      </c>
      <c r="B451" s="34" t="str">
        <f>Database!E464</f>
        <v>PIERRE FABRE</v>
      </c>
      <c r="C451" s="34" t="str">
        <f>Database!F464</f>
        <v>NMDA</v>
      </c>
      <c r="D451" s="34">
        <f>Database!K464</f>
        <v>147.13</v>
      </c>
      <c r="E451" s="34" t="str">
        <f>Database!P464</f>
        <v>500 mg</v>
      </c>
      <c r="F451" s="34" t="str">
        <f>Database!Q464</f>
        <v>H2O mQ to 100 mM</v>
      </c>
      <c r="G451" s="462" t="str">
        <f>Database!R464</f>
        <v>&gt; 99 %</v>
      </c>
      <c r="H451" s="35">
        <f>Database!N464</f>
        <v>42543</v>
      </c>
    </row>
    <row r="452" spans="1:8" ht="30" x14ac:dyDescent="0.25">
      <c r="A452" s="225" t="str">
        <f>Database!A465</f>
        <v>16SAM130</v>
      </c>
      <c r="B452" s="34" t="str">
        <f>Database!E465</f>
        <v>PIERRE FABRE</v>
      </c>
      <c r="C452" s="34" t="str">
        <f>Database!F465</f>
        <v>D-AP5</v>
      </c>
      <c r="D452" s="34">
        <f>Database!K465</f>
        <v>197.13</v>
      </c>
      <c r="E452" s="34" t="str">
        <f>Database!P465</f>
        <v>10 mg</v>
      </c>
      <c r="F452" s="34" t="str">
        <f>Database!Q465</f>
        <v>H2O mQ to 100 mM</v>
      </c>
      <c r="G452" s="462" t="str">
        <f>Database!R465</f>
        <v>&gt; 99 %</v>
      </c>
      <c r="H452" s="35">
        <f>Database!N465</f>
        <v>42543</v>
      </c>
    </row>
    <row r="453" spans="1:8" ht="45" x14ac:dyDescent="0.25">
      <c r="A453" s="225" t="str">
        <f>Database!A466</f>
        <v>16REF131</v>
      </c>
      <c r="B453" s="34" t="str">
        <f>Database!E466</f>
        <v>NEUROSERVICE</v>
      </c>
      <c r="C453" s="34" t="str">
        <f>Database!F466</f>
        <v>CNQX disodium salt</v>
      </c>
      <c r="D453" s="34">
        <f>Database!K466</f>
        <v>307.64999999999998</v>
      </c>
      <c r="E453" s="34" t="str">
        <f>Database!P466</f>
        <v>50 mg</v>
      </c>
      <c r="F453" s="34" t="str">
        <f>Database!Q466</f>
        <v>H2O mQ to 25 mM</v>
      </c>
      <c r="G453" s="462" t="str">
        <f>Database!R466</f>
        <v>&gt; 99 %</v>
      </c>
      <c r="H453" s="35">
        <f>Database!N466</f>
        <v>42543</v>
      </c>
    </row>
    <row r="454" spans="1:8" ht="30" x14ac:dyDescent="0.25">
      <c r="A454" s="225" t="str">
        <f>Database!A467</f>
        <v>16SAM132</v>
      </c>
      <c r="B454" s="34" t="str">
        <f>Database!E467</f>
        <v>TAKEDA</v>
      </c>
      <c r="C454" s="34" t="str">
        <f>Database!F467</f>
        <v>mCPBG</v>
      </c>
      <c r="D454" s="34">
        <f>Database!K467</f>
        <v>248.11</v>
      </c>
      <c r="E454" s="34" t="str">
        <f>Database!P467</f>
        <v>100 mg</v>
      </c>
      <c r="F454" s="34" t="str">
        <f>Database!Q467</f>
        <v>H2O mQ to 100 mM</v>
      </c>
      <c r="G454" s="462" t="str">
        <f>Database!R467</f>
        <v>&gt; 98.8%</v>
      </c>
      <c r="H454" s="35">
        <f>Database!N467</f>
        <v>42544</v>
      </c>
    </row>
    <row r="455" spans="1:8" ht="30" x14ac:dyDescent="0.25">
      <c r="A455" s="225" t="str">
        <f>Database!A468</f>
        <v>16SAM133</v>
      </c>
      <c r="B455" s="34" t="str">
        <f>Database!E468</f>
        <v>TAKEDA</v>
      </c>
      <c r="C455" s="34" t="str">
        <f>Database!F468</f>
        <v>mCPBG</v>
      </c>
      <c r="D455" s="34">
        <f>Database!K468</f>
        <v>248.11</v>
      </c>
      <c r="E455" s="34" t="str">
        <f>Database!P468</f>
        <v>100 mg</v>
      </c>
      <c r="F455" s="34" t="str">
        <f>Database!Q468</f>
        <v>H2O mQ to 100 mM</v>
      </c>
      <c r="G455" s="462" t="str">
        <f>Database!R468</f>
        <v>&gt; 98.8 %</v>
      </c>
      <c r="H455" s="35">
        <f>Database!N468</f>
        <v>42544</v>
      </c>
    </row>
    <row r="456" spans="1:8" ht="30" x14ac:dyDescent="0.25">
      <c r="A456" s="225" t="str">
        <f>Database!A469</f>
        <v>16SAM134</v>
      </c>
      <c r="B456" s="34" t="str">
        <f>Database!E469</f>
        <v>TAKEDA</v>
      </c>
      <c r="C456" s="34" t="str">
        <f>Database!F469</f>
        <v>mCPBG</v>
      </c>
      <c r="D456" s="34">
        <f>Database!K469</f>
        <v>248.11</v>
      </c>
      <c r="E456" s="34" t="str">
        <f>Database!P469</f>
        <v>100 mg</v>
      </c>
      <c r="F456" s="34" t="str">
        <f>Database!Q469</f>
        <v>H2O mQ to 100 mM</v>
      </c>
      <c r="G456" s="462" t="str">
        <f>Database!R469</f>
        <v>&gt; 98.8 %</v>
      </c>
      <c r="H456" s="35">
        <f>Database!N469</f>
        <v>42544</v>
      </c>
    </row>
    <row r="457" spans="1:8" ht="30" x14ac:dyDescent="0.25">
      <c r="A457" s="225" t="str">
        <f>Database!A470</f>
        <v>16SAM135</v>
      </c>
      <c r="B457" s="34" t="str">
        <f>Database!E470</f>
        <v>PIERRE FABRE</v>
      </c>
      <c r="C457" s="34" t="str">
        <f>Database!F470</f>
        <v>Glycine</v>
      </c>
      <c r="D457" s="34">
        <f>Database!K470</f>
        <v>75.069999999999993</v>
      </c>
      <c r="E457" s="34" t="str">
        <f>Database!P470</f>
        <v>100 g</v>
      </c>
      <c r="F457" s="34" t="str">
        <f>Database!Q470</f>
        <v>H2O mQ to 200 mg/mL</v>
      </c>
      <c r="G457" s="462">
        <f>Database!R470</f>
        <v>0.999</v>
      </c>
      <c r="H457" s="35">
        <f>Database!N470</f>
        <v>42544</v>
      </c>
    </row>
    <row r="458" spans="1:8" ht="60" x14ac:dyDescent="0.25">
      <c r="A458" s="225" t="str">
        <f>Database!A471</f>
        <v>16REF136</v>
      </c>
      <c r="B458" s="34" t="str">
        <f>Database!E471</f>
        <v>NEUROSERVICE</v>
      </c>
      <c r="C458" s="34" t="str">
        <f>Database!F471</f>
        <v>BSA (Bovine Albumine Serum)</v>
      </c>
      <c r="D458" s="34" t="str">
        <f>Database!K471</f>
        <v>-</v>
      </c>
      <c r="E458" s="34" t="str">
        <f>Database!P471</f>
        <v>5 g</v>
      </c>
      <c r="F458" s="34" t="str">
        <f>Database!Q471</f>
        <v>H2O mQ to 40 mg/mL</v>
      </c>
      <c r="G458" s="462">
        <f>Database!R471</f>
        <v>1</v>
      </c>
      <c r="H458" s="35">
        <f>Database!N471</f>
        <v>42544</v>
      </c>
    </row>
    <row r="459" spans="1:8" ht="45" x14ac:dyDescent="0.25">
      <c r="A459" s="225" t="str">
        <f>Database!A472</f>
        <v>16REF137</v>
      </c>
      <c r="B459" s="34" t="str">
        <f>Database!E472</f>
        <v>NEUROSERVICE</v>
      </c>
      <c r="C459" s="34" t="str">
        <f>Database!F472</f>
        <v>Dnase I</v>
      </c>
      <c r="D459" s="34" t="str">
        <f>Database!K472</f>
        <v>-</v>
      </c>
      <c r="E459" s="34" t="str">
        <f>Database!P472</f>
        <v>10 mg</v>
      </c>
      <c r="F459" s="34" t="str">
        <f>Database!Q472</f>
        <v>soluble in 0.15 M NaCl at 5 mg/mL</v>
      </c>
      <c r="G459" s="462">
        <f>Database!R472</f>
        <v>0.96</v>
      </c>
      <c r="H459" s="35">
        <f>Database!N472</f>
        <v>42544</v>
      </c>
    </row>
    <row r="460" spans="1:8" ht="30" x14ac:dyDescent="0.25">
      <c r="A460" s="225" t="str">
        <f>Database!A473</f>
        <v>16SAM138</v>
      </c>
      <c r="B460" s="34" t="str">
        <f>Database!E473</f>
        <v>SERVIER</v>
      </c>
      <c r="C460" s="34" t="str">
        <f>Database!F473</f>
        <v>Nocodazole</v>
      </c>
      <c r="D460" s="34">
        <f>Database!K473</f>
        <v>301.32</v>
      </c>
      <c r="E460" s="34" t="str">
        <f>Database!P473</f>
        <v>50 mg</v>
      </c>
      <c r="F460" s="34" t="str">
        <f>Database!Q473</f>
        <v>DMSO to 10 mg/mL</v>
      </c>
      <c r="G460" s="462">
        <f>Database!R473</f>
        <v>0.99</v>
      </c>
      <c r="H460" s="35">
        <f>Database!N473</f>
        <v>42545</v>
      </c>
    </row>
    <row r="461" spans="1:8" ht="30" x14ac:dyDescent="0.25">
      <c r="A461" s="225" t="str">
        <f>Database!A474</f>
        <v>16SAM139</v>
      </c>
      <c r="B461" s="34" t="str">
        <f>Database!E474</f>
        <v>SERVIER</v>
      </c>
      <c r="C461" s="34" t="str">
        <f>Database!F474</f>
        <v>Nocodazole</v>
      </c>
      <c r="D461" s="34">
        <f>Database!K474</f>
        <v>301.32</v>
      </c>
      <c r="E461" s="34" t="str">
        <f>Database!P474</f>
        <v>50 mg</v>
      </c>
      <c r="F461" s="34" t="str">
        <f>Database!Q474</f>
        <v>DMSO to 10 mg/mL</v>
      </c>
      <c r="G461" s="462">
        <f>Database!R474</f>
        <v>0.99</v>
      </c>
      <c r="H461" s="35">
        <f>Database!N474</f>
        <v>42545</v>
      </c>
    </row>
    <row r="462" spans="1:8" ht="30" x14ac:dyDescent="0.25">
      <c r="A462" s="225" t="str">
        <f>Database!A475</f>
        <v>16SAM140</v>
      </c>
      <c r="B462" s="34" t="str">
        <f>Database!E475</f>
        <v>SERVIER</v>
      </c>
      <c r="C462" s="34" t="str">
        <f>Database!F475</f>
        <v>Nocodazole</v>
      </c>
      <c r="D462" s="34">
        <f>Database!K475</f>
        <v>301.32</v>
      </c>
      <c r="E462" s="34" t="str">
        <f>Database!P475</f>
        <v>50 mg</v>
      </c>
      <c r="F462" s="34" t="str">
        <f>Database!Q475</f>
        <v>DMSO to 10 mg/mL</v>
      </c>
      <c r="G462" s="462">
        <f>Database!R475</f>
        <v>0.99</v>
      </c>
      <c r="H462" s="35">
        <f>Database!N475</f>
        <v>42545</v>
      </c>
    </row>
    <row r="463" spans="1:8" ht="30" x14ac:dyDescent="0.25">
      <c r="A463" s="225" t="str">
        <f>Database!A476</f>
        <v>16SAM141</v>
      </c>
      <c r="B463" s="34" t="str">
        <f>Database!E476</f>
        <v>SERVIER</v>
      </c>
      <c r="C463" s="34" t="str">
        <f>Database!F476</f>
        <v>Nocodazole</v>
      </c>
      <c r="D463" s="34">
        <f>Database!K476</f>
        <v>301.32</v>
      </c>
      <c r="E463" s="34" t="str">
        <f>Database!P476</f>
        <v>50 mg</v>
      </c>
      <c r="F463" s="34" t="str">
        <f>Database!Q476</f>
        <v>DMSO to 10 mg/mL</v>
      </c>
      <c r="G463" s="462">
        <f>Database!R476</f>
        <v>0.99</v>
      </c>
      <c r="H463" s="35">
        <f>Database!N476</f>
        <v>42545</v>
      </c>
    </row>
    <row r="464" spans="1:8" ht="30" x14ac:dyDescent="0.25">
      <c r="A464" s="225" t="str">
        <f>Database!A477</f>
        <v>16SAM142</v>
      </c>
      <c r="B464" s="34" t="str">
        <f>Database!E477</f>
        <v>PIERRE FABRE</v>
      </c>
      <c r="C464" s="34" t="str">
        <f>Database!F477</f>
        <v>NMDA</v>
      </c>
      <c r="D464" s="34">
        <f>Database!K477</f>
        <v>147.13</v>
      </c>
      <c r="E464" s="34" t="str">
        <f>Database!P477</f>
        <v>50 mg</v>
      </c>
      <c r="F464" s="34" t="str">
        <f>Database!Q477</f>
        <v>H2O mQ to 50 mM</v>
      </c>
      <c r="G464" s="462" t="str">
        <f>Database!R477</f>
        <v>&gt; 99%</v>
      </c>
      <c r="H464" s="35">
        <f>Database!N477</f>
        <v>42549</v>
      </c>
    </row>
    <row r="465" spans="1:8" ht="30" x14ac:dyDescent="0.25">
      <c r="A465" s="225" t="str">
        <f>Database!A478</f>
        <v>16SAM143</v>
      </c>
      <c r="B465" s="34" t="str">
        <f>Database!E478</f>
        <v>PIERRE FABRE</v>
      </c>
      <c r="C465" s="34" t="str">
        <f>Database!F478</f>
        <v>D-AP5</v>
      </c>
      <c r="D465" s="34">
        <f>Database!K478</f>
        <v>197.13</v>
      </c>
      <c r="E465" s="34" t="str">
        <f>Database!P478</f>
        <v>10 mg</v>
      </c>
      <c r="F465" s="34" t="str">
        <f>Database!Q478</f>
        <v>H2O mQ to 100 mM</v>
      </c>
      <c r="G465" s="462" t="str">
        <f>Database!R478</f>
        <v>&gt; 99%</v>
      </c>
      <c r="H465" s="35">
        <f>Database!N478</f>
        <v>42552</v>
      </c>
    </row>
    <row r="466" spans="1:8" ht="30" x14ac:dyDescent="0.25">
      <c r="A466" s="225" t="str">
        <f>Database!A479</f>
        <v>16REF144</v>
      </c>
      <c r="B466" s="34" t="str">
        <f>Database!E479</f>
        <v>NEUROSERVICE</v>
      </c>
      <c r="C466" s="34" t="str">
        <f>Database!F479</f>
        <v>D-AP5</v>
      </c>
      <c r="D466" s="34">
        <f>Database!K479</f>
        <v>197.13</v>
      </c>
      <c r="E466" s="34" t="str">
        <f>Database!P479</f>
        <v>50 mg</v>
      </c>
      <c r="F466" s="34" t="str">
        <f>Database!Q479</f>
        <v>H2O mQ to 100 mM</v>
      </c>
      <c r="G466" s="462" t="str">
        <f>Database!R479</f>
        <v>&gt; 99%</v>
      </c>
      <c r="H466" s="35">
        <f>Database!N479</f>
        <v>42552</v>
      </c>
    </row>
    <row r="467" spans="1:8" ht="30" x14ac:dyDescent="0.25">
      <c r="A467" s="225" t="str">
        <f>Database!A480</f>
        <v>16REF145</v>
      </c>
      <c r="B467" s="34" t="str">
        <f>Database!E480</f>
        <v>NEUROSERVICE</v>
      </c>
      <c r="C467" s="34" t="str">
        <f>Database!F480</f>
        <v>D-AP5</v>
      </c>
      <c r="D467" s="34">
        <f>Database!K480</f>
        <v>197.13</v>
      </c>
      <c r="E467" s="34" t="str">
        <f>Database!P480</f>
        <v>50 mg</v>
      </c>
      <c r="F467" s="34" t="str">
        <f>Database!Q480</f>
        <v>H2O mQ to 100 mM</v>
      </c>
      <c r="G467" s="462" t="str">
        <f>Database!R480</f>
        <v>&gt; 99%</v>
      </c>
      <c r="H467" s="35">
        <f>Database!N480</f>
        <v>42552</v>
      </c>
    </row>
    <row r="468" spans="1:8" ht="23.25" x14ac:dyDescent="0.25">
      <c r="A468" s="225" t="str">
        <f>Database!A481</f>
        <v>16SAM146</v>
      </c>
      <c r="B468" s="34" t="str">
        <f>Database!E481</f>
        <v>TAKEDA</v>
      </c>
      <c r="C468" s="34" t="str">
        <f>Database!F481</f>
        <v>SYR248158Z</v>
      </c>
      <c r="D468" s="34">
        <f>Database!K481</f>
        <v>513.6</v>
      </c>
      <c r="E468" s="34" t="str">
        <f>Database!P481</f>
        <v>7.4 mg</v>
      </c>
      <c r="F468" s="34" t="str">
        <f>Database!Q481</f>
        <v>DMSO</v>
      </c>
      <c r="G468" s="462">
        <f>Database!R481</f>
        <v>0</v>
      </c>
      <c r="H468" s="35">
        <f>Database!N481</f>
        <v>42555</v>
      </c>
    </row>
    <row r="469" spans="1:8" ht="30" x14ac:dyDescent="0.25">
      <c r="A469" s="225" t="str">
        <f>Database!A482</f>
        <v>16SAM147</v>
      </c>
      <c r="B469" s="34" t="str">
        <f>Database!E482</f>
        <v>PIERRE FABRE</v>
      </c>
      <c r="C469" s="34" t="str">
        <f>Database!F482</f>
        <v>W0020A1</v>
      </c>
      <c r="D469" s="34">
        <f>Database!K482</f>
        <v>282.81</v>
      </c>
      <c r="E469" s="34" t="str">
        <f>Database!P482</f>
        <v>190 mg</v>
      </c>
      <c r="F469" s="34" t="str">
        <f>Database!Q482</f>
        <v>H2O mQ</v>
      </c>
      <c r="G469" s="462">
        <f>Database!R482</f>
        <v>0</v>
      </c>
      <c r="H469" s="35">
        <f>Database!N482</f>
        <v>42556</v>
      </c>
    </row>
    <row r="470" spans="1:8" ht="30" x14ac:dyDescent="0.25">
      <c r="A470" s="225" t="str">
        <f>Database!A483</f>
        <v>16SAM148</v>
      </c>
      <c r="B470" s="34" t="str">
        <f>Database!E483</f>
        <v>CHDI</v>
      </c>
      <c r="C470" s="34" t="str">
        <f>Database!F483</f>
        <v>CHDI-00488215</v>
      </c>
      <c r="D470" s="34">
        <f>Database!K483</f>
        <v>352.39</v>
      </c>
      <c r="E470" s="34" t="str">
        <f>Database!P483</f>
        <v>10 mg</v>
      </c>
      <c r="F470" s="34" t="str">
        <f>Database!Q483</f>
        <v>DMSO</v>
      </c>
      <c r="G470" s="462">
        <f>Database!R483</f>
        <v>0</v>
      </c>
      <c r="H470" s="35">
        <f>Database!N483</f>
        <v>42558</v>
      </c>
    </row>
    <row r="471" spans="1:8" ht="30" x14ac:dyDescent="0.25">
      <c r="A471" s="225" t="str">
        <f>Database!A484</f>
        <v>16SAM149</v>
      </c>
      <c r="B471" s="34" t="str">
        <f>Database!E484</f>
        <v>ATAXION</v>
      </c>
      <c r="C471" s="34" t="str">
        <f>Database!F484</f>
        <v>AN1883</v>
      </c>
      <c r="D471" s="34">
        <f>Database!K484</f>
        <v>378.2</v>
      </c>
      <c r="E471" s="34" t="str">
        <f>Database!P484</f>
        <v>25 mg</v>
      </c>
      <c r="F471" s="34" t="str">
        <f>Database!Q484</f>
        <v>10 mM in DMSO</v>
      </c>
      <c r="G471" s="462">
        <f>Database!R484</f>
        <v>0</v>
      </c>
      <c r="H471" s="35">
        <f>Database!N484</f>
        <v>42586</v>
      </c>
    </row>
    <row r="472" spans="1:8" ht="45" x14ac:dyDescent="0.25">
      <c r="A472" s="225" t="str">
        <f>Database!A485</f>
        <v>16SAM150</v>
      </c>
      <c r="B472" s="34" t="str">
        <f>Database!E485</f>
        <v>ATAXION</v>
      </c>
      <c r="C472" s="34" t="str">
        <f>Database!F485</f>
        <v>AN1381 (Barcode 31000814)</v>
      </c>
      <c r="D472" s="34">
        <f>Database!K485</f>
        <v>324.39</v>
      </c>
      <c r="E472" s="34" t="str">
        <f>Database!P485</f>
        <v>25 mg</v>
      </c>
      <c r="F472" s="34" t="str">
        <f>Database!Q485</f>
        <v>10 mM in DMSO</v>
      </c>
      <c r="G472" s="462">
        <f>Database!R485</f>
        <v>0</v>
      </c>
      <c r="H472" s="35">
        <f>Database!N485</f>
        <v>42586</v>
      </c>
    </row>
    <row r="473" spans="1:8" ht="30" x14ac:dyDescent="0.25">
      <c r="A473" s="225" t="str">
        <f>Database!A486</f>
        <v>16SAM151</v>
      </c>
      <c r="B473" s="34" t="str">
        <f>Database!E486</f>
        <v>SAGE</v>
      </c>
      <c r="C473" s="34" t="str">
        <f>Database!F486</f>
        <v>SGE-02409</v>
      </c>
      <c r="D473" s="34">
        <f>Database!K486</f>
        <v>456.62</v>
      </c>
      <c r="E473" s="34" t="str">
        <f>Database!P486</f>
        <v>30.1 mg</v>
      </c>
      <c r="F473" s="34" t="str">
        <f>Database!Q486</f>
        <v>10 mM in DMSO</v>
      </c>
      <c r="G473" s="462">
        <f>Database!R486</f>
        <v>0</v>
      </c>
      <c r="H473" s="35">
        <f>Database!N486</f>
        <v>42587</v>
      </c>
    </row>
    <row r="474" spans="1:8" ht="45" x14ac:dyDescent="0.25">
      <c r="A474" s="225" t="str">
        <f>Database!A487</f>
        <v>16SAM152</v>
      </c>
      <c r="B474" s="34" t="str">
        <f>Database!E487</f>
        <v>J&amp;J</v>
      </c>
      <c r="C474" s="34" t="str">
        <f>Database!F487</f>
        <v>Amiloride hydrochloride hydrate</v>
      </c>
      <c r="D474" s="34">
        <f>Database!K487</f>
        <v>266.08999999999997</v>
      </c>
      <c r="E474" s="34" t="str">
        <f>Database!P487</f>
        <v>1 g</v>
      </c>
      <c r="F474" s="34" t="str">
        <f>Database!Q487</f>
        <v>50 mg/mL in H2O mQ</v>
      </c>
      <c r="G474" s="462">
        <f>Database!R487</f>
        <v>1</v>
      </c>
      <c r="H474" s="35">
        <f>Database!N487</f>
        <v>42590</v>
      </c>
    </row>
    <row r="475" spans="1:8" ht="30" x14ac:dyDescent="0.25">
      <c r="A475" s="225" t="str">
        <f>Database!A488</f>
        <v>16SAM153</v>
      </c>
      <c r="B475" s="34" t="str">
        <f>Database!E488</f>
        <v>ATAXION</v>
      </c>
      <c r="C475" s="34" t="str">
        <f>Database!G488</f>
        <v>NSSy6355.0001</v>
      </c>
      <c r="D475" s="34">
        <f>Database!K488</f>
        <v>336.39</v>
      </c>
      <c r="E475" s="34" t="str">
        <f>Database!P488</f>
        <v>15.4 mg</v>
      </c>
      <c r="F475" s="34" t="str">
        <f>Database!Q488</f>
        <v>10 mM in DMSO</v>
      </c>
      <c r="G475" s="462">
        <f>Database!R488</f>
        <v>0</v>
      </c>
      <c r="H475" s="35">
        <f>Database!N488</f>
        <v>42590</v>
      </c>
    </row>
    <row r="476" spans="1:8" ht="45" x14ac:dyDescent="0.25">
      <c r="A476" s="225" t="str">
        <f>Database!A489</f>
        <v>16SAM154</v>
      </c>
      <c r="B476" s="34" t="str">
        <f>Database!E489</f>
        <v>Daiichi Sankyo</v>
      </c>
      <c r="C476" s="34" t="str">
        <f>Database!F489</f>
        <v>Pregabalin</v>
      </c>
      <c r="D476" s="34">
        <f>Database!K489</f>
        <v>159.22999999999999</v>
      </c>
      <c r="E476" s="34" t="str">
        <f>Database!P489</f>
        <v>50 mg</v>
      </c>
      <c r="F476" s="34" t="str">
        <f>Database!Q489</f>
        <v>for Daiichi directly in ACSF</v>
      </c>
      <c r="G476" s="462">
        <f>Database!R489</f>
        <v>0</v>
      </c>
      <c r="H476" s="35">
        <f>Database!N489</f>
        <v>42592</v>
      </c>
    </row>
    <row r="477" spans="1:8" ht="45" x14ac:dyDescent="0.25">
      <c r="A477" s="225" t="str">
        <f>Database!A490</f>
        <v>16SAM155</v>
      </c>
      <c r="B477" s="34" t="str">
        <f>Database!E490</f>
        <v>ATAXION</v>
      </c>
      <c r="C477" s="34" t="str">
        <f>Database!F490</f>
        <v>AN3070 (Barcode310000849)</v>
      </c>
      <c r="D477" s="34">
        <f>Database!K490</f>
        <v>354.42</v>
      </c>
      <c r="E477" s="34" t="str">
        <f>Database!P490</f>
        <v>25 mg</v>
      </c>
      <c r="F477" s="34" t="str">
        <f>Database!Q490</f>
        <v>DMSO</v>
      </c>
      <c r="G477" s="462">
        <f>Database!R490</f>
        <v>0</v>
      </c>
      <c r="H477" s="35">
        <f>Database!N490</f>
        <v>816</v>
      </c>
    </row>
    <row r="478" spans="1:8" ht="30" x14ac:dyDescent="0.25">
      <c r="A478" s="225" t="str">
        <f>Database!A491</f>
        <v>16SAM156</v>
      </c>
      <c r="B478" s="34" t="str">
        <f>Database!E491</f>
        <v>J&amp;J</v>
      </c>
      <c r="C478" s="34" t="str">
        <f>Database!F491</f>
        <v>JNJ-1</v>
      </c>
      <c r="D478" s="34">
        <f>Database!K491</f>
        <v>342.8</v>
      </c>
      <c r="E478" s="34" t="str">
        <f>Database!P491</f>
        <v>8.3 mg</v>
      </c>
      <c r="F478" s="34" t="str">
        <f>Database!Q491</f>
        <v>30 mM in DMSO</v>
      </c>
      <c r="G478" s="462">
        <f>Database!R491</f>
        <v>1</v>
      </c>
      <c r="H478" s="35">
        <f>Database!N491</f>
        <v>42601</v>
      </c>
    </row>
    <row r="479" spans="1:8" ht="30" x14ac:dyDescent="0.25">
      <c r="A479" s="225" t="str">
        <f>Database!A492</f>
        <v>16SAM157</v>
      </c>
      <c r="B479" s="34" t="str">
        <f>Database!E492</f>
        <v>ATAXION</v>
      </c>
      <c r="C479" s="34" t="str">
        <f>Database!F492</f>
        <v>AN1883</v>
      </c>
      <c r="D479" s="34">
        <f>Database!K492</f>
        <v>378.42</v>
      </c>
      <c r="E479" s="34" t="str">
        <f>Database!P492</f>
        <v>20.1 mg</v>
      </c>
      <c r="F479" s="34" t="str">
        <f>Database!Q492</f>
        <v>10 mM in DMSO</v>
      </c>
      <c r="G479" s="462">
        <f>Database!R492</f>
        <v>0</v>
      </c>
      <c r="H479" s="35">
        <f>Database!N492</f>
        <v>42608</v>
      </c>
    </row>
    <row r="480" spans="1:8" ht="30" x14ac:dyDescent="0.25">
      <c r="A480" s="225" t="str">
        <f>Database!A493</f>
        <v>16SAM158</v>
      </c>
      <c r="B480" s="34" t="str">
        <f>Database!E493</f>
        <v>ATAXION</v>
      </c>
      <c r="C480" s="34" t="str">
        <f>Database!F493</f>
        <v>AN1381</v>
      </c>
      <c r="D480" s="34">
        <f>Database!K493</f>
        <v>324.39</v>
      </c>
      <c r="E480" s="34" t="str">
        <f>Database!P493</f>
        <v>20 mg</v>
      </c>
      <c r="F480" s="34" t="str">
        <f>Database!Q493</f>
        <v>10 mM in DMSO</v>
      </c>
      <c r="G480" s="462">
        <f>Database!R493</f>
        <v>0</v>
      </c>
      <c r="H480" s="35">
        <f>Database!N493</f>
        <v>42608</v>
      </c>
    </row>
    <row r="481" spans="1:8" ht="30" x14ac:dyDescent="0.25">
      <c r="A481" s="225" t="str">
        <f>Database!A494</f>
        <v>16REF159</v>
      </c>
      <c r="B481" s="34" t="str">
        <f>Database!E494</f>
        <v>NEUROSERVICE</v>
      </c>
      <c r="C481" s="34" t="str">
        <f>Database!F494</f>
        <v>Tetrodotoxin (TTX)</v>
      </c>
      <c r="D481" s="34">
        <f>Database!K494</f>
        <v>319.27999999999997</v>
      </c>
      <c r="E481" s="34" t="str">
        <f>Database!P494</f>
        <v>5 X 1mg</v>
      </c>
      <c r="F481" s="34" t="str">
        <f>Database!Q494</f>
        <v>Tampon citatre</v>
      </c>
      <c r="G481" s="462">
        <f>Database!R494</f>
        <v>0.99</v>
      </c>
      <c r="H481" s="35">
        <f>Database!N494</f>
        <v>42614</v>
      </c>
    </row>
    <row r="482" spans="1:8" ht="60" x14ac:dyDescent="0.25">
      <c r="A482" s="225" t="str">
        <f>Database!A495</f>
        <v>16SAM160</v>
      </c>
      <c r="B482" s="34" t="str">
        <f>Database!E495</f>
        <v>TAKEDA</v>
      </c>
      <c r="C482" s="34" t="str">
        <f>Database!F495</f>
        <v>D-Erythro-Sphingosine, N-Hexanoyl</v>
      </c>
      <c r="D482" s="34">
        <f>Database!K495</f>
        <v>397.63</v>
      </c>
      <c r="E482" s="34" t="str">
        <f>Database!P495</f>
        <v>5 mg</v>
      </c>
      <c r="F482" s="34" t="str">
        <f>Database!Q495</f>
        <v>25 mg/mL in DMSO</v>
      </c>
      <c r="G482" s="462">
        <f>Database!R495</f>
        <v>0.99</v>
      </c>
      <c r="H482" s="35">
        <f>Database!N495</f>
        <v>42621</v>
      </c>
    </row>
    <row r="483" spans="1:8" ht="23.25" x14ac:dyDescent="0.25">
      <c r="A483" s="225" t="str">
        <f>Database!A496</f>
        <v>16SAM161</v>
      </c>
      <c r="B483" s="34" t="str">
        <f>Database!E496</f>
        <v>TAKEDA</v>
      </c>
      <c r="C483" s="34" t="str">
        <f>Database!F496</f>
        <v>SYR268770Z</v>
      </c>
      <c r="D483" s="34">
        <f>Database!K496</f>
        <v>421.06</v>
      </c>
      <c r="E483" s="34" t="str">
        <f>Database!P496</f>
        <v>15.13 mg</v>
      </c>
      <c r="F483" s="34" t="str">
        <f>Database!Q496</f>
        <v>DMSO</v>
      </c>
      <c r="G483" s="462">
        <f>Database!R496</f>
        <v>0</v>
      </c>
      <c r="H483" s="35">
        <f>Database!N496</f>
        <v>42621</v>
      </c>
    </row>
    <row r="484" spans="1:8" ht="30" x14ac:dyDescent="0.25">
      <c r="A484" s="225" t="str">
        <f>Database!A497</f>
        <v>16SAM162</v>
      </c>
      <c r="B484" s="34" t="str">
        <f>Database!E497</f>
        <v>SERVIER</v>
      </c>
      <c r="C484" s="34" t="str">
        <f>Database!F497</f>
        <v>Paclitaxel</v>
      </c>
      <c r="D484" s="34">
        <f>Database!K497</f>
        <v>853.91</v>
      </c>
      <c r="E484" s="34" t="str">
        <f>Database!P497</f>
        <v>25 mg</v>
      </c>
      <c r="F484" s="34" t="str">
        <f>Database!Q497</f>
        <v>50 mg/mL in DMSO</v>
      </c>
      <c r="G484" s="462">
        <f>Database!R497</f>
        <v>1</v>
      </c>
      <c r="H484" s="35">
        <f>Database!N497</f>
        <v>42622</v>
      </c>
    </row>
    <row r="485" spans="1:8" ht="30" x14ac:dyDescent="0.25">
      <c r="A485" s="225" t="str">
        <f>Database!A498</f>
        <v>16SAM163</v>
      </c>
      <c r="B485" s="34" t="str">
        <f>Database!E498</f>
        <v>SERVIER</v>
      </c>
      <c r="C485" s="34" t="str">
        <f>Database!F498</f>
        <v>Paclitaxel</v>
      </c>
      <c r="D485" s="34">
        <f>Database!K498</f>
        <v>853.91</v>
      </c>
      <c r="E485" s="34" t="str">
        <f>Database!P498</f>
        <v>25 mg</v>
      </c>
      <c r="F485" s="34" t="str">
        <f>Database!Q498</f>
        <v>50 mg/mL in DMSO</v>
      </c>
      <c r="G485" s="462">
        <f>Database!R498</f>
        <v>1</v>
      </c>
      <c r="H485" s="35">
        <f>Database!N498</f>
        <v>42622</v>
      </c>
    </row>
    <row r="486" spans="1:8" ht="30" x14ac:dyDescent="0.25">
      <c r="A486" s="225" t="str">
        <f>Database!A499</f>
        <v>16SAM164</v>
      </c>
      <c r="B486" s="34" t="str">
        <f>Database!E499</f>
        <v>SERVIER</v>
      </c>
      <c r="C486" s="34" t="str">
        <f>Database!F499</f>
        <v>Paclitaxel</v>
      </c>
      <c r="D486" s="34">
        <f>Database!K499</f>
        <v>853.91</v>
      </c>
      <c r="E486" s="34" t="str">
        <f>Database!P499</f>
        <v>25 mg</v>
      </c>
      <c r="F486" s="34" t="str">
        <f>Database!Q499</f>
        <v>50 mg/mL in DMSO</v>
      </c>
      <c r="G486" s="462">
        <f>Database!R499</f>
        <v>1</v>
      </c>
      <c r="H486" s="35">
        <f>Database!N499</f>
        <v>42622</v>
      </c>
    </row>
    <row r="487" spans="1:8" ht="30" x14ac:dyDescent="0.25">
      <c r="A487" s="225" t="str">
        <f>Database!A500</f>
        <v>16SAM165</v>
      </c>
      <c r="B487" s="34" t="str">
        <f>Database!E500</f>
        <v>SERVIER</v>
      </c>
      <c r="C487" s="34" t="str">
        <f>Database!F500</f>
        <v>Paclitaxel</v>
      </c>
      <c r="D487" s="34">
        <f>Database!K500</f>
        <v>853.91</v>
      </c>
      <c r="E487" s="34" t="str">
        <f>Database!P500</f>
        <v>25 mg</v>
      </c>
      <c r="F487" s="34" t="str">
        <f>Database!Q500</f>
        <v>50 mg/mL in DMSO</v>
      </c>
      <c r="G487" s="462">
        <f>Database!R500</f>
        <v>1</v>
      </c>
      <c r="H487" s="35">
        <f>Database!N500</f>
        <v>42622</v>
      </c>
    </row>
    <row r="488" spans="1:8" ht="23.25" x14ac:dyDescent="0.25">
      <c r="A488" s="225" t="str">
        <f>Database!A501</f>
        <v>16SAM166</v>
      </c>
      <c r="B488" s="34" t="str">
        <f>Database!E501</f>
        <v>TAKEDA</v>
      </c>
      <c r="C488" s="34" t="str">
        <f>Database!F501</f>
        <v>SYR236756Z</v>
      </c>
      <c r="D488" s="34">
        <f>Database!K501</f>
        <v>322.14</v>
      </c>
      <c r="E488" s="34" t="str">
        <f>Database!P501</f>
        <v>10.26 mg</v>
      </c>
      <c r="F488" s="34" t="str">
        <f>Database!Q501</f>
        <v>DMSO</v>
      </c>
      <c r="G488" s="462">
        <f>Database!R501</f>
        <v>0</v>
      </c>
      <c r="H488" s="35">
        <f>Database!N501</f>
        <v>42626</v>
      </c>
    </row>
    <row r="489" spans="1:8" ht="30" x14ac:dyDescent="0.25">
      <c r="A489" s="225" t="str">
        <f>Database!A502</f>
        <v>16SAM167</v>
      </c>
      <c r="B489" s="34" t="str">
        <f>Database!E502</f>
        <v>ATAXION</v>
      </c>
      <c r="C489" s="34" t="str">
        <f>Database!F502</f>
        <v>AN1551</v>
      </c>
      <c r="D489" s="34">
        <f>Database!K502</f>
        <v>439.48</v>
      </c>
      <c r="E489" s="34" t="str">
        <f>Database!P502</f>
        <v>50 mg</v>
      </c>
      <c r="F489" s="34" t="str">
        <f>Database!Q502</f>
        <v>10 mM in DMSO</v>
      </c>
      <c r="G489" s="462">
        <f>Database!R502</f>
        <v>0</v>
      </c>
      <c r="H489" s="35">
        <f>Database!N502</f>
        <v>42632</v>
      </c>
    </row>
    <row r="490" spans="1:8" ht="60" x14ac:dyDescent="0.25">
      <c r="A490" s="225" t="str">
        <f>Database!A503</f>
        <v>16SAM168</v>
      </c>
      <c r="B490" s="34" t="str">
        <f>Database!E503</f>
        <v>LEAD DISCOVERY</v>
      </c>
      <c r="C490" s="34" t="str">
        <f>Database!F503</f>
        <v>LDC049048:04 ( Spironolactone)</v>
      </c>
      <c r="D490" s="34">
        <f>Database!K503</f>
        <v>416.58</v>
      </c>
      <c r="E490" s="34" t="str">
        <f>Database!P503</f>
        <v>60.88 mg</v>
      </c>
      <c r="F490" s="34" t="str">
        <f>Database!Q503</f>
        <v>DMSO</v>
      </c>
      <c r="G490" s="462">
        <f>Database!R503</f>
        <v>0</v>
      </c>
      <c r="H490" s="35">
        <f>Database!N503</f>
        <v>42634</v>
      </c>
    </row>
    <row r="491" spans="1:8" ht="45" x14ac:dyDescent="0.25">
      <c r="A491" s="225" t="str">
        <f>Database!A504</f>
        <v>16SAM169</v>
      </c>
      <c r="B491" s="34" t="str">
        <f>Database!E504</f>
        <v>LEAD DISCOVERY</v>
      </c>
      <c r="C491" s="34" t="str">
        <f>Database!F504</f>
        <v>LDC200345:03 ( Kinase inhibitor)</v>
      </c>
      <c r="D491" s="34">
        <f>Database!K504</f>
        <v>451.57</v>
      </c>
      <c r="E491" s="34" t="str">
        <f>Database!P504</f>
        <v>64.10 mg</v>
      </c>
      <c r="F491" s="34" t="str">
        <f>Database!Q504</f>
        <v>DMSO</v>
      </c>
      <c r="G491" s="462">
        <f>Database!R504</f>
        <v>0</v>
      </c>
      <c r="H491" s="35">
        <f>Database!N504</f>
        <v>42634</v>
      </c>
    </row>
    <row r="492" spans="1:8" ht="60" x14ac:dyDescent="0.25">
      <c r="A492" s="225" t="str">
        <f>Database!A505</f>
        <v>16SAM170</v>
      </c>
      <c r="B492" s="34" t="str">
        <f>Database!E505</f>
        <v>LEAD DISCOVERY</v>
      </c>
      <c r="C492" s="34" t="str">
        <f>Database!F505</f>
        <v>LDC202062:02 (unknown MOA)</v>
      </c>
      <c r="D492" s="34">
        <f>Database!K505</f>
        <v>293.41000000000003</v>
      </c>
      <c r="E492" s="34" t="str">
        <f>Database!P505</f>
        <v>60.63 mg</v>
      </c>
      <c r="F492" s="34" t="str">
        <f>Database!Q505</f>
        <v>DMSO</v>
      </c>
      <c r="G492" s="462">
        <f>Database!R505</f>
        <v>0</v>
      </c>
      <c r="H492" s="35">
        <f>Database!N505</f>
        <v>42634</v>
      </c>
    </row>
    <row r="493" spans="1:8" ht="30" x14ac:dyDescent="0.25">
      <c r="A493" s="225" t="str">
        <f>Database!A506</f>
        <v>16SAM171</v>
      </c>
      <c r="B493" s="34" t="str">
        <f>Database!E506</f>
        <v>TAKEDA</v>
      </c>
      <c r="C493" s="34" t="str">
        <f>Database!F506</f>
        <v>SYR273841Z</v>
      </c>
      <c r="D493" s="34">
        <f>Database!K506</f>
        <v>338.41</v>
      </c>
      <c r="E493" s="34" t="str">
        <f>Database!P506</f>
        <v>20.11 mg</v>
      </c>
      <c r="F493" s="34" t="str">
        <f>Database!Q506</f>
        <v>DMSO / Water</v>
      </c>
      <c r="G493" s="462">
        <f>Database!R506</f>
        <v>0</v>
      </c>
      <c r="H493" s="35">
        <f>Database!N506</f>
        <v>42639</v>
      </c>
    </row>
    <row r="494" spans="1:8" ht="30" x14ac:dyDescent="0.25">
      <c r="A494" s="225" t="str">
        <f>Database!A507</f>
        <v>16REF172</v>
      </c>
      <c r="B494" s="34" t="str">
        <f>Database!E507</f>
        <v>NEUROSERVICE</v>
      </c>
      <c r="C494" s="34" t="str">
        <f>Database!F507</f>
        <v>Tetrodotoxin (TTX)</v>
      </c>
      <c r="D494" s="34">
        <f>Database!K507</f>
        <v>319.27999999999997</v>
      </c>
      <c r="E494" s="34" t="str">
        <f>Database!P507</f>
        <v>5*1mg</v>
      </c>
      <c r="F494" s="34" t="str">
        <f>Database!Q507</f>
        <v>Tampon citatre</v>
      </c>
      <c r="G494" s="462">
        <f>Database!R507</f>
        <v>0.99</v>
      </c>
      <c r="H494" s="35">
        <f>Database!N507</f>
        <v>42633</v>
      </c>
    </row>
    <row r="495" spans="1:8" ht="30" x14ac:dyDescent="0.25">
      <c r="A495" s="225" t="str">
        <f>Database!A508</f>
        <v>16REF173</v>
      </c>
      <c r="B495" s="34" t="str">
        <f>Database!E508</f>
        <v>NEUROSERVICE</v>
      </c>
      <c r="C495" s="34" t="str">
        <f>Database!F508</f>
        <v>Tetrodotoxin (TTX)</v>
      </c>
      <c r="D495" s="34">
        <f>Database!K508</f>
        <v>319.27999999999997</v>
      </c>
      <c r="E495" s="34" t="str">
        <f>Database!P508</f>
        <v>5*1mg</v>
      </c>
      <c r="F495" s="34" t="str">
        <f>Database!Q508</f>
        <v>Tampon citatre</v>
      </c>
      <c r="G495" s="462">
        <f>Database!R508</f>
        <v>0.99</v>
      </c>
      <c r="H495" s="35">
        <f>Database!N508</f>
        <v>42633</v>
      </c>
    </row>
    <row r="496" spans="1:8" ht="45" x14ac:dyDescent="0.25">
      <c r="A496" s="225" t="str">
        <f>Database!A509</f>
        <v>16SAM174</v>
      </c>
      <c r="B496" s="34" t="str">
        <f>Database!E509</f>
        <v>TAKEDA</v>
      </c>
      <c r="C496" s="34" t="str">
        <f>Database!F509</f>
        <v>Linopirdine dihydrochloride</v>
      </c>
      <c r="D496" s="34">
        <f>Database!K509</f>
        <v>468.89</v>
      </c>
      <c r="E496" s="34" t="str">
        <f>Database!P509</f>
        <v>50 mg</v>
      </c>
      <c r="F496" s="34" t="str">
        <f>Database!Q509</f>
        <v>100 mM in DMSO or H2O mQ</v>
      </c>
      <c r="G496" s="462">
        <f>Database!R509</f>
        <v>1</v>
      </c>
      <c r="H496" s="35">
        <f>Database!N509</f>
        <v>42646</v>
      </c>
    </row>
    <row r="497" spans="1:8" ht="45" x14ac:dyDescent="0.25">
      <c r="A497" s="225" t="str">
        <f>Database!A510</f>
        <v>16SAM175</v>
      </c>
      <c r="B497" s="34" t="str">
        <f>Database!E510</f>
        <v>TAKEDA</v>
      </c>
      <c r="C497" s="34" t="str">
        <f>Database!F510</f>
        <v>L-803,087 trifluoroacetate</v>
      </c>
      <c r="D497" s="34">
        <f>Database!K510</f>
        <v>599.55999999999995</v>
      </c>
      <c r="E497" s="34" t="str">
        <f>Database!P510</f>
        <v>10 mg</v>
      </c>
      <c r="F497" s="34" t="str">
        <f>Database!Q510</f>
        <v>up to 100 mM DMSO</v>
      </c>
      <c r="G497" s="462">
        <f>Database!R510</f>
        <v>0.98299999999999998</v>
      </c>
      <c r="H497" s="35">
        <f>Database!N510</f>
        <v>42646</v>
      </c>
    </row>
    <row r="498" spans="1:8" ht="45" x14ac:dyDescent="0.25">
      <c r="A498" s="225" t="str">
        <f>Database!A511</f>
        <v>16SAM176</v>
      </c>
      <c r="B498" s="34" t="str">
        <f>Database!E511</f>
        <v>TAKEDA</v>
      </c>
      <c r="C498" s="34" t="str">
        <f>Database!F511</f>
        <v>L-803,087 trifluoroacetate</v>
      </c>
      <c r="D498" s="34">
        <f>Database!K511</f>
        <v>599.55999999999995</v>
      </c>
      <c r="E498" s="34" t="str">
        <f>Database!P511</f>
        <v>10 mg</v>
      </c>
      <c r="F498" s="34" t="str">
        <f>Database!Q511</f>
        <v>up to 100 mM DMSO</v>
      </c>
      <c r="G498" s="462">
        <f>Database!R511</f>
        <v>0.98299999999999998</v>
      </c>
      <c r="H498" s="35">
        <f>Database!N511</f>
        <v>42646</v>
      </c>
    </row>
    <row r="499" spans="1:8" ht="45" x14ac:dyDescent="0.25">
      <c r="A499" s="225" t="str">
        <f>Database!A512</f>
        <v>16SAM177</v>
      </c>
      <c r="B499" s="34" t="str">
        <f>Database!E512</f>
        <v>TAKEDA</v>
      </c>
      <c r="C499" s="34" t="str">
        <f>Database!F512</f>
        <v>L-803,087 trifluoroacetate</v>
      </c>
      <c r="D499" s="34">
        <f>Database!K512</f>
        <v>599.55999999999995</v>
      </c>
      <c r="E499" s="34" t="str">
        <f>Database!P512</f>
        <v>10 mg</v>
      </c>
      <c r="F499" s="34" t="str">
        <f>Database!Q512</f>
        <v>up to 100 mM DMSO</v>
      </c>
      <c r="G499" s="462">
        <f>Database!R512</f>
        <v>0.98299999999999998</v>
      </c>
      <c r="H499" s="35">
        <f>Database!N512</f>
        <v>42648</v>
      </c>
    </row>
    <row r="500" spans="1:8" ht="60" x14ac:dyDescent="0.25">
      <c r="A500" s="225" t="str">
        <f>Database!A513</f>
        <v>16REF178</v>
      </c>
      <c r="B500" s="34" t="str">
        <f>Database!E513</f>
        <v>NEUROSERVICE</v>
      </c>
      <c r="C500" s="34" t="str">
        <f>Database!F513</f>
        <v>Poly-D-Lysine Hydrobromide</v>
      </c>
      <c r="D500" s="34">
        <f>Database!K513</f>
        <v>0</v>
      </c>
      <c r="E500" s="34" t="str">
        <f>Database!P513</f>
        <v>5 mg</v>
      </c>
      <c r="F500" s="34">
        <f>Database!Q513</f>
        <v>0</v>
      </c>
      <c r="G500" s="462">
        <f>Database!R513</f>
        <v>0</v>
      </c>
      <c r="H500" s="35">
        <f>Database!N513</f>
        <v>42649</v>
      </c>
    </row>
    <row r="501" spans="1:8" ht="45" x14ac:dyDescent="0.25">
      <c r="A501" s="225" t="str">
        <f>Database!A514</f>
        <v>16REF179</v>
      </c>
      <c r="B501" s="34" t="str">
        <f>Database!E514</f>
        <v>NEUROSERVICE</v>
      </c>
      <c r="C501" s="34" t="str">
        <f>Database!F514</f>
        <v>Cesium Hydroxide Solution</v>
      </c>
      <c r="D501" s="34">
        <f>Database!K514</f>
        <v>149.91</v>
      </c>
      <c r="E501" s="34" t="str">
        <f>Database!P514</f>
        <v>50 mg</v>
      </c>
      <c r="F501" s="34">
        <f>Database!Q514</f>
        <v>0</v>
      </c>
      <c r="G501" s="462">
        <f>Database!R514</f>
        <v>0.999</v>
      </c>
      <c r="H501" s="35">
        <f>Database!N514</f>
        <v>42649</v>
      </c>
    </row>
    <row r="502" spans="1:8" ht="30" x14ac:dyDescent="0.25">
      <c r="A502" s="225" t="str">
        <f>Database!A515</f>
        <v>16SAM180</v>
      </c>
      <c r="B502" s="34" t="str">
        <f>Database!E515</f>
        <v>CHDI</v>
      </c>
      <c r="C502" s="34" t="str">
        <f>Database!F515</f>
        <v>CHDI-00491453</v>
      </c>
      <c r="D502" s="34">
        <f>Database!K515</f>
        <v>446.55099999999999</v>
      </c>
      <c r="E502" s="34" t="str">
        <f>Database!P515</f>
        <v>10 mg</v>
      </c>
      <c r="F502" s="34" t="str">
        <f>Database!Q515</f>
        <v>DMSO</v>
      </c>
      <c r="G502" s="462">
        <f>Database!R515</f>
        <v>0</v>
      </c>
      <c r="H502" s="35">
        <f>Database!N515</f>
        <v>42649</v>
      </c>
    </row>
    <row r="503" spans="1:8" ht="30" x14ac:dyDescent="0.25">
      <c r="A503" s="225" t="str">
        <f>Database!A516</f>
        <v>16SAM181</v>
      </c>
      <c r="B503" s="34" t="str">
        <f>Database!E516</f>
        <v>CHDI</v>
      </c>
      <c r="C503" s="34" t="str">
        <f>Database!F516</f>
        <v>CHDI-00490655</v>
      </c>
      <c r="D503" s="34">
        <f>Database!K516</f>
        <v>477.6</v>
      </c>
      <c r="E503" s="34" t="str">
        <f>Database!P516</f>
        <v>4 mg</v>
      </c>
      <c r="F503" s="34" t="str">
        <f>Database!Q516</f>
        <v>DMSO</v>
      </c>
      <c r="G503" s="462">
        <f>Database!R516</f>
        <v>0</v>
      </c>
      <c r="H503" s="35">
        <f>Database!N516</f>
        <v>42649</v>
      </c>
    </row>
    <row r="504" spans="1:8" ht="45" x14ac:dyDescent="0.25">
      <c r="A504" s="225" t="str">
        <f>Database!A517</f>
        <v>16REF182</v>
      </c>
      <c r="B504" s="34" t="str">
        <f>Database!E517</f>
        <v>NEUROSERVICE</v>
      </c>
      <c r="C504" s="34" t="str">
        <f>Database!F517</f>
        <v>Lidocaine N-ethyl chloride</v>
      </c>
      <c r="D504" s="34">
        <f>Database!K517</f>
        <v>298.85000000000002</v>
      </c>
      <c r="E504" s="34" t="str">
        <f>Database!P517</f>
        <v>1 g</v>
      </c>
      <c r="F504" s="34">
        <f>Database!Q517</f>
        <v>0</v>
      </c>
      <c r="G504" s="462">
        <f>Database!R517</f>
        <v>0</v>
      </c>
      <c r="H504" s="35">
        <f>Database!N517</f>
        <v>42649</v>
      </c>
    </row>
    <row r="505" spans="1:8" ht="30" x14ac:dyDescent="0.25">
      <c r="A505" s="225" t="str">
        <f>Database!A518</f>
        <v>16SAM183</v>
      </c>
      <c r="B505" s="34" t="str">
        <f>Database!E518</f>
        <v>SERVIER</v>
      </c>
      <c r="C505" s="34" t="str">
        <f>Database!F518</f>
        <v>Paclitaxel</v>
      </c>
      <c r="D505" s="34">
        <f>Database!K518</f>
        <v>853.91</v>
      </c>
      <c r="E505" s="34" t="str">
        <f>Database!P518</f>
        <v>25 mg</v>
      </c>
      <c r="F505" s="34" t="str">
        <f>Database!Q518</f>
        <v>50 mg/mL in DMSO</v>
      </c>
      <c r="G505" s="462">
        <f>Database!R518</f>
        <v>1</v>
      </c>
      <c r="H505" s="35">
        <f>Database!N518</f>
        <v>42649</v>
      </c>
    </row>
    <row r="506" spans="1:8" ht="30" x14ac:dyDescent="0.25">
      <c r="A506" s="225" t="str">
        <f>Database!A519</f>
        <v>16REF184</v>
      </c>
      <c r="B506" s="34" t="str">
        <f>Database!E519</f>
        <v>NEUROSERVICE</v>
      </c>
      <c r="C506" s="34" t="str">
        <f>Database!F519</f>
        <v>Bicuculline methiodide</v>
      </c>
      <c r="D506" s="34">
        <f>Database!K519</f>
        <v>527.30999999999995</v>
      </c>
      <c r="E506" s="34" t="str">
        <f>Database!P519</f>
        <v>50 mg</v>
      </c>
      <c r="F506" s="34" t="str">
        <f>Database!Q519</f>
        <v>25 mM in H2O</v>
      </c>
      <c r="G506" s="462">
        <f>Database!R519</f>
        <v>0</v>
      </c>
      <c r="H506" s="35">
        <f>Database!N519</f>
        <v>42653</v>
      </c>
    </row>
    <row r="507" spans="1:8" ht="45" x14ac:dyDescent="0.25">
      <c r="A507" s="225" t="str">
        <f>Database!A520</f>
        <v>16REF185</v>
      </c>
      <c r="B507" s="34" t="str">
        <f>Database!E520</f>
        <v>NEUROSERVICE</v>
      </c>
      <c r="C507" s="34" t="str">
        <f>Database!F520</f>
        <v>CNQX disodium salt</v>
      </c>
      <c r="D507" s="34">
        <f>Database!K520</f>
        <v>307.64999999999998</v>
      </c>
      <c r="E507" s="34" t="str">
        <f>Database!P520</f>
        <v>50 mg</v>
      </c>
      <c r="F507" s="34" t="str">
        <f>Database!Q520</f>
        <v>25 mM in H2O</v>
      </c>
      <c r="G507" s="462">
        <f>Database!R520</f>
        <v>0</v>
      </c>
      <c r="H507" s="35">
        <f>Database!N520</f>
        <v>42653</v>
      </c>
    </row>
    <row r="508" spans="1:8" ht="30" x14ac:dyDescent="0.25">
      <c r="A508" s="225" t="str">
        <f>Database!A521</f>
        <v>16REF186</v>
      </c>
      <c r="B508" s="34" t="str">
        <f>Database!E521</f>
        <v>NEUROSERVICE</v>
      </c>
      <c r="C508" s="34" t="str">
        <f>Database!F521</f>
        <v>Pregabalin</v>
      </c>
      <c r="D508" s="34">
        <f>Database!K521</f>
        <v>159.22999999999999</v>
      </c>
      <c r="E508" s="34" t="str">
        <f>Database!P521</f>
        <v>10 mg</v>
      </c>
      <c r="F508" s="34">
        <f>Database!Q521</f>
        <v>0</v>
      </c>
      <c r="G508" s="462">
        <f>Database!R521</f>
        <v>0</v>
      </c>
      <c r="H508" s="35">
        <f>Database!N521</f>
        <v>42655</v>
      </c>
    </row>
    <row r="509" spans="1:8" ht="45" x14ac:dyDescent="0.25">
      <c r="A509" s="225" t="str">
        <f>Database!A522</f>
        <v>16SAM187</v>
      </c>
      <c r="B509" s="34" t="str">
        <f>Database!E522</f>
        <v>SERVIER</v>
      </c>
      <c r="C509" s="34" t="str">
        <f>Database!F522</f>
        <v>GDN357</v>
      </c>
      <c r="D509" s="34">
        <f>Database!K522</f>
        <v>528.55600000000004</v>
      </c>
      <c r="E509" s="34" t="str">
        <f>Database!P522</f>
        <v>~10 mg</v>
      </c>
      <c r="F509" s="34" t="str">
        <f>Database!Q522</f>
        <v xml:space="preserve">10 mM in 95% DMSO 5% water </v>
      </c>
      <c r="G509" s="462">
        <f>Database!R522</f>
        <v>0</v>
      </c>
      <c r="H509" s="35">
        <f>Database!N522</f>
        <v>42657</v>
      </c>
    </row>
    <row r="510" spans="1:8" ht="30" x14ac:dyDescent="0.25">
      <c r="A510" s="225" t="str">
        <f>Database!A523</f>
        <v>16REF188</v>
      </c>
      <c r="B510" s="34" t="str">
        <f>Database!E523</f>
        <v>NEUROSERVICE</v>
      </c>
      <c r="C510" s="34" t="str">
        <f>Database!F523</f>
        <v>4-AP</v>
      </c>
      <c r="D510" s="34">
        <f>Database!K523</f>
        <v>94.11</v>
      </c>
      <c r="E510" s="34" t="str">
        <f>Database!P523</f>
        <v>1 g</v>
      </c>
      <c r="F510" s="34" t="str">
        <f>Database!Q523</f>
        <v>H2O mQ</v>
      </c>
      <c r="G510" s="462">
        <f>Database!R523</f>
        <v>0</v>
      </c>
      <c r="H510" s="35">
        <f>Database!N523</f>
        <v>42664</v>
      </c>
    </row>
    <row r="511" spans="1:8" ht="30" x14ac:dyDescent="0.25">
      <c r="A511" s="225" t="str">
        <f>Database!A524</f>
        <v>16SAM189</v>
      </c>
      <c r="B511" s="34" t="str">
        <f>Database!E524</f>
        <v>SERVIER</v>
      </c>
      <c r="C511" s="34" t="str">
        <f>Database!F524</f>
        <v>Paclitaxel</v>
      </c>
      <c r="D511" s="34">
        <f>Database!K524</f>
        <v>853.91</v>
      </c>
      <c r="E511" s="34" t="str">
        <f>Database!P524</f>
        <v>25 mg</v>
      </c>
      <c r="F511" s="34" t="str">
        <f>Database!Q524</f>
        <v>50 mg/mL in DMSO</v>
      </c>
      <c r="G511" s="462">
        <f>Database!R524</f>
        <v>0</v>
      </c>
      <c r="H511" s="35">
        <f>Database!N524</f>
        <v>42669</v>
      </c>
    </row>
    <row r="512" spans="1:8" ht="30" x14ac:dyDescent="0.25">
      <c r="A512" s="225" t="str">
        <f>Database!A525</f>
        <v>16SAM190</v>
      </c>
      <c r="B512" s="34" t="str">
        <f>Database!E525</f>
        <v>SERVIER</v>
      </c>
      <c r="C512" s="34" t="str">
        <f>Database!F525</f>
        <v>Paclitaxel</v>
      </c>
      <c r="D512" s="34">
        <f>Database!K525</f>
        <v>853.91</v>
      </c>
      <c r="E512" s="34" t="str">
        <f>Database!P525</f>
        <v>25 mg</v>
      </c>
      <c r="F512" s="34" t="str">
        <f>Database!Q525</f>
        <v>50 mg/mL in DMSO</v>
      </c>
      <c r="G512" s="462">
        <f>Database!R525</f>
        <v>0</v>
      </c>
      <c r="H512" s="35">
        <f>Database!N525</f>
        <v>42669</v>
      </c>
    </row>
    <row r="513" spans="1:8" ht="30" x14ac:dyDescent="0.25">
      <c r="A513" s="225" t="str">
        <f>Database!A526</f>
        <v>16SAM191</v>
      </c>
      <c r="B513" s="34" t="str">
        <f>Database!E526</f>
        <v>SERVIER</v>
      </c>
      <c r="C513" s="34" t="str">
        <f>Database!F526</f>
        <v>Paclitaxel</v>
      </c>
      <c r="D513" s="34">
        <f>Database!K526</f>
        <v>853.91</v>
      </c>
      <c r="E513" s="34" t="str">
        <f>Database!P526</f>
        <v>25 mg</v>
      </c>
      <c r="F513" s="34" t="str">
        <f>Database!Q526</f>
        <v>50 mg/mL in DMSO</v>
      </c>
      <c r="G513" s="462">
        <f>Database!R526</f>
        <v>0</v>
      </c>
      <c r="H513" s="35">
        <f>Database!N526</f>
        <v>42669</v>
      </c>
    </row>
    <row r="514" spans="1:8" ht="30" x14ac:dyDescent="0.25">
      <c r="A514" s="225" t="str">
        <f>Database!A527</f>
        <v>16SAM192</v>
      </c>
      <c r="B514" s="34" t="str">
        <f>Database!E527</f>
        <v>SERVIER</v>
      </c>
      <c r="C514" s="34" t="str">
        <f>Database!F527</f>
        <v>Paclitaxel</v>
      </c>
      <c r="D514" s="34">
        <f>Database!K527</f>
        <v>853.91</v>
      </c>
      <c r="E514" s="34" t="str">
        <f>Database!P527</f>
        <v>25 mg</v>
      </c>
      <c r="F514" s="34" t="str">
        <f>Database!Q527</f>
        <v>50 mg/mL in DMSO</v>
      </c>
      <c r="G514" s="462">
        <f>Database!R527</f>
        <v>0</v>
      </c>
      <c r="H514" s="35">
        <f>Database!N527</f>
        <v>42669</v>
      </c>
    </row>
    <row r="515" spans="1:8" ht="30" x14ac:dyDescent="0.25">
      <c r="A515" s="225" t="str">
        <f>Database!A528</f>
        <v>16SAM193</v>
      </c>
      <c r="B515" s="34" t="str">
        <f>Database!E528</f>
        <v>SERVIER</v>
      </c>
      <c r="C515" s="34" t="str">
        <f>Database!F528</f>
        <v>Paclitaxel</v>
      </c>
      <c r="D515" s="34">
        <f>Database!K528</f>
        <v>853.91</v>
      </c>
      <c r="E515" s="34" t="str">
        <f>Database!P528</f>
        <v>25 mg</v>
      </c>
      <c r="F515" s="34" t="str">
        <f>Database!Q528</f>
        <v>50 mg/mL in DMSO</v>
      </c>
      <c r="G515" s="462">
        <f>Database!R528</f>
        <v>0</v>
      </c>
      <c r="H515" s="35">
        <f>Database!N528</f>
        <v>42669</v>
      </c>
    </row>
    <row r="516" spans="1:8" ht="30" x14ac:dyDescent="0.25">
      <c r="A516" s="225" t="str">
        <f>Database!A529</f>
        <v>16SAM194</v>
      </c>
      <c r="B516" s="34" t="str">
        <f>Database!E529</f>
        <v>SERVIER</v>
      </c>
      <c r="C516" s="34" t="str">
        <f>Database!F529</f>
        <v>Paclitaxel</v>
      </c>
      <c r="D516" s="34">
        <f>Database!K529</f>
        <v>853.91</v>
      </c>
      <c r="E516" s="34" t="str">
        <f>Database!P529</f>
        <v>25 mg</v>
      </c>
      <c r="F516" s="34" t="str">
        <f>Database!Q529</f>
        <v>50 mg/mL in DMSO</v>
      </c>
      <c r="G516" s="462">
        <f>Database!R529</f>
        <v>0</v>
      </c>
      <c r="H516" s="35">
        <f>Database!N529</f>
        <v>42669</v>
      </c>
    </row>
    <row r="517" spans="1:8" ht="30" x14ac:dyDescent="0.25">
      <c r="A517" s="225" t="str">
        <f>Database!A530</f>
        <v>16SAM195</v>
      </c>
      <c r="B517" s="34" t="str">
        <f>Database!E530</f>
        <v>SERVIER</v>
      </c>
      <c r="C517" s="34" t="str">
        <f>Database!F530</f>
        <v>Paclitaxel</v>
      </c>
      <c r="D517" s="34">
        <f>Database!K530</f>
        <v>853.91</v>
      </c>
      <c r="E517" s="34" t="str">
        <f>Database!P530</f>
        <v>25 mg</v>
      </c>
      <c r="F517" s="34" t="str">
        <f>Database!Q530</f>
        <v>50 mg/mL in DMSO</v>
      </c>
      <c r="G517" s="462">
        <f>Database!R530</f>
        <v>0</v>
      </c>
      <c r="H517" s="35">
        <f>Database!N530</f>
        <v>42669</v>
      </c>
    </row>
    <row r="518" spans="1:8" ht="30" x14ac:dyDescent="0.25">
      <c r="A518" s="225" t="str">
        <f>Database!A531</f>
        <v>16SAM196</v>
      </c>
      <c r="B518" s="34" t="str">
        <f>Database!E531</f>
        <v>SAGE</v>
      </c>
      <c r="C518" s="34" t="str">
        <f>Database!F531</f>
        <v>SGE-00116-04-A</v>
      </c>
      <c r="D518" s="34">
        <f>Database!K531</f>
        <v>402.65</v>
      </c>
      <c r="E518" s="34" t="str">
        <f>Database!P531</f>
        <v>15.1 mg</v>
      </c>
      <c r="F518" s="34" t="str">
        <f>Database!Q531</f>
        <v>10 mM in DMSO</v>
      </c>
      <c r="G518" s="462">
        <f>Database!R531</f>
        <v>0</v>
      </c>
      <c r="H518" s="35">
        <f>Database!N531</f>
        <v>42670</v>
      </c>
    </row>
    <row r="519" spans="1:8" ht="23.25" x14ac:dyDescent="0.25">
      <c r="A519" s="225" t="str">
        <f>Database!A532</f>
        <v>16SAM197</v>
      </c>
      <c r="B519" s="34" t="str">
        <f>Database!E532</f>
        <v>QUARTET</v>
      </c>
      <c r="C519" s="34" t="str">
        <f>Database!F532</f>
        <v>BH4</v>
      </c>
      <c r="D519" s="34" t="str">
        <f>Database!K532</f>
        <v> 314.17</v>
      </c>
      <c r="E519" s="34" t="str">
        <f>Database!P532</f>
        <v>5 mg</v>
      </c>
      <c r="F519" s="34">
        <f>Database!G542</f>
        <v>0</v>
      </c>
      <c r="G519" s="462" t="str">
        <f>Database!R533</f>
        <v>&gt;95%</v>
      </c>
      <c r="H519" s="35">
        <f>Database!N532</f>
        <v>42671</v>
      </c>
    </row>
    <row r="520" spans="1:8" ht="45" x14ac:dyDescent="0.25">
      <c r="A520" s="225" t="str">
        <f>Database!A533</f>
        <v>16SAM198</v>
      </c>
      <c r="B520" s="34" t="str">
        <f>Database!E533</f>
        <v>QUARTET</v>
      </c>
      <c r="C520" s="34" t="str">
        <f>Database!F533</f>
        <v>NGF</v>
      </c>
      <c r="D520" s="34">
        <f>Database!K533</f>
        <v>0</v>
      </c>
      <c r="E520" s="34" t="str">
        <f>Database!P533</f>
        <v>100 µg</v>
      </c>
      <c r="F520" s="34" t="str">
        <f>Database!Q533</f>
        <v>100 µg/ml in sterile 1-2% BSA</v>
      </c>
      <c r="G520" s="462" t="e">
        <f>Database!#REF!</f>
        <v>#REF!</v>
      </c>
      <c r="H520" s="35">
        <f>Database!N533</f>
        <v>42671</v>
      </c>
    </row>
    <row r="521" spans="1:8" ht="45" x14ac:dyDescent="0.25">
      <c r="A521" s="225" t="str">
        <f>Database!A534</f>
        <v>16REF199</v>
      </c>
      <c r="B521" s="34" t="str">
        <f>Database!E534</f>
        <v>NEUROSERVICE</v>
      </c>
      <c r="C521" s="34" t="str">
        <f>Database!F534</f>
        <v>B27 supplement</v>
      </c>
      <c r="D521" s="34" t="str">
        <f>Database!K534</f>
        <v>[50X]</v>
      </c>
      <c r="E521" s="34" t="str">
        <f>Database!P534</f>
        <v>10 mL</v>
      </c>
      <c r="F521" s="34">
        <f>Database!Q534</f>
        <v>0</v>
      </c>
      <c r="G521" s="462">
        <f>Database!R534</f>
        <v>0</v>
      </c>
      <c r="H521" s="35">
        <f>Database!N534</f>
        <v>42671</v>
      </c>
    </row>
    <row r="522" spans="1:8" ht="30" x14ac:dyDescent="0.25">
      <c r="A522" s="225" t="str">
        <f>Database!A535</f>
        <v>16SAM200</v>
      </c>
      <c r="B522" s="34" t="str">
        <f>Database!E535</f>
        <v>IRONWOOD</v>
      </c>
      <c r="C522" s="34" t="str">
        <f>Database!F535</f>
        <v>MM:500701</v>
      </c>
      <c r="D522" s="34">
        <f>Database!K535</f>
        <v>362.28</v>
      </c>
      <c r="E522" s="34" t="str">
        <f>Database!P535</f>
        <v>5.6 mg</v>
      </c>
      <c r="F522" s="34" t="str">
        <f>Database!Q535</f>
        <v>DMSO</v>
      </c>
      <c r="G522" s="462">
        <f>Database!R535</f>
        <v>0</v>
      </c>
      <c r="H522" s="35">
        <f>Database!N535</f>
        <v>42671</v>
      </c>
    </row>
    <row r="523" spans="1:8" ht="23.25" x14ac:dyDescent="0.25">
      <c r="A523" s="225" t="str">
        <f>Database!A536</f>
        <v>16SAM201</v>
      </c>
      <c r="B523" s="34" t="str">
        <f>Database!E536</f>
        <v>TAKEDA</v>
      </c>
      <c r="C523" s="34" t="str">
        <f>Database!F536</f>
        <v>SYR231370Z</v>
      </c>
      <c r="D523" s="34">
        <f>Database!K536</f>
        <v>322.14</v>
      </c>
      <c r="E523" s="34" t="str">
        <f>Database!P536</f>
        <v>25.72 mg</v>
      </c>
      <c r="F523" s="34" t="str">
        <f>Database!Q536</f>
        <v>DMSO</v>
      </c>
      <c r="G523" s="462">
        <f>Database!R536</f>
        <v>0</v>
      </c>
      <c r="H523" s="35">
        <f>Database!N536</f>
        <v>42671</v>
      </c>
    </row>
    <row r="524" spans="1:8" ht="23.25" x14ac:dyDescent="0.25">
      <c r="A524" s="225" t="str">
        <f>Database!A537</f>
        <v>16SAM202</v>
      </c>
      <c r="B524" s="34" t="str">
        <f>Database!E537</f>
        <v>TAKEDA</v>
      </c>
      <c r="C524" s="34" t="str">
        <f>Database!F537</f>
        <v>SYR263770Z</v>
      </c>
      <c r="D524" s="34">
        <f>Database!K537</f>
        <v>421.06</v>
      </c>
      <c r="E524" s="34" t="str">
        <f>Database!P537</f>
        <v>25.57 mg</v>
      </c>
      <c r="F524" s="34" t="str">
        <f>Database!Q537</f>
        <v>DMSO</v>
      </c>
      <c r="G524" s="462">
        <f>Database!R537</f>
        <v>0</v>
      </c>
      <c r="H524" s="35">
        <f>Database!N537</f>
        <v>42671</v>
      </c>
    </row>
    <row r="525" spans="1:8" ht="120" x14ac:dyDescent="0.25">
      <c r="A525" s="225" t="str">
        <f>Database!A538</f>
        <v>16SAM203</v>
      </c>
      <c r="B525" s="34" t="str">
        <f>Database!E538</f>
        <v>QUARTET</v>
      </c>
      <c r="C525" s="34" t="str">
        <f>Database!F538</f>
        <v>Sepiapterin</v>
      </c>
      <c r="D525" s="34">
        <f>Database!K538</f>
        <v>237.22</v>
      </c>
      <c r="E525" s="34" t="str">
        <f>Database!P538</f>
        <v>5 mg</v>
      </c>
      <c r="F525" s="34" t="str">
        <f>Database!Q538</f>
        <v>DMSO to 27 mg/mL, 0.1M NaOH to 9.8 mg/mL or H2O mQ (hot) to 1 mg/mL</v>
      </c>
      <c r="G525" s="462">
        <f>Database!R538</f>
        <v>0.98899999999999999</v>
      </c>
      <c r="H525" s="35">
        <f>Database!N538</f>
        <v>42674</v>
      </c>
    </row>
    <row r="526" spans="1:8" ht="45" x14ac:dyDescent="0.25">
      <c r="A526" s="225" t="str">
        <f>Database!A539</f>
        <v>16REF204</v>
      </c>
      <c r="B526" s="34" t="str">
        <f>Database!E539</f>
        <v>NEUROSERVICE</v>
      </c>
      <c r="C526" s="34" t="str">
        <f>Database!F539</f>
        <v>NGF</v>
      </c>
      <c r="D526" s="34">
        <f>Database!K539</f>
        <v>0</v>
      </c>
      <c r="E526" s="34" t="str">
        <f>Database!P539</f>
        <v>100 µg</v>
      </c>
      <c r="F526" s="34" t="str">
        <f>Database!Q539</f>
        <v>100 µg/ml in sterile 1-2% BSA</v>
      </c>
      <c r="G526" s="462">
        <f>Database!R539</f>
        <v>0</v>
      </c>
      <c r="H526" s="35">
        <f>Database!N539</f>
        <v>42676</v>
      </c>
    </row>
    <row r="527" spans="1:8" ht="45" x14ac:dyDescent="0.25">
      <c r="A527" s="225" t="str">
        <f>Database!A540</f>
        <v>16REF205</v>
      </c>
      <c r="B527" s="34" t="str">
        <f>Database!E540</f>
        <v>NEUROSERVICE</v>
      </c>
      <c r="C527" s="34" t="str">
        <f>Database!F540</f>
        <v>B27 supplement</v>
      </c>
      <c r="D527" s="34" t="str">
        <f>Database!K540</f>
        <v>[50X]</v>
      </c>
      <c r="E527" s="34" t="str">
        <f>Database!P540</f>
        <v>10 mL</v>
      </c>
      <c r="F527" s="34">
        <f>Database!Q540</f>
        <v>0</v>
      </c>
      <c r="G527" s="462">
        <f>Database!R540</f>
        <v>0</v>
      </c>
      <c r="H527" s="35">
        <f>Database!N540</f>
        <v>42676</v>
      </c>
    </row>
    <row r="528" spans="1:8" ht="45" x14ac:dyDescent="0.25">
      <c r="A528" s="225" t="str">
        <f>Database!A541</f>
        <v>16REF206</v>
      </c>
      <c r="B528" s="34" t="str">
        <f>Database!E541</f>
        <v>NEUROSERVICE</v>
      </c>
      <c r="C528" s="34" t="str">
        <f>Database!F541</f>
        <v>Potassium D-gluconate</v>
      </c>
      <c r="D528" s="34">
        <f>Database!K541</f>
        <v>234.25</v>
      </c>
      <c r="E528" s="34" t="str">
        <f>Database!P541</f>
        <v>100 g</v>
      </c>
      <c r="F528" s="34" t="str">
        <f>Database!Q541</f>
        <v>50mg/mL in H2O mQ</v>
      </c>
      <c r="G528" s="462">
        <f>Database!R541</f>
        <v>1</v>
      </c>
      <c r="H528" s="35">
        <f>Database!N541</f>
        <v>42678</v>
      </c>
    </row>
    <row r="529" spans="1:8" ht="60" x14ac:dyDescent="0.25">
      <c r="A529" s="225" t="str">
        <f>Database!A542</f>
        <v>16REF207</v>
      </c>
      <c r="B529" s="34" t="str">
        <f>Database!E542</f>
        <v>NEUROSERVICE</v>
      </c>
      <c r="C529" s="34" t="str">
        <f>Database!F542</f>
        <v>Magnesium chloride hexahydrate</v>
      </c>
      <c r="D529" s="34">
        <f>Database!K542</f>
        <v>203.3</v>
      </c>
      <c r="E529" s="34" t="str">
        <f>Database!P542</f>
        <v>100 g</v>
      </c>
      <c r="F529" s="34" t="str">
        <f>Database!Q542</f>
        <v>1M in H2O mQ</v>
      </c>
      <c r="G529" s="462">
        <f>Database!R542</f>
        <v>0</v>
      </c>
      <c r="H529" s="35">
        <f>Database!N542</f>
        <v>42678</v>
      </c>
    </row>
    <row r="530" spans="1:8" ht="30" x14ac:dyDescent="0.25">
      <c r="A530" s="225" t="str">
        <f>Database!A543</f>
        <v>16REF208</v>
      </c>
      <c r="B530" s="34" t="str">
        <f>Database!E543</f>
        <v>NEUROSERVICE</v>
      </c>
      <c r="C530" s="34" t="str">
        <f>Database!F543</f>
        <v>HEPES</v>
      </c>
      <c r="D530" s="34">
        <f>Database!K543</f>
        <v>238.3</v>
      </c>
      <c r="E530" s="34" t="str">
        <f>Database!P543</f>
        <v>25 g</v>
      </c>
      <c r="F530" s="34">
        <f>Database!Q543</f>
        <v>0</v>
      </c>
      <c r="G530" s="462">
        <f>Database!R543</f>
        <v>0</v>
      </c>
      <c r="H530" s="35">
        <f>Database!N543</f>
        <v>42678</v>
      </c>
    </row>
    <row r="531" spans="1:8" ht="60" x14ac:dyDescent="0.25">
      <c r="A531" s="225" t="str">
        <f>Database!A544</f>
        <v>16REF209</v>
      </c>
      <c r="B531" s="34" t="str">
        <f>Database!E544</f>
        <v>NEUROSERVICE</v>
      </c>
      <c r="C531" s="34" t="str">
        <f>Database!F544</f>
        <v>Ethylene Glycol-bis(2-aminoethylether)</v>
      </c>
      <c r="D531" s="34">
        <f>Database!K544</f>
        <v>380.35</v>
      </c>
      <c r="E531" s="34" t="str">
        <f>Database!P544</f>
        <v>10 g</v>
      </c>
      <c r="F531" s="34">
        <f>Database!Q544</f>
        <v>0</v>
      </c>
      <c r="G531" s="462">
        <f>Database!R544</f>
        <v>0</v>
      </c>
      <c r="H531" s="35">
        <f>Database!N544</f>
        <v>42678</v>
      </c>
    </row>
    <row r="532" spans="1:8" ht="60" x14ac:dyDescent="0.25">
      <c r="A532" s="225" t="str">
        <f>Database!A545</f>
        <v>16REF210</v>
      </c>
      <c r="B532" s="34" t="str">
        <f>Database!E545</f>
        <v>NEUROSERVICE</v>
      </c>
      <c r="C532" s="34" t="str">
        <f>Database!F545</f>
        <v>Phosphocreatine disodium salt hydrate</v>
      </c>
      <c r="D532" s="34">
        <f>Database!K545</f>
        <v>255.08</v>
      </c>
      <c r="E532" s="34" t="str">
        <f>Database!P545</f>
        <v>1 g</v>
      </c>
      <c r="F532" s="34">
        <f>Database!Q545</f>
        <v>0</v>
      </c>
      <c r="G532" s="462">
        <f>Database!R545</f>
        <v>0</v>
      </c>
      <c r="H532" s="35">
        <f>Database!N545</f>
        <v>42678</v>
      </c>
    </row>
    <row r="533" spans="1:8" ht="75" x14ac:dyDescent="0.25">
      <c r="A533" s="225" t="str">
        <f>Database!A546</f>
        <v>16REF211</v>
      </c>
      <c r="B533" s="34" t="str">
        <f>Database!E546</f>
        <v>NEUROSERVICE</v>
      </c>
      <c r="C533" s="34" t="str">
        <f>Database!F546</f>
        <v>Adenosine5'-triphosphate disodium salt hydrate</v>
      </c>
      <c r="D533" s="34">
        <f>Database!K546</f>
        <v>551.14</v>
      </c>
      <c r="E533" s="34" t="str">
        <f>Database!P546</f>
        <v>1g</v>
      </c>
      <c r="F533" s="34">
        <f>Database!Q546</f>
        <v>0</v>
      </c>
      <c r="G533" s="462">
        <f>Database!R546</f>
        <v>0</v>
      </c>
      <c r="H533" s="35">
        <f>Database!N546</f>
        <v>42678</v>
      </c>
    </row>
    <row r="534" spans="1:8" ht="60" x14ac:dyDescent="0.25">
      <c r="A534" s="225" t="str">
        <f>Database!A547</f>
        <v>16REF212</v>
      </c>
      <c r="B534" s="34" t="str">
        <f>Database!E547</f>
        <v>NEUROSERVICE</v>
      </c>
      <c r="C534" s="34" t="str">
        <f>Database!F547</f>
        <v>Guanosine 5'-triphosphate sodium</v>
      </c>
      <c r="D534" s="34" t="str">
        <f>Database!K547</f>
        <v>523..18</v>
      </c>
      <c r="E534" s="34" t="str">
        <f>Database!P547</f>
        <v>250 mg</v>
      </c>
      <c r="F534" s="34">
        <f>Database!Q547</f>
        <v>0</v>
      </c>
      <c r="G534" s="462">
        <f>Database!R547</f>
        <v>0</v>
      </c>
      <c r="H534" s="35">
        <f>Database!N547</f>
        <v>42678</v>
      </c>
    </row>
    <row r="535" spans="1:8" ht="30" x14ac:dyDescent="0.25">
      <c r="A535" s="225" t="str">
        <f>Database!A548</f>
        <v>16REF213</v>
      </c>
      <c r="B535" s="34" t="str">
        <f>Database!E548</f>
        <v>NEUROSERVICE</v>
      </c>
      <c r="C535" s="34" t="str">
        <f>Database!F548</f>
        <v>Potassium chloride</v>
      </c>
      <c r="D535" s="34">
        <f>Database!K548</f>
        <v>74.55</v>
      </c>
      <c r="E535" s="34" t="str">
        <f>Database!P548</f>
        <v>500 g</v>
      </c>
      <c r="F535" s="34">
        <f>Database!Q548</f>
        <v>0</v>
      </c>
      <c r="G535" s="462">
        <f>Database!R548</f>
        <v>0</v>
      </c>
      <c r="H535" s="35">
        <f>Database!N548</f>
        <v>42681</v>
      </c>
    </row>
    <row r="536" spans="1:8" ht="45" x14ac:dyDescent="0.25">
      <c r="A536" s="225" t="str">
        <f>Database!A549</f>
        <v>16SAM214</v>
      </c>
      <c r="B536" s="34" t="str">
        <f>Database!E549</f>
        <v>TAKEDA</v>
      </c>
      <c r="C536" s="34" t="str">
        <f>Database!F549</f>
        <v xml:space="preserve">L-803,087 trifluoroacetate </v>
      </c>
      <c r="D536" s="34">
        <f>Database!K549</f>
        <v>599.55999999999995</v>
      </c>
      <c r="E536" s="34" t="str">
        <f>Database!P549</f>
        <v>10 mg</v>
      </c>
      <c r="F536" s="34" t="str">
        <f>Database!Q549</f>
        <v>up to 100 mM DMSO</v>
      </c>
      <c r="G536" s="462">
        <f>Database!R549</f>
        <v>0</v>
      </c>
      <c r="H536" s="35">
        <f>Database!N549</f>
        <v>42683</v>
      </c>
    </row>
    <row r="537" spans="1:8" ht="30" x14ac:dyDescent="0.25">
      <c r="A537" s="225" t="str">
        <f>Database!A550</f>
        <v>16REF215</v>
      </c>
      <c r="B537" s="34" t="str">
        <f>Database!E550</f>
        <v>NEUROSERVICE</v>
      </c>
      <c r="C537" s="34" t="str">
        <f>Database!F550</f>
        <v>Kynurenic acid</v>
      </c>
      <c r="D537" s="34">
        <f>Database!K550</f>
        <v>189.17</v>
      </c>
      <c r="E537" s="34" t="str">
        <f>Database!P550</f>
        <v>5g</v>
      </c>
      <c r="F537" s="34">
        <f>Database!Q550</f>
        <v>0</v>
      </c>
      <c r="G537" s="462">
        <f>Database!R550</f>
        <v>0</v>
      </c>
      <c r="H537" s="35">
        <f>Database!N550</f>
        <v>42684</v>
      </c>
    </row>
    <row r="538" spans="1:8" ht="30" x14ac:dyDescent="0.25">
      <c r="A538" s="225" t="str">
        <f>Database!A551</f>
        <v>16REF216</v>
      </c>
      <c r="B538" s="34" t="str">
        <f>Database!E551</f>
        <v>NEUROSERVICE</v>
      </c>
      <c r="C538" s="34" t="str">
        <f>Database!F551</f>
        <v>Kynurenic acid</v>
      </c>
      <c r="D538" s="34">
        <f>Database!K551</f>
        <v>189.17</v>
      </c>
      <c r="E538" s="34" t="str">
        <f>Database!P551</f>
        <v>5g</v>
      </c>
      <c r="F538" s="34">
        <f>Database!Q551</f>
        <v>0</v>
      </c>
      <c r="G538" s="462">
        <f>Database!R551</f>
        <v>0</v>
      </c>
      <c r="H538" s="35">
        <f>Database!N551</f>
        <v>42684</v>
      </c>
    </row>
    <row r="539" spans="1:8" ht="60" x14ac:dyDescent="0.25">
      <c r="A539" s="225" t="str">
        <f>Database!A552</f>
        <v>16REF217</v>
      </c>
      <c r="B539" s="34" t="str">
        <f>Database!E552</f>
        <v>NEUROSERVICE</v>
      </c>
      <c r="C539" s="34" t="str">
        <f>Database!F552</f>
        <v>Agarose low gelling temperature</v>
      </c>
      <c r="D539" s="34" t="str">
        <f>Database!K552</f>
        <v>-</v>
      </c>
      <c r="E539" s="34" t="str">
        <f>Database!P552</f>
        <v>25 g</v>
      </c>
      <c r="F539" s="34">
        <f>Database!Q552</f>
        <v>0</v>
      </c>
      <c r="G539" s="462">
        <f>Database!R552</f>
        <v>0</v>
      </c>
      <c r="H539" s="35">
        <f>Database!N552</f>
        <v>42684</v>
      </c>
    </row>
    <row r="540" spans="1:8" ht="30" x14ac:dyDescent="0.25">
      <c r="A540" s="225" t="str">
        <f>Database!A553</f>
        <v>16REF218</v>
      </c>
      <c r="B540" s="34" t="str">
        <f>Database!E553</f>
        <v>NEUROSERVICE</v>
      </c>
      <c r="C540" s="34" t="str">
        <f>Database!F553</f>
        <v>Potassium hydroxide</v>
      </c>
      <c r="D540" s="34">
        <f>Database!K553</f>
        <v>56.11</v>
      </c>
      <c r="E540" s="34" t="str">
        <f>Database!P553</f>
        <v>250 g</v>
      </c>
      <c r="F540" s="34" t="str">
        <f>Database!Q553</f>
        <v>1M in H2O mQ</v>
      </c>
      <c r="G540" s="462">
        <f>Database!R553</f>
        <v>0</v>
      </c>
      <c r="H540" s="35">
        <f>Database!N553</f>
        <v>42684</v>
      </c>
    </row>
    <row r="541" spans="1:8" ht="30" x14ac:dyDescent="0.25">
      <c r="A541" s="225" t="str">
        <f>Database!A554</f>
        <v>16REF219</v>
      </c>
      <c r="B541" s="34" t="str">
        <f>Database!E554</f>
        <v>NEUROSERVICE</v>
      </c>
      <c r="C541" s="34" t="str">
        <f>Database!F554</f>
        <v>Potassium chloride</v>
      </c>
      <c r="D541" s="34">
        <f>Database!K554</f>
        <v>74.55</v>
      </c>
      <c r="E541" s="34" t="str">
        <f>Database!P554</f>
        <v>500 g</v>
      </c>
      <c r="F541" s="34">
        <f>Database!Q554</f>
        <v>0</v>
      </c>
      <c r="G541" s="462">
        <f>Database!R554</f>
        <v>0</v>
      </c>
      <c r="H541" s="35">
        <f>Database!N554</f>
        <v>42684</v>
      </c>
    </row>
    <row r="542" spans="1:8" ht="30" x14ac:dyDescent="0.25">
      <c r="A542" s="225" t="str">
        <f>Database!A555</f>
        <v>16REF220</v>
      </c>
      <c r="B542" s="34" t="str">
        <f>Database!E555</f>
        <v>NEUROSERVICE</v>
      </c>
      <c r="C542" s="34" t="str">
        <f>Database!F555</f>
        <v>EGTA</v>
      </c>
      <c r="D542" s="34">
        <f>Database!K555</f>
        <v>380.35</v>
      </c>
      <c r="E542" s="34" t="str">
        <f>Database!P555</f>
        <v>10 g</v>
      </c>
      <c r="F542" s="34">
        <f>Database!Q555</f>
        <v>0</v>
      </c>
      <c r="G542" s="462">
        <f>Database!R555</f>
        <v>0</v>
      </c>
      <c r="H542" s="35">
        <f>Database!N555</f>
        <v>42688</v>
      </c>
    </row>
    <row r="543" spans="1:8" ht="30" x14ac:dyDescent="0.25">
      <c r="A543" s="225" t="str">
        <f>Database!A556</f>
        <v>16REF221</v>
      </c>
      <c r="B543" s="34" t="str">
        <f>Database!E556</f>
        <v>NEUROSERVICE</v>
      </c>
      <c r="C543" s="34" t="str">
        <f>Database!F556</f>
        <v>EGTA</v>
      </c>
      <c r="D543" s="34">
        <f>Database!K556</f>
        <v>380.35</v>
      </c>
      <c r="E543" s="34" t="str">
        <f>Database!P556</f>
        <v>10 g</v>
      </c>
      <c r="F543" s="34">
        <f>Database!Q556</f>
        <v>0</v>
      </c>
      <c r="G543" s="462">
        <f>Database!R556</f>
        <v>0</v>
      </c>
      <c r="H543" s="35">
        <f>Database!N556</f>
        <v>42688</v>
      </c>
    </row>
    <row r="544" spans="1:8" ht="30" x14ac:dyDescent="0.25">
      <c r="A544" s="225" t="str">
        <f>Database!A557</f>
        <v>16REF222</v>
      </c>
      <c r="B544" s="34" t="str">
        <f>Database!E557</f>
        <v>NEUROSERVICE</v>
      </c>
      <c r="C544" s="34" t="str">
        <f>Database!F557</f>
        <v>HEPES</v>
      </c>
      <c r="D544" s="34">
        <f>Database!K557</f>
        <v>238.31</v>
      </c>
      <c r="E544" s="34" t="str">
        <f>Database!P557</f>
        <v>100 g</v>
      </c>
      <c r="F544" s="34">
        <f>Database!Q557</f>
        <v>0</v>
      </c>
      <c r="G544" s="462">
        <f>Database!R557</f>
        <v>0</v>
      </c>
      <c r="H544" s="35">
        <f>Database!N557</f>
        <v>42688</v>
      </c>
    </row>
    <row r="545" spans="1:8" ht="75" x14ac:dyDescent="0.25">
      <c r="A545" s="225" t="str">
        <f>Database!A558</f>
        <v>16REF223</v>
      </c>
      <c r="B545" s="34" t="str">
        <f>Database!E558</f>
        <v>NEUROSERVICE</v>
      </c>
      <c r="C545" s="34" t="str">
        <f>Database!F558</f>
        <v>Adenosine5'-triphosphate dinatrium salt</v>
      </c>
      <c r="D545" s="34">
        <f>Database!K558</f>
        <v>551.1</v>
      </c>
      <c r="E545" s="34" t="str">
        <f>Database!P558</f>
        <v>5 g</v>
      </c>
      <c r="F545" s="34">
        <f>Database!Q558</f>
        <v>0</v>
      </c>
      <c r="G545" s="462">
        <f>Database!R558</f>
        <v>0</v>
      </c>
      <c r="H545" s="35">
        <f>Database!N558</f>
        <v>42688</v>
      </c>
    </row>
    <row r="546" spans="1:8" ht="30" x14ac:dyDescent="0.25">
      <c r="A546" s="225" t="str">
        <f>Database!A559</f>
        <v>16SAM224</v>
      </c>
      <c r="B546" s="34" t="str">
        <f>Database!E559</f>
        <v>SERVIER</v>
      </c>
      <c r="C546" s="34" t="str">
        <f>Database!F559</f>
        <v>Paclitaxel</v>
      </c>
      <c r="D546" s="34">
        <f>Database!K559</f>
        <v>853.91</v>
      </c>
      <c r="E546" s="34" t="str">
        <f>Database!P559</f>
        <v>25 mg</v>
      </c>
      <c r="F546" s="34" t="str">
        <f>Database!Q559</f>
        <v>50 mg/mL in DMSO</v>
      </c>
      <c r="G546" s="462">
        <f>Database!R559</f>
        <v>0</v>
      </c>
      <c r="H546" s="35">
        <f>Database!N559</f>
        <v>42688</v>
      </c>
    </row>
    <row r="547" spans="1:8" ht="30" x14ac:dyDescent="0.25">
      <c r="A547" s="225" t="str">
        <f>Database!A560</f>
        <v>16SAM225</v>
      </c>
      <c r="B547" s="34" t="str">
        <f>Database!E560</f>
        <v>SERVIER</v>
      </c>
      <c r="C547" s="34" t="str">
        <f>Database!F560</f>
        <v>Paclitaxel</v>
      </c>
      <c r="D547" s="34">
        <f>Database!K560</f>
        <v>853.91</v>
      </c>
      <c r="E547" s="34" t="str">
        <f>Database!P560</f>
        <v>25 mg</v>
      </c>
      <c r="F547" s="34" t="str">
        <f>Database!Q560</f>
        <v>50 mg/mL in DMSO</v>
      </c>
      <c r="G547" s="462">
        <f>Database!R560</f>
        <v>0</v>
      </c>
      <c r="H547" s="35">
        <f>Database!N560</f>
        <v>42688</v>
      </c>
    </row>
    <row r="548" spans="1:8" ht="30" x14ac:dyDescent="0.25">
      <c r="A548" s="225" t="str">
        <f>Database!A561</f>
        <v>16SAM226</v>
      </c>
      <c r="B548" s="34" t="str">
        <f>Database!E561</f>
        <v>SERVIER</v>
      </c>
      <c r="C548" s="34" t="str">
        <f>Database!F561</f>
        <v>Paclitaxel</v>
      </c>
      <c r="D548" s="34">
        <f>Database!K561</f>
        <v>853.91</v>
      </c>
      <c r="E548" s="34" t="str">
        <f>Database!P561</f>
        <v>25 mg</v>
      </c>
      <c r="F548" s="34" t="str">
        <f>Database!Q561</f>
        <v>50 mg/mL in DMSO</v>
      </c>
      <c r="G548" s="462">
        <f>Database!R561</f>
        <v>0</v>
      </c>
      <c r="H548" s="35">
        <f>Database!N561</f>
        <v>42688</v>
      </c>
    </row>
    <row r="549" spans="1:8" ht="30" x14ac:dyDescent="0.25">
      <c r="A549" s="225" t="str">
        <f>Database!A562</f>
        <v>16SAM227</v>
      </c>
      <c r="B549" s="34" t="str">
        <f>Database!E562</f>
        <v>SERVIER</v>
      </c>
      <c r="C549" s="34" t="str">
        <f>Database!F562</f>
        <v>Paclitaxel</v>
      </c>
      <c r="D549" s="34">
        <f>Database!K562</f>
        <v>853.91</v>
      </c>
      <c r="E549" s="34" t="str">
        <f>Database!P562</f>
        <v>25 mg</v>
      </c>
      <c r="F549" s="34" t="str">
        <f>Database!Q562</f>
        <v>50 mg/mL in DMSO</v>
      </c>
      <c r="G549" s="462">
        <f>Database!R562</f>
        <v>0</v>
      </c>
      <c r="H549" s="35">
        <f>Database!N562</f>
        <v>42688</v>
      </c>
    </row>
    <row r="550" spans="1:8" ht="30" x14ac:dyDescent="0.25">
      <c r="A550" s="225" t="str">
        <f>Database!A563</f>
        <v>16SAM228</v>
      </c>
      <c r="B550" s="34" t="str">
        <f>Database!E563</f>
        <v>SERVIER</v>
      </c>
      <c r="C550" s="34" t="str">
        <f>Database!F563</f>
        <v>Paclitaxel</v>
      </c>
      <c r="D550" s="34">
        <f>Database!K563</f>
        <v>853.91</v>
      </c>
      <c r="E550" s="34" t="str">
        <f>Database!P563</f>
        <v>25 mg</v>
      </c>
      <c r="F550" s="34" t="str">
        <f>Database!Q563</f>
        <v>50 mg/mL in DMSO</v>
      </c>
      <c r="G550" s="462">
        <f>Database!R563</f>
        <v>0</v>
      </c>
      <c r="H550" s="35">
        <f>Database!N563</f>
        <v>42688</v>
      </c>
    </row>
    <row r="551" spans="1:8" ht="30" x14ac:dyDescent="0.25">
      <c r="A551" s="225" t="str">
        <f>Database!A564</f>
        <v>16SAM229</v>
      </c>
      <c r="B551" s="34" t="str">
        <f>Database!E564</f>
        <v>SERVIER</v>
      </c>
      <c r="C551" s="34" t="str">
        <f>Database!F564</f>
        <v>Paclitaxel</v>
      </c>
      <c r="D551" s="34">
        <f>Database!K564</f>
        <v>853.91</v>
      </c>
      <c r="E551" s="34" t="str">
        <f>Database!P564</f>
        <v>25 mg</v>
      </c>
      <c r="F551" s="34" t="str">
        <f>Database!Q564</f>
        <v>50 mg/mL in DMSO</v>
      </c>
      <c r="G551" s="462">
        <f>Database!R564</f>
        <v>0</v>
      </c>
      <c r="H551" s="35">
        <f>Database!N564</f>
        <v>42688</v>
      </c>
    </row>
    <row r="552" spans="1:8" ht="23.25" x14ac:dyDescent="0.25">
      <c r="A552" s="225" t="str">
        <f>Database!A565</f>
        <v>16SAM230</v>
      </c>
      <c r="B552" s="34" t="str">
        <f>Database!E565</f>
        <v>SERVIER</v>
      </c>
      <c r="C552" s="34" t="str">
        <f>Database!F565</f>
        <v>GDN357</v>
      </c>
      <c r="D552" s="34">
        <f>Database!K565</f>
        <v>528.55600000000004</v>
      </c>
      <c r="E552" s="34" t="str">
        <f>Database!P565</f>
        <v>unknow</v>
      </c>
      <c r="F552" s="34" t="e">
        <f>Database!#REF!</f>
        <v>#REF!</v>
      </c>
      <c r="G552" s="462">
        <f>Database!R565</f>
        <v>0</v>
      </c>
      <c r="H552" s="35">
        <f>Database!N565</f>
        <v>42688</v>
      </c>
    </row>
    <row r="553" spans="1:8" ht="30" x14ac:dyDescent="0.25">
      <c r="A553" s="225" t="str">
        <f>Database!A566</f>
        <v>16SAM231</v>
      </c>
      <c r="B553" s="34" t="str">
        <f>Database!E566</f>
        <v>TAKEDA</v>
      </c>
      <c r="C553" s="34" t="str">
        <f>Database!F566</f>
        <v>SYR273821Z</v>
      </c>
      <c r="D553" s="34">
        <f>Database!K566</f>
        <v>338.41</v>
      </c>
      <c r="E553" s="34" t="str">
        <f>Database!P566</f>
        <v>10.04 mg</v>
      </c>
      <c r="F553" s="34" t="str">
        <f>Database!Q566</f>
        <v>DMSO / Water</v>
      </c>
      <c r="G553" s="462">
        <f>Database!R566</f>
        <v>0</v>
      </c>
      <c r="H553" s="35">
        <f>Database!N566</f>
        <v>42688</v>
      </c>
    </row>
    <row r="554" spans="1:8" ht="45" x14ac:dyDescent="0.25">
      <c r="A554" s="225" t="str">
        <f>Database!A567</f>
        <v>16SAM232</v>
      </c>
      <c r="B554" s="34" t="str">
        <f>Database!E567</f>
        <v>SAGE</v>
      </c>
      <c r="C554" s="34" t="str">
        <f>Database!F567</f>
        <v>SGE-01882-02-A</v>
      </c>
      <c r="D554" s="34">
        <f>Database!K567</f>
        <v>432.72</v>
      </c>
      <c r="E554" s="34" t="str">
        <f>Database!P567</f>
        <v>15.1 mg</v>
      </c>
      <c r="F554" s="34" t="str">
        <f>Database!Q565</f>
        <v xml:space="preserve">10 mM in 95% DMSO 5% water </v>
      </c>
      <c r="G554" s="462">
        <f>Database!R567</f>
        <v>0</v>
      </c>
      <c r="H554" s="35">
        <f>Database!N567</f>
        <v>42688</v>
      </c>
    </row>
    <row r="555" spans="1:8" ht="90" x14ac:dyDescent="0.25">
      <c r="A555" s="225" t="str">
        <f>Database!A568</f>
        <v>16SAM233</v>
      </c>
      <c r="B555" s="34" t="str">
        <f>Database!E568</f>
        <v>TAKEDA</v>
      </c>
      <c r="C555" s="34" t="str">
        <f>Database!F568</f>
        <v>NRG1-beta1</v>
      </c>
      <c r="D555" s="34" t="str">
        <f>Database!K568</f>
        <v>8 kDa</v>
      </c>
      <c r="E555" s="34" t="str">
        <f>Database!P568</f>
        <v>50 µg</v>
      </c>
      <c r="F555" s="34" t="str">
        <f>Database!Q568</f>
        <v>100 µg/mL in sterile PBS containing at least 0.1% BSA</v>
      </c>
      <c r="G555" s="462" t="str">
        <f>Database!R568</f>
        <v>&gt; 97%</v>
      </c>
      <c r="H555" s="35">
        <f>Database!N568</f>
        <v>42689</v>
      </c>
    </row>
    <row r="556" spans="1:8" ht="30" x14ac:dyDescent="0.25">
      <c r="A556" s="225" t="str">
        <f>Database!A569</f>
        <v>16REF234</v>
      </c>
      <c r="B556" s="34" t="str">
        <f>Database!E569</f>
        <v>NEUROSERVICE</v>
      </c>
      <c r="C556" s="34" t="str">
        <f>Database!F569</f>
        <v>GTP</v>
      </c>
      <c r="D556" s="34">
        <f>Database!K569</f>
        <v>621.17999999999995</v>
      </c>
      <c r="E556" s="34" t="str">
        <f>Database!P569</f>
        <v>250 mg</v>
      </c>
      <c r="F556" s="34">
        <f>Database!Q569</f>
        <v>0</v>
      </c>
      <c r="G556" s="462">
        <f>Database!R569</f>
        <v>0</v>
      </c>
      <c r="H556" s="35">
        <f>Database!N569</f>
        <v>42690</v>
      </c>
    </row>
    <row r="557" spans="1:8" ht="30" x14ac:dyDescent="0.25">
      <c r="A557" s="225" t="str">
        <f>Database!A570</f>
        <v>16SAM235</v>
      </c>
      <c r="B557" s="34" t="str">
        <f>Database!E570</f>
        <v>AMGEN</v>
      </c>
      <c r="C557" s="34" t="str">
        <f>Database!F570</f>
        <v>Octreotide</v>
      </c>
      <c r="D557" s="34">
        <f>Database!K570</f>
        <v>1019.24</v>
      </c>
      <c r="E557" s="34" t="str">
        <f>Database!P570</f>
        <v>1 mg</v>
      </c>
      <c r="F557" s="34" t="str">
        <f>Database!Q570</f>
        <v> 1.20 mg/ml in water</v>
      </c>
      <c r="G557" s="462">
        <f>Database!R570</f>
        <v>0.86499999999999999</v>
      </c>
      <c r="H557" s="35">
        <f>Database!N570</f>
        <v>42691</v>
      </c>
    </row>
    <row r="558" spans="1:8" ht="30" x14ac:dyDescent="0.25">
      <c r="A558" s="225" t="str">
        <f>Database!A571</f>
        <v>16SAM236</v>
      </c>
      <c r="B558" s="34" t="str">
        <f>Database!E571</f>
        <v>AMGEN</v>
      </c>
      <c r="C558" s="34" t="str">
        <f>Database!F571</f>
        <v>Octreotide</v>
      </c>
      <c r="D558" s="34">
        <f>Database!K571</f>
        <v>1019.24</v>
      </c>
      <c r="E558" s="34" t="str">
        <f>Database!P571</f>
        <v>1 mg</v>
      </c>
      <c r="F558" s="34" t="str">
        <f>Database!Q571</f>
        <v> 1.20 mg/ml in water</v>
      </c>
      <c r="G558" s="462">
        <f>Database!R571</f>
        <v>0.86499999999999999</v>
      </c>
      <c r="H558" s="35">
        <f>Database!N571</f>
        <v>42691</v>
      </c>
    </row>
    <row r="559" spans="1:8" ht="30" x14ac:dyDescent="0.25">
      <c r="A559" s="225" t="str">
        <f>Database!A572</f>
        <v>16SAM237</v>
      </c>
      <c r="B559" s="34" t="str">
        <f>Database!E572</f>
        <v>AMGEN</v>
      </c>
      <c r="C559" s="34" t="str">
        <f>Database!F572</f>
        <v>Octreotide</v>
      </c>
      <c r="D559" s="34">
        <f>Database!K572</f>
        <v>1019.24</v>
      </c>
      <c r="E559" s="34" t="str">
        <f>Database!P572</f>
        <v>1 mg</v>
      </c>
      <c r="F559" s="34" t="str">
        <f>Database!Q572</f>
        <v> 1.20 mg/ml in water</v>
      </c>
      <c r="G559" s="462">
        <f>Database!R572</f>
        <v>0.86499999999999999</v>
      </c>
      <c r="H559" s="35">
        <f>Database!N572</f>
        <v>42691</v>
      </c>
    </row>
    <row r="560" spans="1:8" ht="30" x14ac:dyDescent="0.25">
      <c r="A560" s="225" t="str">
        <f>Database!A573</f>
        <v>16SAM238</v>
      </c>
      <c r="B560" s="34" t="str">
        <f>Database!E573</f>
        <v>AMGEN</v>
      </c>
      <c r="C560" s="34" t="str">
        <f>Database!F573</f>
        <v>Octreotide</v>
      </c>
      <c r="D560" s="34">
        <f>Database!K573</f>
        <v>1019.24</v>
      </c>
      <c r="E560" s="34" t="str">
        <f>Database!P573</f>
        <v>1 mg</v>
      </c>
      <c r="F560" s="34" t="str">
        <f>Database!Q573</f>
        <v> 1.20 mg/ml in water</v>
      </c>
      <c r="G560" s="462">
        <f>Database!R573</f>
        <v>0.86499999999999999</v>
      </c>
      <c r="H560" s="35">
        <f>Database!N573</f>
        <v>42691</v>
      </c>
    </row>
    <row r="561" spans="1:8" ht="30" x14ac:dyDescent="0.25">
      <c r="A561" s="225" t="str">
        <f>Database!A574</f>
        <v>16SAM239</v>
      </c>
      <c r="B561" s="34" t="str">
        <f>Database!E574</f>
        <v>AMGEN</v>
      </c>
      <c r="C561" s="34" t="str">
        <f>Database!F574</f>
        <v>Octreotide</v>
      </c>
      <c r="D561" s="34">
        <f>Database!K574</f>
        <v>1019.24</v>
      </c>
      <c r="E561" s="34" t="str">
        <f>Database!P574</f>
        <v>1 mg</v>
      </c>
      <c r="F561" s="34" t="str">
        <f>Database!Q574</f>
        <v> 1.20 mg/ml in water</v>
      </c>
      <c r="G561" s="462">
        <f>Database!R574</f>
        <v>0.86499999999999999</v>
      </c>
      <c r="H561" s="35">
        <f>Database!N574</f>
        <v>42691</v>
      </c>
    </row>
    <row r="562" spans="1:8" ht="30" x14ac:dyDescent="0.25">
      <c r="A562" s="225" t="str">
        <f>Database!A575</f>
        <v>16SAM240</v>
      </c>
      <c r="B562" s="34" t="str">
        <f>Database!E575</f>
        <v>AMGEN</v>
      </c>
      <c r="C562" s="34" t="str">
        <f>Database!F575</f>
        <v>CYN 154806</v>
      </c>
      <c r="D562" s="34">
        <f>Database!K575</f>
        <v>1197.3499999999999</v>
      </c>
      <c r="E562" s="34" t="str">
        <f>Database!P575</f>
        <v>1 mg</v>
      </c>
      <c r="F562" s="34" t="str">
        <f>Database!Q575</f>
        <v>1 mg/ml in water</v>
      </c>
      <c r="G562" s="462">
        <f>Database!R575</f>
        <v>0.79</v>
      </c>
      <c r="H562" s="35">
        <f>Database!N575</f>
        <v>42691</v>
      </c>
    </row>
    <row r="563" spans="1:8" ht="30" x14ac:dyDescent="0.25">
      <c r="A563" s="225" t="str">
        <f>Database!A576</f>
        <v>16SAM241</v>
      </c>
      <c r="B563" s="34" t="str">
        <f>Database!E576</f>
        <v>AMGEN</v>
      </c>
      <c r="C563" s="34" t="str">
        <f>Database!F576</f>
        <v>CYN 154806</v>
      </c>
      <c r="D563" s="34">
        <f>Database!K576</f>
        <v>1197.3499999999999</v>
      </c>
      <c r="E563" s="34" t="str">
        <f>Database!P576</f>
        <v>1 mg</v>
      </c>
      <c r="F563" s="34" t="str">
        <f>Database!Q576</f>
        <v>1 mg/ml in water</v>
      </c>
      <c r="G563" s="462">
        <f>Database!R576</f>
        <v>0.79</v>
      </c>
      <c r="H563" s="35">
        <f>Database!N576</f>
        <v>42691</v>
      </c>
    </row>
    <row r="564" spans="1:8" ht="30" x14ac:dyDescent="0.25">
      <c r="A564" s="225" t="str">
        <f>Database!A577</f>
        <v>16SAM242</v>
      </c>
      <c r="B564" s="34" t="str">
        <f>Database!E577</f>
        <v>AMGEN</v>
      </c>
      <c r="C564" s="34" t="str">
        <f>Database!F577</f>
        <v>CYN 154806</v>
      </c>
      <c r="D564" s="34">
        <f>Database!K577</f>
        <v>1197.3499999999999</v>
      </c>
      <c r="E564" s="34" t="str">
        <f>Database!P577</f>
        <v>1 mg</v>
      </c>
      <c r="F564" s="34" t="str">
        <f>Database!Q577</f>
        <v>1 mg/ml in water</v>
      </c>
      <c r="G564" s="462">
        <f>Database!R577</f>
        <v>0.79</v>
      </c>
      <c r="H564" s="35">
        <f>Database!N577</f>
        <v>42691</v>
      </c>
    </row>
    <row r="565" spans="1:8" ht="30" x14ac:dyDescent="0.25">
      <c r="A565" s="225" t="str">
        <f>Database!A578</f>
        <v>16SAM243</v>
      </c>
      <c r="B565" s="34" t="str">
        <f>Database!E578</f>
        <v>AMGEN</v>
      </c>
      <c r="C565" s="34" t="str">
        <f>Database!F578</f>
        <v>CYN 154806</v>
      </c>
      <c r="D565" s="34">
        <f>Database!K578</f>
        <v>1197.3499999999999</v>
      </c>
      <c r="E565" s="34" t="str">
        <f>Database!P578</f>
        <v>1 mg</v>
      </c>
      <c r="F565" s="34" t="str">
        <f>Database!Q578</f>
        <v>1 mg/ml in water</v>
      </c>
      <c r="G565" s="462">
        <f>Database!R578</f>
        <v>0.79</v>
      </c>
      <c r="H565" s="35">
        <f>Database!N578</f>
        <v>42691</v>
      </c>
    </row>
    <row r="566" spans="1:8" ht="45" x14ac:dyDescent="0.25">
      <c r="A566" s="225" t="str">
        <f>Database!A579</f>
        <v>16REF244</v>
      </c>
      <c r="B566" s="34" t="str">
        <f>Database!E579</f>
        <v>NEUROSERVICE</v>
      </c>
      <c r="C566" s="34" t="str">
        <f>Database!F579</f>
        <v>Lidocaine N-ethyl bromide</v>
      </c>
      <c r="D566" s="34">
        <f>Database!K579</f>
        <v>343.3</v>
      </c>
      <c r="E566" s="34" t="str">
        <f>Database!P579</f>
        <v>250 mg</v>
      </c>
      <c r="F566" s="34">
        <f>Database!Q579</f>
        <v>0</v>
      </c>
      <c r="G566" s="462">
        <f>Database!R579</f>
        <v>0</v>
      </c>
      <c r="H566" s="35">
        <f>Database!N579</f>
        <v>42692</v>
      </c>
    </row>
    <row r="567" spans="1:8" ht="75" x14ac:dyDescent="0.25">
      <c r="A567" s="225" t="str">
        <f>Database!A580</f>
        <v>16SAM245</v>
      </c>
      <c r="B567" s="34" t="str">
        <f>Database!E580</f>
        <v>TAKEDA</v>
      </c>
      <c r="C567" s="34" t="str">
        <f>Database!F580</f>
        <v>rhKLK8</v>
      </c>
      <c r="D567" s="34">
        <f>Database!K580</f>
        <v>0</v>
      </c>
      <c r="E567" s="34" t="str">
        <f>Database!P580</f>
        <v>10 mg</v>
      </c>
      <c r="F567" s="34" t="str">
        <f>Database!Q580</f>
        <v>50 mM Tris (activated by lysyl endopetidase)</v>
      </c>
      <c r="G567" s="462">
        <f>Database!R580</f>
        <v>0</v>
      </c>
      <c r="H567" s="35">
        <f>Database!N580</f>
        <v>42696</v>
      </c>
    </row>
    <row r="568" spans="1:8" ht="30" x14ac:dyDescent="0.25">
      <c r="A568" s="225" t="str">
        <f>Database!A581</f>
        <v>16REF246</v>
      </c>
      <c r="B568" s="34" t="str">
        <f>Database!E581</f>
        <v>NEUROSERVICE</v>
      </c>
      <c r="C568" s="34" t="str">
        <f>Database!F581</f>
        <v>DNQX</v>
      </c>
      <c r="D568" s="34">
        <f>Database!K581</f>
        <v>252.14</v>
      </c>
      <c r="E568" s="34" t="str">
        <f>Database!P581</f>
        <v>100 mg</v>
      </c>
      <c r="F568" s="34" t="str">
        <f>Database!Q581</f>
        <v>DMSO to 100 mM</v>
      </c>
      <c r="G568" s="462">
        <f>Database!R581</f>
        <v>1</v>
      </c>
      <c r="H568" s="35">
        <f>Database!N581</f>
        <v>42696</v>
      </c>
    </row>
    <row r="569" spans="1:8" ht="45" x14ac:dyDescent="0.25">
      <c r="A569" s="225" t="str">
        <f>Database!A582</f>
        <v>16REF247</v>
      </c>
      <c r="B569" s="34" t="str">
        <f>Database!E582</f>
        <v>NEUROSERVICE</v>
      </c>
      <c r="C569" s="34" t="str">
        <f>Database!F582</f>
        <v>LY 354740</v>
      </c>
      <c r="D569" s="34">
        <f>Database!K582</f>
        <v>203.19</v>
      </c>
      <c r="E569" s="34" t="str">
        <f>Database!P582</f>
        <v>10 mg</v>
      </c>
      <c r="F569" s="34" t="str">
        <f>Database!Q582</f>
        <v>up to 100 mM in 1 eq. NaOH</v>
      </c>
      <c r="G569" s="462" t="str">
        <f>Database!R582</f>
        <v>&gt; 99%</v>
      </c>
      <c r="H569" s="35">
        <f>Database!N582</f>
        <v>42702</v>
      </c>
    </row>
    <row r="570" spans="1:8" ht="45" x14ac:dyDescent="0.25">
      <c r="A570" s="225" t="str">
        <f>Database!A583</f>
        <v>16SAM248</v>
      </c>
      <c r="B570" s="34" t="str">
        <f>Database!E583</f>
        <v>Takeda</v>
      </c>
      <c r="C570" s="34" t="str">
        <f>Database!F583</f>
        <v>Tris Buffered Saline</v>
      </c>
      <c r="D570" s="34">
        <f>Database!K583</f>
        <v>0</v>
      </c>
      <c r="E570" s="34" t="str">
        <f>Database!P583</f>
        <v>10 sachets</v>
      </c>
      <c r="F570" s="34" t="str">
        <f>Database!Q583</f>
        <v>To be dissolved in 1 L H2O</v>
      </c>
      <c r="G570" s="462">
        <f>Database!R583</f>
        <v>0</v>
      </c>
      <c r="H570" s="35">
        <f>Database!N583</f>
        <v>42702</v>
      </c>
    </row>
    <row r="571" spans="1:8" ht="30" x14ac:dyDescent="0.25">
      <c r="A571" s="225" t="str">
        <f>Database!A584</f>
        <v>16SAM249</v>
      </c>
      <c r="B571" s="34" t="str">
        <f>Database!E584</f>
        <v>Amgen</v>
      </c>
      <c r="C571" s="34" t="str">
        <f>Database!F584</f>
        <v>Doxycycline hyclate</v>
      </c>
      <c r="D571" s="34">
        <f>Database!K584</f>
        <v>512.94000000000005</v>
      </c>
      <c r="E571" s="34" t="str">
        <f>Database!P584</f>
        <v>1 g</v>
      </c>
      <c r="F571" s="34" t="str">
        <f>Database!Q584</f>
        <v>50 mg/mL in H2O mQ</v>
      </c>
      <c r="G571" s="462">
        <f>Database!R584</f>
        <v>0.99199999999999999</v>
      </c>
      <c r="H571" s="35">
        <f>Database!N584</f>
        <v>42702</v>
      </c>
    </row>
    <row r="572" spans="1:8" ht="45" x14ac:dyDescent="0.25">
      <c r="A572" s="225" t="str">
        <f>Database!A585</f>
        <v>16SAM250</v>
      </c>
      <c r="B572" s="34" t="str">
        <f>Database!E585</f>
        <v>Takeda</v>
      </c>
      <c r="C572" s="34" t="str">
        <f>Database!F585</f>
        <v>Lysyl Endopeptidase</v>
      </c>
      <c r="D572" s="34">
        <f>Database!K585</f>
        <v>0</v>
      </c>
      <c r="E572" s="34" t="str">
        <f>Database!P585</f>
        <v>10 AU</v>
      </c>
      <c r="F572" s="34">
        <f>Database!Q585</f>
        <v>0</v>
      </c>
      <c r="G572" s="462">
        <f>Database!R585</f>
        <v>0</v>
      </c>
      <c r="H572" s="35">
        <f>Database!N585</f>
        <v>42704</v>
      </c>
    </row>
    <row r="573" spans="1:8" ht="30" x14ac:dyDescent="0.25">
      <c r="A573" s="225" t="str">
        <f>Database!A586</f>
        <v>16REF251</v>
      </c>
      <c r="B573" s="34" t="str">
        <f>Database!E586</f>
        <v>AMGEN</v>
      </c>
      <c r="C573" s="34" t="str">
        <f>Database!F586</f>
        <v>D-MEM medium</v>
      </c>
      <c r="D573" s="34" t="str">
        <f>Database!K586</f>
        <v>[1X]</v>
      </c>
      <c r="E573" s="34" t="str">
        <f>Database!P586</f>
        <v>4*500 ml</v>
      </c>
      <c r="F573" s="34">
        <f>Database!Q586</f>
        <v>0</v>
      </c>
      <c r="G573" s="462">
        <f>Database!R586</f>
        <v>0</v>
      </c>
      <c r="H573" s="35">
        <f>Database!N586</f>
        <v>42703</v>
      </c>
    </row>
    <row r="574" spans="1:8" ht="30" x14ac:dyDescent="0.25">
      <c r="A574" s="225" t="str">
        <f>Database!A587</f>
        <v>16REF252</v>
      </c>
      <c r="B574" s="34" t="str">
        <f>Database!E587</f>
        <v>AMGEN</v>
      </c>
      <c r="C574" s="34" t="str">
        <f>Database!F587</f>
        <v>DPBS medium</v>
      </c>
      <c r="D574" s="34" t="str">
        <f>Database!K587</f>
        <v>[1X]</v>
      </c>
      <c r="E574" s="34" t="str">
        <f>Database!P587</f>
        <v>2*500 ml</v>
      </c>
      <c r="F574" s="34">
        <f>Database!Q587</f>
        <v>0</v>
      </c>
      <c r="G574" s="462">
        <f>Database!R587</f>
        <v>0</v>
      </c>
      <c r="H574" s="35">
        <f>Database!N587</f>
        <v>42703</v>
      </c>
    </row>
    <row r="575" spans="1:8" ht="23.25" x14ac:dyDescent="0.25">
      <c r="A575" s="225" t="str">
        <f>Database!A588</f>
        <v>16REF253</v>
      </c>
      <c r="B575" s="34" t="str">
        <f>Database!E588</f>
        <v>AMGEN</v>
      </c>
      <c r="C575" s="34" t="str">
        <f>Database!F588</f>
        <v>MEM NEAA</v>
      </c>
      <c r="D575" s="34" t="str">
        <f>Database!K588</f>
        <v>[100X]</v>
      </c>
      <c r="E575" s="34" t="str">
        <f>Database!P588</f>
        <v>100 ml</v>
      </c>
      <c r="F575" s="34">
        <f>Database!Q588</f>
        <v>0</v>
      </c>
      <c r="G575" s="462">
        <f>Database!R588</f>
        <v>0</v>
      </c>
      <c r="H575" s="35">
        <f>Database!N588</f>
        <v>42703</v>
      </c>
    </row>
    <row r="576" spans="1:8" ht="30" x14ac:dyDescent="0.25">
      <c r="A576" s="225" t="str">
        <f>Database!A589</f>
        <v>16REF254</v>
      </c>
      <c r="B576" s="34" t="str">
        <f>Database!E589</f>
        <v>AMGEN</v>
      </c>
      <c r="C576" s="34" t="str">
        <f>Database!F589</f>
        <v>Sodium Pyruvate</v>
      </c>
      <c r="D576" s="34" t="str">
        <f>Database!K589</f>
        <v>100 mM</v>
      </c>
      <c r="E576" s="34" t="str">
        <f>Database!P589</f>
        <v>100 ml</v>
      </c>
      <c r="F576" s="34">
        <f>Database!Q589</f>
        <v>0</v>
      </c>
      <c r="G576" s="462">
        <f>Database!R589</f>
        <v>0</v>
      </c>
      <c r="H576" s="35">
        <f>Database!N589</f>
        <v>42703</v>
      </c>
    </row>
    <row r="577" spans="1:8" ht="45" x14ac:dyDescent="0.25">
      <c r="A577" s="225" t="str">
        <f>Database!A590</f>
        <v>16SAM255</v>
      </c>
      <c r="B577" s="34" t="str">
        <f>Database!E590</f>
        <v>Amgen</v>
      </c>
      <c r="C577" s="34" t="str">
        <f>Database!F590</f>
        <v>Fetal Bovine Serum</v>
      </c>
      <c r="D577" s="34" t="str">
        <f>Database!K590</f>
        <v>-</v>
      </c>
      <c r="E577" s="34" t="str">
        <f>Database!P590</f>
        <v>100 ml</v>
      </c>
      <c r="F577" s="34">
        <f>Database!Q590</f>
        <v>0</v>
      </c>
      <c r="G577" s="462">
        <f>Database!R590</f>
        <v>0</v>
      </c>
      <c r="H577" s="35">
        <f>Database!N590</f>
        <v>42705</v>
      </c>
    </row>
    <row r="578" spans="1:8" ht="45" x14ac:dyDescent="0.25">
      <c r="A578" s="225" t="str">
        <f>Database!A591</f>
        <v>16REF256</v>
      </c>
      <c r="B578" s="34" t="str">
        <f>Database!E591</f>
        <v>AMGEN</v>
      </c>
      <c r="C578" s="34" t="str">
        <f>Database!F591</f>
        <v>HT supplement</v>
      </c>
      <c r="D578" s="34" t="str">
        <f>Database!K591</f>
        <v>[100X]</v>
      </c>
      <c r="E578" s="34" t="str">
        <f>Database!P591</f>
        <v>50 ml</v>
      </c>
      <c r="F578" s="34">
        <f>Database!Q591</f>
        <v>0</v>
      </c>
      <c r="G578" s="462">
        <f>Database!R591</f>
        <v>0</v>
      </c>
      <c r="H578" s="35">
        <f>Database!N591</f>
        <v>42703</v>
      </c>
    </row>
    <row r="579" spans="1:8" ht="105" x14ac:dyDescent="0.25">
      <c r="A579" s="225" t="str">
        <f>Database!A592</f>
        <v>16REF257</v>
      </c>
      <c r="B579" s="34" t="str">
        <f>Database!E592</f>
        <v>AMGEN</v>
      </c>
      <c r="C579" s="34" t="str">
        <f>Database!F592</f>
        <v>Blasticidin</v>
      </c>
      <c r="D579" s="34">
        <f>Database!K592</f>
        <v>458.9</v>
      </c>
      <c r="E579" s="34" t="str">
        <f>Database!P592</f>
        <v>50 mg</v>
      </c>
      <c r="F579" s="34" t="str">
        <f>Database!Q592</f>
        <v>5-10 mg/ml in sterile water and filter-sterilize the solution</v>
      </c>
      <c r="G579" s="462">
        <f>Database!R592</f>
        <v>0</v>
      </c>
      <c r="H579" s="35">
        <f>Database!N592</f>
        <v>42703</v>
      </c>
    </row>
    <row r="580" spans="1:8" ht="30" x14ac:dyDescent="0.25">
      <c r="A580" s="225" t="str">
        <f>Database!A593</f>
        <v>16REF258</v>
      </c>
      <c r="B580" s="34" t="str">
        <f>Database!E593</f>
        <v>AMGEN</v>
      </c>
      <c r="C580" s="34" t="str">
        <f>Database!F593</f>
        <v>ZEOCIN</v>
      </c>
      <c r="D580" s="34" t="str">
        <f>Database!K593</f>
        <v>-</v>
      </c>
      <c r="E580" s="34" t="str">
        <f>Database!P593</f>
        <v>1 g (8*1.25ml)</v>
      </c>
      <c r="F580" s="34">
        <f>Database!Q593</f>
        <v>0</v>
      </c>
      <c r="G580" s="462">
        <f>Database!R593</f>
        <v>0</v>
      </c>
      <c r="H580" s="35">
        <f>Database!N593</f>
        <v>42703</v>
      </c>
    </row>
    <row r="581" spans="1:8" ht="30" x14ac:dyDescent="0.25">
      <c r="A581" s="225" t="str">
        <f>Database!A594</f>
        <v>16REF259</v>
      </c>
      <c r="B581" s="34" t="str">
        <f>Database!E594</f>
        <v>AMGEN</v>
      </c>
      <c r="C581" s="34" t="str">
        <f>Database!F594</f>
        <v>Trypsin 0.05% EDTA</v>
      </c>
      <c r="D581" s="34" t="str">
        <f>Database!K594</f>
        <v>[1X]</v>
      </c>
      <c r="E581" s="34" t="str">
        <f>Database!P594</f>
        <v>100 ml</v>
      </c>
      <c r="F581" s="34">
        <f>Database!Q594</f>
        <v>0</v>
      </c>
      <c r="G581" s="462">
        <f>Database!R594</f>
        <v>0</v>
      </c>
      <c r="H581" s="35">
        <f>Database!N594</f>
        <v>42703</v>
      </c>
    </row>
    <row r="582" spans="1:8" ht="30" x14ac:dyDescent="0.25">
      <c r="A582" s="225" t="str">
        <f>Database!A595</f>
        <v>16SAM260</v>
      </c>
      <c r="B582" s="34" t="str">
        <f>Database!E595</f>
        <v>AMGEN</v>
      </c>
      <c r="C582" s="34" t="str">
        <f>Database!F595</f>
        <v>CYN 154806</v>
      </c>
      <c r="D582" s="34">
        <f>Database!K595</f>
        <v>1197.3499999999999</v>
      </c>
      <c r="E582" s="34" t="str">
        <f>Database!P595</f>
        <v>1 mg</v>
      </c>
      <c r="F582" s="34" t="str">
        <f>Database!Q595</f>
        <v>1 mg/ml in water</v>
      </c>
      <c r="G582" s="462">
        <f>Database!R595</f>
        <v>0.79</v>
      </c>
      <c r="H582" s="35">
        <f>Database!N595</f>
        <v>42711</v>
      </c>
    </row>
    <row r="583" spans="1:8" ht="30" x14ac:dyDescent="0.25">
      <c r="A583" s="225" t="str">
        <f>Database!A596</f>
        <v>16SAM261</v>
      </c>
      <c r="B583" s="34" t="str">
        <f>Database!E596</f>
        <v>AMGEN</v>
      </c>
      <c r="C583" s="34" t="str">
        <f>Database!F596</f>
        <v>CYN 154806</v>
      </c>
      <c r="D583" s="34">
        <f>Database!K596</f>
        <v>1197.3499999999999</v>
      </c>
      <c r="E583" s="34" t="str">
        <f>Database!P596</f>
        <v>1 mg</v>
      </c>
      <c r="F583" s="34" t="str">
        <f>Database!Q596</f>
        <v>1 mg/ml in water</v>
      </c>
      <c r="G583" s="462">
        <f>Database!R596</f>
        <v>0.79</v>
      </c>
      <c r="H583" s="35">
        <f>Database!N596</f>
        <v>42711</v>
      </c>
    </row>
    <row r="584" spans="1:8" ht="45" x14ac:dyDescent="0.25">
      <c r="A584" s="225" t="str">
        <f>Database!A597</f>
        <v>16SAM262</v>
      </c>
      <c r="B584" s="34" t="str">
        <f>Database!E597</f>
        <v>SERVIER</v>
      </c>
      <c r="C584" s="34" t="str">
        <f>Database!F597</f>
        <v>Parthenolide</v>
      </c>
      <c r="D584" s="34">
        <f>Database!K597</f>
        <v>248.32</v>
      </c>
      <c r="E584" s="34" t="str">
        <f>Database!P597</f>
        <v>100 mg</v>
      </c>
      <c r="F584" s="34" t="str">
        <f>Database!Q597</f>
        <v>DMSO or EtOH to 100 mM</v>
      </c>
      <c r="G584" s="462">
        <f>Database!R597</f>
        <v>0.98199999999999998</v>
      </c>
      <c r="H584" s="35">
        <f>Database!N597</f>
        <v>42711</v>
      </c>
    </row>
    <row r="585" spans="1:8" ht="30" x14ac:dyDescent="0.25">
      <c r="A585" s="225" t="str">
        <f>Database!A598</f>
        <v>16SAM263</v>
      </c>
      <c r="B585" s="34" t="str">
        <f>Database!E598</f>
        <v>SAGE</v>
      </c>
      <c r="C585" s="34" t="str">
        <f>Database!F598</f>
        <v>SGE-02546-01-A</v>
      </c>
      <c r="D585" s="34">
        <f>Database!K598</f>
        <v>360.4</v>
      </c>
      <c r="E585" s="34" t="str">
        <f>Database!P598</f>
        <v>10 mg</v>
      </c>
      <c r="F585" s="34" t="str">
        <f>Database!Q598</f>
        <v>10 mM in DMSO</v>
      </c>
      <c r="G585" s="462">
        <f>Database!R598</f>
        <v>0</v>
      </c>
      <c r="H585" s="35">
        <f>Database!N598</f>
        <v>42711</v>
      </c>
    </row>
    <row r="586" spans="1:8" ht="75" x14ac:dyDescent="0.25">
      <c r="A586" s="225" t="str">
        <f>Database!A599</f>
        <v>16SAM264</v>
      </c>
      <c r="B586" s="34" t="str">
        <f>Database!E599</f>
        <v>AMGEN</v>
      </c>
      <c r="C586" s="34" t="str">
        <f>Database!F599</f>
        <v>Tetracycline hydrochloride cell culture</v>
      </c>
      <c r="D586" s="34">
        <f>Database!K599</f>
        <v>480.9</v>
      </c>
      <c r="E586" s="34" t="str">
        <f>Database!P599</f>
        <v>5 mg</v>
      </c>
      <c r="F586" s="34" t="str">
        <f>Database!Q599</f>
        <v>10 mg/L in H2O</v>
      </c>
      <c r="G586" s="462">
        <f>Database!R599</f>
        <v>0</v>
      </c>
      <c r="H586" s="35">
        <f>Database!N599</f>
        <v>42716</v>
      </c>
    </row>
    <row r="587" spans="1:8" ht="30" x14ac:dyDescent="0.25">
      <c r="A587" s="225" t="str">
        <f>Database!A600</f>
        <v>16REF265</v>
      </c>
      <c r="B587" s="34" t="str">
        <f>Database!E600</f>
        <v>NEUROSERVICE</v>
      </c>
      <c r="C587" s="34" t="str">
        <f>Database!F600</f>
        <v>DMSO hybri-max stérile</v>
      </c>
      <c r="D587" s="34">
        <f>Database!K600</f>
        <v>0</v>
      </c>
      <c r="E587" s="34" t="str">
        <f>Database!P600</f>
        <v>5*5 ml</v>
      </c>
      <c r="F587" s="34">
        <f>Database!Q600</f>
        <v>0</v>
      </c>
      <c r="G587" s="462">
        <f>Database!R600</f>
        <v>0.997</v>
      </c>
      <c r="H587" s="35">
        <f>Database!N600</f>
        <v>42716</v>
      </c>
    </row>
    <row r="588" spans="1:8" ht="30" x14ac:dyDescent="0.25">
      <c r="A588" s="225" t="str">
        <f>Database!A601</f>
        <v>16SAM266</v>
      </c>
      <c r="B588" s="34" t="str">
        <f>Database!E601</f>
        <v>SAGE</v>
      </c>
      <c r="C588" s="34" t="str">
        <f>Database!F601</f>
        <v>SGE-00237-03-A</v>
      </c>
      <c r="D588" s="34">
        <f>Database!K601</f>
        <v>416.64</v>
      </c>
      <c r="E588" s="34" t="str">
        <f>Database!P601</f>
        <v>10 mg</v>
      </c>
      <c r="F588" s="34" t="str">
        <f>Database!Q601</f>
        <v>10 mM in DMSO</v>
      </c>
      <c r="G588" s="462">
        <f>Database!R601</f>
        <v>0</v>
      </c>
      <c r="H588" s="35">
        <f>Database!N601</f>
        <v>42723</v>
      </c>
    </row>
    <row r="589" spans="1:8" ht="30" x14ac:dyDescent="0.25">
      <c r="A589" s="225" t="str">
        <f>Database!A602</f>
        <v>16SAM267</v>
      </c>
      <c r="B589" s="34" t="str">
        <f>Database!E602</f>
        <v>AMGEN</v>
      </c>
      <c r="C589" s="34" t="str">
        <f>Database!F602</f>
        <v>Octreotide</v>
      </c>
      <c r="D589" s="34">
        <f>Database!K602</f>
        <v>1019.24</v>
      </c>
      <c r="E589" s="34" t="str">
        <f>Database!P602</f>
        <v>1 mg</v>
      </c>
      <c r="F589" s="34" t="str">
        <f>Database!Q602</f>
        <v>1.2 mg/ml in water</v>
      </c>
      <c r="G589" s="462">
        <f>Database!R602</f>
        <v>0.86499999999999999</v>
      </c>
      <c r="H589" s="35">
        <f>Database!N602</f>
        <v>42724</v>
      </c>
    </row>
    <row r="590" spans="1:8" ht="30" x14ac:dyDescent="0.25">
      <c r="A590" s="225" t="str">
        <f>Database!A603</f>
        <v>16SAM268</v>
      </c>
      <c r="B590" s="34" t="str">
        <f>Database!E603</f>
        <v>AMGEN</v>
      </c>
      <c r="C590" s="34" t="str">
        <f>Database!F603</f>
        <v>Octreotide</v>
      </c>
      <c r="D590" s="34">
        <f>Database!K603</f>
        <v>1019.24</v>
      </c>
      <c r="E590" s="34" t="str">
        <f>Database!P603</f>
        <v>1 mg</v>
      </c>
      <c r="F590" s="34" t="str">
        <f>Database!Q603</f>
        <v>1.2 mg/ml in water</v>
      </c>
      <c r="G590" s="462">
        <f>Database!R603</f>
        <v>0.86499999999999999</v>
      </c>
      <c r="H590" s="35">
        <f>Database!N603</f>
        <v>42724</v>
      </c>
    </row>
    <row r="591" spans="1:8" ht="30" x14ac:dyDescent="0.25">
      <c r="A591" s="225" t="str">
        <f>Database!A604</f>
        <v>16SAM269</v>
      </c>
      <c r="B591" s="34" t="str">
        <f>Database!E604</f>
        <v>AMGEN</v>
      </c>
      <c r="C591" s="34" t="str">
        <f>Database!F604</f>
        <v>CYN 154806</v>
      </c>
      <c r="D591" s="34">
        <f>Database!K604</f>
        <v>1197.3499999999999</v>
      </c>
      <c r="E591" s="34" t="str">
        <f>Database!P604</f>
        <v>1 mg</v>
      </c>
      <c r="F591" s="34" t="str">
        <f>Database!Q604</f>
        <v>1 mg/ml in water</v>
      </c>
      <c r="G591" s="462">
        <f>Database!R604</f>
        <v>0.79</v>
      </c>
      <c r="H591" s="35">
        <f>Database!N604</f>
        <v>42724</v>
      </c>
    </row>
    <row r="592" spans="1:8" ht="30" x14ac:dyDescent="0.25">
      <c r="A592" s="225" t="str">
        <f>Database!A605</f>
        <v>16SAM270</v>
      </c>
      <c r="B592" s="34" t="str">
        <f>Database!E605</f>
        <v>AMGEN</v>
      </c>
      <c r="C592" s="34" t="str">
        <f>Database!F605</f>
        <v>CYN 154806</v>
      </c>
      <c r="D592" s="34">
        <f>Database!K605</f>
        <v>1197.3499999999999</v>
      </c>
      <c r="E592" s="34" t="str">
        <f>Database!P605</f>
        <v>1 mg</v>
      </c>
      <c r="F592" s="34" t="str">
        <f>Database!Q605</f>
        <v>1 mg/ml in water</v>
      </c>
      <c r="G592" s="462">
        <f>Database!R605</f>
        <v>0.79</v>
      </c>
      <c r="H592" s="35">
        <f>Database!N605</f>
        <v>42727</v>
      </c>
    </row>
    <row r="593" spans="1:8" ht="30" x14ac:dyDescent="0.25">
      <c r="A593" s="225" t="str">
        <f>Database!A606</f>
        <v>16SAM271</v>
      </c>
      <c r="B593" s="34" t="str">
        <f>Database!E606</f>
        <v>AMGEN</v>
      </c>
      <c r="C593" s="34" t="str">
        <f>Database!F606</f>
        <v>CYN 154806</v>
      </c>
      <c r="D593" s="34">
        <f>Database!K606</f>
        <v>1197.3499999999999</v>
      </c>
      <c r="E593" s="34" t="str">
        <f>Database!P606</f>
        <v>1 mg</v>
      </c>
      <c r="F593" s="34" t="str">
        <f>Database!Q606</f>
        <v>1 mg/ml in water</v>
      </c>
      <c r="G593" s="462">
        <f>Database!R606</f>
        <v>0.79</v>
      </c>
      <c r="H593" s="35">
        <f>Database!N606</f>
        <v>42727</v>
      </c>
    </row>
    <row r="594" spans="1:8" ht="30" x14ac:dyDescent="0.25">
      <c r="A594" s="225" t="str">
        <f>Database!A607</f>
        <v>16SAM272</v>
      </c>
      <c r="B594" s="34" t="str">
        <f>Database!E607</f>
        <v>AMGEN</v>
      </c>
      <c r="C594" s="34" t="str">
        <f>Database!F607</f>
        <v>CYN 154806</v>
      </c>
      <c r="D594" s="34">
        <f>Database!K607</f>
        <v>1197.3499999999999</v>
      </c>
      <c r="E594" s="34" t="str">
        <f>Database!P607</f>
        <v>1 mg</v>
      </c>
      <c r="F594" s="34" t="str">
        <f>Database!Q607</f>
        <v>1 mg/ml in water</v>
      </c>
      <c r="G594" s="462">
        <f>Database!R607</f>
        <v>0.79</v>
      </c>
      <c r="H594" s="35">
        <f>Database!N607</f>
        <v>42727</v>
      </c>
    </row>
    <row r="595" spans="1:8" ht="45" x14ac:dyDescent="0.25">
      <c r="A595" s="225" t="str">
        <f>Database!A608</f>
        <v>16SAM273</v>
      </c>
      <c r="B595" s="34" t="str">
        <f>Database!E608</f>
        <v>AMGEN</v>
      </c>
      <c r="C595" s="34" t="str">
        <f>Database!F608</f>
        <v>Fetal Bovine Serum</v>
      </c>
      <c r="D595" s="34" t="str">
        <f>Database!K608</f>
        <v>-</v>
      </c>
      <c r="E595" s="34" t="str">
        <f>Database!P608</f>
        <v>100 mL</v>
      </c>
      <c r="F595" s="34" t="str">
        <f>Database!Q608</f>
        <v>-</v>
      </c>
      <c r="G595" s="462" t="str">
        <f>Database!R608</f>
        <v>-</v>
      </c>
      <c r="H595" s="35">
        <f>Database!N608</f>
        <v>42731</v>
      </c>
    </row>
    <row r="596" spans="1:8" ht="60" x14ac:dyDescent="0.25">
      <c r="A596" s="225" t="str">
        <f>Database!A609</f>
        <v>16REF274</v>
      </c>
      <c r="B596" s="34" t="str">
        <f>Database!E609</f>
        <v>NEUROSERVICE</v>
      </c>
      <c r="C596" s="34" t="str">
        <f>Database!F609</f>
        <v>Laminin</v>
      </c>
      <c r="D596" s="34">
        <f>Database!K609</f>
        <v>0</v>
      </c>
      <c r="E596" s="34" t="str">
        <f>Database!P609</f>
        <v>1 mg</v>
      </c>
      <c r="F596" s="34" t="str">
        <f>Database!Q609</f>
        <v>1 mg/mL in tris buffered NaCl</v>
      </c>
      <c r="G596" s="462" t="str">
        <f>Database!R609</f>
        <v>-</v>
      </c>
      <c r="H596" s="35">
        <f>Database!N609</f>
        <v>42731</v>
      </c>
    </row>
    <row r="597" spans="1:8" ht="60" x14ac:dyDescent="0.25">
      <c r="A597" s="225" t="str">
        <f>Database!A611</f>
        <v>17SAM001</v>
      </c>
      <c r="B597" s="34" t="str">
        <f>Database!E611</f>
        <v>Taisho</v>
      </c>
      <c r="C597" s="34" t="str">
        <f>Database!F611</f>
        <v>MGS0008 (TP0071219 shipping name)</v>
      </c>
      <c r="D597" s="34">
        <f>Database!K611</f>
        <v>203.17</v>
      </c>
      <c r="E597" s="34" t="str">
        <f>Database!P611</f>
        <v>50 mg</v>
      </c>
      <c r="F597" s="34" t="str">
        <f>Database!Q611</f>
        <v>H2O mQ</v>
      </c>
      <c r="G597" s="462">
        <f>Database!R611</f>
        <v>0.97599999999999998</v>
      </c>
      <c r="H597" s="35">
        <f>Database!N611</f>
        <v>42744</v>
      </c>
    </row>
    <row r="598" spans="1:8" ht="45" x14ac:dyDescent="0.25">
      <c r="A598" s="225" t="str">
        <f>Database!A612</f>
        <v>17SAM002</v>
      </c>
      <c r="B598" s="34" t="str">
        <f>Database!E612</f>
        <v>Taisho</v>
      </c>
      <c r="C598" s="34" t="str">
        <f>Database!F612</f>
        <v>LY341495 disodium salt</v>
      </c>
      <c r="D598" s="34">
        <f>Database!K612</f>
        <v>442.38</v>
      </c>
      <c r="E598" s="34" t="str">
        <f>Database!P612</f>
        <v>10 mg</v>
      </c>
      <c r="F598" s="34" t="str">
        <f>Database!Q612</f>
        <v xml:space="preserve">water mQ to 100 mM </v>
      </c>
      <c r="G598" s="462">
        <f>Database!R612</f>
        <v>0.99</v>
      </c>
      <c r="H598" s="35">
        <f>Database!N612</f>
        <v>42744</v>
      </c>
    </row>
    <row r="599" spans="1:8" ht="30" x14ac:dyDescent="0.25">
      <c r="A599" s="225" t="str">
        <f>Database!A613</f>
        <v>17REF003</v>
      </c>
      <c r="B599" s="34" t="str">
        <f>Database!E613</f>
        <v>NEUROSERVICE</v>
      </c>
      <c r="C599" s="34" t="str">
        <f>Database!F613</f>
        <v>D-AP5</v>
      </c>
      <c r="D599" s="34">
        <f>Database!K613</f>
        <v>197.13</v>
      </c>
      <c r="E599" s="34" t="str">
        <f>Database!P613</f>
        <v>50 mg</v>
      </c>
      <c r="F599" s="34" t="str">
        <f>Database!Q613</f>
        <v>H2O mQ to 100 mM</v>
      </c>
      <c r="G599" s="462">
        <f>Database!R613</f>
        <v>0.99</v>
      </c>
      <c r="H599" s="35">
        <f>Database!N613</f>
        <v>42748</v>
      </c>
    </row>
    <row r="600" spans="1:8" ht="45" x14ac:dyDescent="0.25">
      <c r="A600" s="225" t="str">
        <f>Database!A614</f>
        <v>17REF004</v>
      </c>
      <c r="B600" s="34" t="str">
        <f>Database!E614</f>
        <v>NEUROSERVICE</v>
      </c>
      <c r="C600" s="34" t="str">
        <f>Database!F614</f>
        <v>NBQX</v>
      </c>
      <c r="D600" s="34">
        <f>Database!K614</f>
        <v>340.78</v>
      </c>
      <c r="E600" s="34" t="str">
        <f>Database!P614</f>
        <v>50 mg</v>
      </c>
      <c r="F600" s="34" t="str">
        <f>Database!Q614</f>
        <v>up to 100 mM in DMSO</v>
      </c>
      <c r="G600" s="462">
        <f>Database!R614</f>
        <v>0.99</v>
      </c>
      <c r="H600" s="35">
        <f>Database!N614</f>
        <v>42748</v>
      </c>
    </row>
    <row r="601" spans="1:8" ht="45" x14ac:dyDescent="0.25">
      <c r="A601" s="225" t="str">
        <f>Database!A615</f>
        <v>17REF005</v>
      </c>
      <c r="B601" s="34" t="str">
        <f>Database!E615</f>
        <v>NEUROSERVICE</v>
      </c>
      <c r="C601" s="34" t="str">
        <f>Database!F615</f>
        <v>NBQX</v>
      </c>
      <c r="D601" s="34">
        <f>Database!K615</f>
        <v>340.78</v>
      </c>
      <c r="E601" s="34" t="str">
        <f>Database!P615</f>
        <v>50 mg</v>
      </c>
      <c r="F601" s="34" t="str">
        <f>Database!Q615</f>
        <v>up to 100 mM in DMSO</v>
      </c>
      <c r="G601" s="462">
        <f>Database!R615</f>
        <v>0.99</v>
      </c>
      <c r="H601" s="35">
        <f>Database!N615</f>
        <v>42748</v>
      </c>
    </row>
    <row r="602" spans="1:8" ht="30" x14ac:dyDescent="0.25">
      <c r="A602" s="225" t="str">
        <f>Database!A616</f>
        <v>17REF006</v>
      </c>
      <c r="B602" s="34" t="str">
        <f>Database!E616</f>
        <v>NEUROSERVICE</v>
      </c>
      <c r="C602" s="34" t="str">
        <f>Database!F616</f>
        <v>L-AP4</v>
      </c>
      <c r="D602" s="34">
        <f>Database!K616</f>
        <v>183.1</v>
      </c>
      <c r="E602" s="34" t="str">
        <f>Database!P616</f>
        <v>10 mg</v>
      </c>
      <c r="F602" s="34" t="str">
        <f>Database!Q616</f>
        <v>H2O mQ to 100 mM</v>
      </c>
      <c r="G602" s="462">
        <f>Database!R616</f>
        <v>0.99</v>
      </c>
      <c r="H602" s="35">
        <f>Database!N616</f>
        <v>42751</v>
      </c>
    </row>
    <row r="603" spans="1:8" ht="30" x14ac:dyDescent="0.25">
      <c r="A603" s="225" t="str">
        <f>Database!A617</f>
        <v>17REF007</v>
      </c>
      <c r="B603" s="34" t="str">
        <f>Database!E617</f>
        <v>NEUROSERVICE</v>
      </c>
      <c r="C603" s="34" t="str">
        <f>Database!F617</f>
        <v>L-AP4</v>
      </c>
      <c r="D603" s="34">
        <f>Database!K617</f>
        <v>183.1</v>
      </c>
      <c r="E603" s="34" t="str">
        <f>Database!P617</f>
        <v>10 mg</v>
      </c>
      <c r="F603" s="34" t="str">
        <f>Database!Q617</f>
        <v>H2O mQ to 100 mM</v>
      </c>
      <c r="G603" s="462">
        <f>Database!R617</f>
        <v>0.99</v>
      </c>
      <c r="H603" s="35">
        <f>Database!N617</f>
        <v>42751</v>
      </c>
    </row>
    <row r="604" spans="1:8" ht="30" x14ac:dyDescent="0.25">
      <c r="A604" s="225" t="str">
        <f>Database!A618</f>
        <v>17REF008</v>
      </c>
      <c r="B604" s="34" t="str">
        <f>Database!E618</f>
        <v>NEUROSERVICE</v>
      </c>
      <c r="C604" s="34" t="str">
        <f>Database!F618</f>
        <v>DCG IV</v>
      </c>
      <c r="D604" s="34">
        <f>Database!K618</f>
        <v>203.15</v>
      </c>
      <c r="E604" s="34" t="str">
        <f>Database!P618</f>
        <v>10 mg</v>
      </c>
      <c r="F604" s="34" t="str">
        <f>Database!Q618</f>
        <v>H2O mQ to100 mM</v>
      </c>
      <c r="G604" s="462">
        <f>Database!R618</f>
        <v>0.99399999999999999</v>
      </c>
      <c r="H604" s="35">
        <f>Database!N618</f>
        <v>42753</v>
      </c>
    </row>
    <row r="605" spans="1:8" ht="30" x14ac:dyDescent="0.25">
      <c r="A605" s="225" t="str">
        <f>Database!A619</f>
        <v>17REF009</v>
      </c>
      <c r="B605" s="34" t="str">
        <f>Database!E619</f>
        <v>NEUROSERVICE</v>
      </c>
      <c r="C605" s="34" t="str">
        <f>Database!F619</f>
        <v>Domoic Acid</v>
      </c>
      <c r="D605" s="34">
        <f>Database!K619</f>
        <v>315.83999999999997</v>
      </c>
      <c r="E605" s="34" t="str">
        <f>Database!P619</f>
        <v>1 mg</v>
      </c>
      <c r="F605" s="34" t="str">
        <f>Database!Q619</f>
        <v>H2O mQ to 25 mM</v>
      </c>
      <c r="G605" s="462">
        <f>Database!R619</f>
        <v>0.99</v>
      </c>
      <c r="H605" s="35">
        <f>Database!N619</f>
        <v>42753</v>
      </c>
    </row>
    <row r="606" spans="1:8" ht="45" x14ac:dyDescent="0.25">
      <c r="A606" s="225" t="str">
        <f>Database!A620</f>
        <v>17REF010</v>
      </c>
      <c r="B606" s="34" t="str">
        <f>Database!E620</f>
        <v>NEUROSERVICE</v>
      </c>
      <c r="C606" s="34" t="str">
        <f>Database!F620</f>
        <v>GYKI 53655</v>
      </c>
      <c r="D606" s="34">
        <f>Database!K620</f>
        <v>429.39</v>
      </c>
      <c r="E606" s="34" t="str">
        <f>Database!P620</f>
        <v>10 mg</v>
      </c>
      <c r="F606" s="34" t="str">
        <f>Database!Q620</f>
        <v>H2O mQ, DMSO to 100 mM</v>
      </c>
      <c r="G606" s="462">
        <f>Database!R620</f>
        <v>0.99</v>
      </c>
      <c r="H606" s="35">
        <f>Database!N620</f>
        <v>42753</v>
      </c>
    </row>
    <row r="607" spans="1:8" ht="30" x14ac:dyDescent="0.25">
      <c r="A607" s="225" t="str">
        <f>Database!A621</f>
        <v>17SAM011</v>
      </c>
      <c r="B607" s="34" t="str">
        <f>Database!E621</f>
        <v>SAGE</v>
      </c>
      <c r="C607" s="34" t="str">
        <f>Database!F621</f>
        <v>SGE-00237-04-A</v>
      </c>
      <c r="D607" s="34">
        <f>Database!K621</f>
        <v>416.64</v>
      </c>
      <c r="E607" s="34" t="str">
        <f>Database!P621</f>
        <v>22.1 mg</v>
      </c>
      <c r="F607" s="34" t="str">
        <f>Database!Q621</f>
        <v>DMSO</v>
      </c>
      <c r="G607" s="462">
        <f>Database!R621</f>
        <v>0</v>
      </c>
      <c r="H607" s="35">
        <f>Database!N621</f>
        <v>42754</v>
      </c>
    </row>
    <row r="608" spans="1:8" ht="23.25" x14ac:dyDescent="0.25">
      <c r="A608" s="225" t="str">
        <f>Database!A622</f>
        <v>17SAM012</v>
      </c>
      <c r="B608" s="34" t="str">
        <f>Database!E622</f>
        <v>SERVIER</v>
      </c>
      <c r="C608" s="34" t="str">
        <f>Database!F622</f>
        <v>S208326-1</v>
      </c>
      <c r="D608" s="34">
        <f>Database!K622</f>
        <v>530.529</v>
      </c>
      <c r="E608" s="34" t="str">
        <f>Database!P622</f>
        <v>14.56mg</v>
      </c>
      <c r="F608" s="34" t="str">
        <f>Database!Q622</f>
        <v>DMSO</v>
      </c>
      <c r="G608" s="462">
        <f>Database!R622</f>
        <v>0</v>
      </c>
      <c r="H608" s="35">
        <f>Database!N622</f>
        <v>42755</v>
      </c>
    </row>
    <row r="609" spans="1:8" ht="105" x14ac:dyDescent="0.25">
      <c r="A609" s="225" t="str">
        <f>Database!A623</f>
        <v>17SAM013</v>
      </c>
      <c r="B609" s="34" t="str">
        <f>Database!E623</f>
        <v>QUARTET</v>
      </c>
      <c r="C609" s="34" t="str">
        <f>Database!F623</f>
        <v>BH4</v>
      </c>
      <c r="D609" s="34">
        <f>Database!K623</f>
        <v>314.17</v>
      </c>
      <c r="E609" s="34" t="str">
        <f>Database!P623</f>
        <v>5 mg</v>
      </c>
      <c r="F609" s="34" t="str">
        <f>Database!Q623</f>
        <v>20,0 mg/ml Free oxygen water (check specification sheet)</v>
      </c>
      <c r="G609" s="462">
        <f>Database!R623</f>
        <v>0</v>
      </c>
      <c r="H609" s="35">
        <f>Database!N623</f>
        <v>42760</v>
      </c>
    </row>
    <row r="610" spans="1:8" ht="45" x14ac:dyDescent="0.25">
      <c r="A610" s="225" t="str">
        <f>Database!A624</f>
        <v>17SAM014</v>
      </c>
      <c r="B610" s="34" t="str">
        <f>Database!E624</f>
        <v>SERVIER</v>
      </c>
      <c r="C610" s="34" t="str">
        <f>Database!F624</f>
        <v>Dopamine Hydrochloride</v>
      </c>
      <c r="D610" s="34">
        <f>Database!K624</f>
        <v>189.64</v>
      </c>
      <c r="E610" s="34" t="str">
        <f>Database!P624</f>
        <v>1 g</v>
      </c>
      <c r="F610" s="34" t="str">
        <f>Database!Q624</f>
        <v>H2O mQ</v>
      </c>
      <c r="G610" s="462">
        <f>Database!R624</f>
        <v>0.999</v>
      </c>
      <c r="H610" s="35">
        <f>Database!N624</f>
        <v>42761</v>
      </c>
    </row>
    <row r="611" spans="1:8" ht="30" x14ac:dyDescent="0.25">
      <c r="A611" s="225" t="str">
        <f>Database!A625</f>
        <v>17SAM015</v>
      </c>
      <c r="B611" s="34" t="str">
        <f>Database!E625</f>
        <v>TAKEDA</v>
      </c>
      <c r="C611" s="34" t="str">
        <f>Database!F625</f>
        <v>SYR253625B</v>
      </c>
      <c r="D611" s="34">
        <f>Database!K625</f>
        <v>485.52600000000001</v>
      </c>
      <c r="E611" s="34" t="str">
        <f>Database!P625</f>
        <v>100 µL</v>
      </c>
      <c r="F611" s="34" t="str">
        <f>Database!Q625</f>
        <v>10 mM in DMSO</v>
      </c>
      <c r="G611" s="462" t="str">
        <f>Database!R625</f>
        <v>NC</v>
      </c>
      <c r="H611" s="35">
        <f>Database!N625</f>
        <v>42762</v>
      </c>
    </row>
    <row r="612" spans="1:8" ht="30" x14ac:dyDescent="0.25">
      <c r="A612" s="225" t="str">
        <f>Database!A626</f>
        <v>17SAM016</v>
      </c>
      <c r="B612" s="34" t="str">
        <f>Database!E626</f>
        <v>TAKEDA</v>
      </c>
      <c r="C612" s="34" t="str">
        <f>Database!F626</f>
        <v>SYR302127A</v>
      </c>
      <c r="D612" s="34">
        <f>Database!K626</f>
        <v>374.404</v>
      </c>
      <c r="E612" s="34" t="str">
        <f>Database!P626</f>
        <v>100 µL</v>
      </c>
      <c r="F612" s="34" t="str">
        <f>Database!Q626</f>
        <v>10 mM in DMSO</v>
      </c>
      <c r="G612" s="462" t="str">
        <f>Database!R626</f>
        <v>NC</v>
      </c>
      <c r="H612" s="35">
        <f>Database!N626</f>
        <v>42762</v>
      </c>
    </row>
    <row r="613" spans="1:8" ht="30" x14ac:dyDescent="0.25">
      <c r="A613" s="225" t="str">
        <f>Database!A627</f>
        <v>17SAM017</v>
      </c>
      <c r="B613" s="34" t="str">
        <f>Database!E627</f>
        <v>TAKEDA</v>
      </c>
      <c r="C613" s="34" t="str">
        <f>Database!F627</f>
        <v>SYR300590A</v>
      </c>
      <c r="D613" s="34">
        <f>Database!K627</f>
        <v>304.43400000000003</v>
      </c>
      <c r="E613" s="34" t="str">
        <f>Database!P627</f>
        <v xml:space="preserve">100 µL </v>
      </c>
      <c r="F613" s="34" t="str">
        <f>Database!Q627</f>
        <v>10 mM in DMSO</v>
      </c>
      <c r="G613" s="462" t="str">
        <f>Database!R627</f>
        <v>NC</v>
      </c>
      <c r="H613" s="35">
        <f>Database!N627</f>
        <v>42762</v>
      </c>
    </row>
    <row r="614" spans="1:8" ht="45" x14ac:dyDescent="0.25">
      <c r="A614" s="225" t="str">
        <f>Database!A628</f>
        <v>17SAM018</v>
      </c>
      <c r="B614" s="34" t="str">
        <f>Database!E628</f>
        <v>TAKEDA</v>
      </c>
      <c r="C614" s="34" t="str">
        <f>Database!F628</f>
        <v>L-803,087 trifluoroacetate</v>
      </c>
      <c r="D614" s="34">
        <f>Database!K628</f>
        <v>599.55999999999995</v>
      </c>
      <c r="E614" s="34" t="str">
        <f>Database!P628</f>
        <v>10 mg</v>
      </c>
      <c r="F614" s="34" t="str">
        <f>Database!Q628</f>
        <v>up to 100 mM DMSO</v>
      </c>
      <c r="G614" s="462">
        <f>Database!R628</f>
        <v>0.98299999999999998</v>
      </c>
      <c r="H614" s="35">
        <f>Database!N628</f>
        <v>42768</v>
      </c>
    </row>
    <row r="615" spans="1:8" ht="30" x14ac:dyDescent="0.25">
      <c r="A615" s="225" t="str">
        <f>Database!A629</f>
        <v>17SAM019</v>
      </c>
      <c r="B615" s="34" t="str">
        <f>Database!E629</f>
        <v>AMGEN</v>
      </c>
      <c r="C615" s="34" t="str">
        <f>Database!F629</f>
        <v>Octreotide</v>
      </c>
      <c r="D615" s="34">
        <f>Database!K629</f>
        <v>1019.24</v>
      </c>
      <c r="E615" s="34" t="str">
        <f>Database!P629</f>
        <v>1 mg</v>
      </c>
      <c r="F615" s="34" t="str">
        <f>Database!Q629</f>
        <v>1.20 mg/mL in H2O mQ</v>
      </c>
      <c r="G615" s="462">
        <f>Database!R629</f>
        <v>0.86499999999999999</v>
      </c>
      <c r="H615" s="35">
        <f>Database!N629</f>
        <v>42768</v>
      </c>
    </row>
    <row r="616" spans="1:8" ht="30" x14ac:dyDescent="0.25">
      <c r="A616" s="225" t="str">
        <f>Database!A630</f>
        <v>17SAM020</v>
      </c>
      <c r="B616" s="34" t="str">
        <f>Database!E630</f>
        <v>BOEHRINGER</v>
      </c>
      <c r="C616" s="34" t="str">
        <f>Database!F630</f>
        <v>Human NRG1</v>
      </c>
      <c r="D616" s="34" t="str">
        <f>Database!K630</f>
        <v>7kDa</v>
      </c>
      <c r="E616" s="34" t="str">
        <f>Database!P630</f>
        <v>1 mg</v>
      </c>
      <c r="F616" s="34" t="str">
        <f>Database!Q630</f>
        <v>[C]min 0.1mg/mL</v>
      </c>
      <c r="G616" s="462">
        <f>Database!R630</f>
        <v>0.96</v>
      </c>
      <c r="H616" s="35">
        <f>Database!N630</f>
        <v>42769</v>
      </c>
    </row>
    <row r="617" spans="1:8" ht="30" x14ac:dyDescent="0.25">
      <c r="A617" s="225" t="str">
        <f>Database!A631</f>
        <v>17SAM021</v>
      </c>
      <c r="B617" s="34" t="str">
        <f>Database!E631</f>
        <v>BOEHRINGER</v>
      </c>
      <c r="C617" s="34" t="str">
        <f>Database!F631</f>
        <v>Human NRG1</v>
      </c>
      <c r="D617" s="34" t="str">
        <f>Database!K631</f>
        <v>7kDa</v>
      </c>
      <c r="E617" s="34" t="str">
        <f>Database!P631</f>
        <v>1 mg</v>
      </c>
      <c r="F617" s="34" t="str">
        <f>Database!Q631</f>
        <v>[C]min 0.1mg/mL</v>
      </c>
      <c r="G617" s="462">
        <f>Database!R631</f>
        <v>0.96</v>
      </c>
      <c r="H617" s="35">
        <f>Database!N631</f>
        <v>42769</v>
      </c>
    </row>
    <row r="618" spans="1:8" ht="30" x14ac:dyDescent="0.25">
      <c r="A618" s="225" t="str">
        <f>Database!A632</f>
        <v>17SAM022</v>
      </c>
      <c r="B618" s="34" t="str">
        <f>Database!E632</f>
        <v>TAKEDA</v>
      </c>
      <c r="C618" s="34" t="str">
        <f>Database!F632</f>
        <v>SYR302127A</v>
      </c>
      <c r="D618" s="34">
        <f>Database!K632</f>
        <v>374.404</v>
      </c>
      <c r="E618" s="34" t="str">
        <f>Database!P632</f>
        <v>20.2 mg</v>
      </c>
      <c r="F618" s="34" t="str">
        <f>Database!Q632</f>
        <v>20 mM in DMSO</v>
      </c>
      <c r="G618" s="462" t="str">
        <f>Database!R632</f>
        <v>NC</v>
      </c>
      <c r="H618" s="35">
        <f>Database!N632</f>
        <v>42769</v>
      </c>
    </row>
    <row r="619" spans="1:8" ht="30" x14ac:dyDescent="0.25">
      <c r="A619" s="225" t="str">
        <f>Database!A633</f>
        <v>17SAM023</v>
      </c>
      <c r="B619" s="34" t="str">
        <f>Database!E633</f>
        <v>TAKEDA</v>
      </c>
      <c r="C619" s="34" t="str">
        <f>Database!F633</f>
        <v>SYR300590A</v>
      </c>
      <c r="D619" s="34">
        <f>Database!K633</f>
        <v>304.43400000000003</v>
      </c>
      <c r="E619" s="34" t="str">
        <f>Database!P633</f>
        <v>20.07 mg</v>
      </c>
      <c r="F619" s="34" t="str">
        <f>Database!Q633</f>
        <v>20 mM i n DMSO</v>
      </c>
      <c r="G619" s="462" t="str">
        <f>Database!R633</f>
        <v>NC</v>
      </c>
      <c r="H619" s="35">
        <f>Database!N633</f>
        <v>42769</v>
      </c>
    </row>
    <row r="620" spans="1:8" ht="23.25" x14ac:dyDescent="0.25">
      <c r="A620" s="225" t="str">
        <f>Database!A634</f>
        <v>17SAM024</v>
      </c>
      <c r="B620" s="34" t="str">
        <f>Database!E634</f>
        <v>AMGEN</v>
      </c>
      <c r="C620" s="34" t="str">
        <f>Database!F634</f>
        <v>3179322#5</v>
      </c>
      <c r="D620" s="34">
        <f>Database!K634</f>
        <v>442.34399999999999</v>
      </c>
      <c r="E620" s="34" t="str">
        <f>Database!P634</f>
        <v>10.22 mg</v>
      </c>
      <c r="F620" s="34" t="str">
        <f>Database!Q634</f>
        <v xml:space="preserve">DMSO </v>
      </c>
      <c r="G620" s="462" t="str">
        <f>Database!R634</f>
        <v>NC</v>
      </c>
      <c r="H620" s="35">
        <f>Database!N634</f>
        <v>42772</v>
      </c>
    </row>
    <row r="621" spans="1:8" ht="30" x14ac:dyDescent="0.25">
      <c r="A621" s="225" t="str">
        <f>Database!A635</f>
        <v>17SAM025</v>
      </c>
      <c r="B621" s="34" t="str">
        <f>Database!E635</f>
        <v>LEAD DISCOVERY</v>
      </c>
      <c r="C621" s="34" t="str">
        <f>Database!F635</f>
        <v>LDC203294:02</v>
      </c>
      <c r="D621" s="34">
        <f>Database!K635</f>
        <v>307.44</v>
      </c>
      <c r="E621" s="34" t="str">
        <f>Database!P635</f>
        <v>61.65 mg</v>
      </c>
      <c r="F621" s="34" t="str">
        <f>Database!Q635</f>
        <v>DMSO</v>
      </c>
      <c r="G621" s="462" t="str">
        <f>Database!R635</f>
        <v>NC</v>
      </c>
      <c r="H621" s="35">
        <f>Database!N635</f>
        <v>42775</v>
      </c>
    </row>
    <row r="622" spans="1:8" ht="30" x14ac:dyDescent="0.25">
      <c r="A622" s="225" t="str">
        <f>Database!A636</f>
        <v>17SAM026</v>
      </c>
      <c r="B622" s="34" t="str">
        <f>Database!E636</f>
        <v>LEAD DISCOVERY</v>
      </c>
      <c r="C622" s="34" t="str">
        <f>Database!F636</f>
        <v>LDC202434:01</v>
      </c>
      <c r="D622" s="34">
        <f>Database!K636</f>
        <v>329.4</v>
      </c>
      <c r="E622" s="34" t="str">
        <f>Database!P636</f>
        <v>61.26 mg</v>
      </c>
      <c r="F622" s="34" t="str">
        <f>Database!Q636</f>
        <v>DMSO</v>
      </c>
      <c r="G622" s="462" t="str">
        <f>Database!R636</f>
        <v>NC</v>
      </c>
      <c r="H622" s="35">
        <f>Database!N636</f>
        <v>42775</v>
      </c>
    </row>
    <row r="623" spans="1:8" ht="45" x14ac:dyDescent="0.25">
      <c r="A623" s="225" t="str">
        <f>Database!A637</f>
        <v>17SAM027</v>
      </c>
      <c r="B623" s="34" t="str">
        <f>Database!E637</f>
        <v>CHDI</v>
      </c>
      <c r="C623" s="34" t="str">
        <f>Database!F637</f>
        <v>CHDI-00485194-0000-003</v>
      </c>
      <c r="D623" s="34">
        <f>Database!K637</f>
        <v>407.48200000000003</v>
      </c>
      <c r="E623" s="34" t="str">
        <f>Database!P637</f>
        <v>10 mg</v>
      </c>
      <c r="F623" s="34" t="str">
        <f>Database!Q637</f>
        <v>DMSO</v>
      </c>
      <c r="G623" s="462">
        <f>Database!R637</f>
        <v>0.99</v>
      </c>
      <c r="H623" s="35">
        <f>Database!N637</f>
        <v>42789</v>
      </c>
    </row>
    <row r="624" spans="1:8" ht="30" x14ac:dyDescent="0.25">
      <c r="A624" s="225" t="str">
        <f>Database!A638</f>
        <v>17REF028</v>
      </c>
      <c r="B624" s="34" t="str">
        <f>Database!E638</f>
        <v>NEUROSERVICE</v>
      </c>
      <c r="C624" s="34" t="str">
        <f>Database!F638</f>
        <v>Perampanel</v>
      </c>
      <c r="D624" s="34" t="str">
        <f>Database!K638</f>
        <v>349.3847 Da</v>
      </c>
      <c r="E624" s="34" t="str">
        <f>Database!P638</f>
        <v>100 mg</v>
      </c>
      <c r="F624" s="34" t="str">
        <f>Database!Q638</f>
        <v>DMSO</v>
      </c>
      <c r="G624" s="462">
        <f>Database!R638</f>
        <v>0.98</v>
      </c>
      <c r="H624" s="35">
        <f>Database!N638</f>
        <v>42794</v>
      </c>
    </row>
    <row r="625" spans="1:8" ht="30" x14ac:dyDescent="0.25">
      <c r="A625" s="225" t="str">
        <f>Database!A639</f>
        <v>17SAM029</v>
      </c>
      <c r="B625" s="34" t="str">
        <f>Database!E639</f>
        <v>SAGE</v>
      </c>
      <c r="C625" s="34" t="str">
        <f>Database!F639</f>
        <v>SGE-00122-02-A</v>
      </c>
      <c r="D625" s="34">
        <f>Database!K639</f>
        <v>420.67</v>
      </c>
      <c r="E625" s="34" t="str">
        <f>Database!P639</f>
        <v>15 mg</v>
      </c>
      <c r="F625" s="34" t="str">
        <f>Database!Q639</f>
        <v>10 mM in DMSO</v>
      </c>
      <c r="G625" s="462" t="str">
        <f>Database!R639</f>
        <v>NC</v>
      </c>
      <c r="H625" s="35">
        <f>Database!N639</f>
        <v>42803</v>
      </c>
    </row>
    <row r="626" spans="1:8" ht="60" x14ac:dyDescent="0.25">
      <c r="A626" s="225" t="str">
        <f>Database!A640</f>
        <v>17REF030</v>
      </c>
      <c r="B626" s="34" t="str">
        <f>Database!E640</f>
        <v>NEUROSERVICE</v>
      </c>
      <c r="C626" s="34" t="str">
        <f>Database!F640</f>
        <v>Penicillin streptomycin (10 000 U/mL)</v>
      </c>
      <c r="D626" s="34" t="str">
        <f>Database!K640</f>
        <v>-</v>
      </c>
      <c r="E626" s="34" t="str">
        <f>Database!P640</f>
        <v>20 mL</v>
      </c>
      <c r="F626" s="34">
        <f>Database!Q640</f>
        <v>0</v>
      </c>
      <c r="G626" s="462">
        <f>Database!R640</f>
        <v>0</v>
      </c>
      <c r="H626" s="35">
        <f>Database!N640</f>
        <v>42804</v>
      </c>
    </row>
    <row r="627" spans="1:8" ht="45" x14ac:dyDescent="0.25">
      <c r="A627" s="225" t="str">
        <f>Database!A641</f>
        <v>17REF031</v>
      </c>
      <c r="B627" s="34" t="str">
        <f>Database!E641</f>
        <v>NEUROSERVICE</v>
      </c>
      <c r="C627" s="34" t="str">
        <f>Database!F641</f>
        <v>L-AP4</v>
      </c>
      <c r="D627" s="34">
        <f>Database!K641</f>
        <v>183.1</v>
      </c>
      <c r="E627" s="34" t="str">
        <f>Database!P641</f>
        <v>10 mg</v>
      </c>
      <c r="F627" s="34" t="str">
        <f>Database!Q641</f>
        <v>Up to 100 mM in H2O mQ</v>
      </c>
      <c r="G627" s="462">
        <f>Database!R641</f>
        <v>0.99</v>
      </c>
      <c r="H627" s="35">
        <f>Database!N641</f>
        <v>42809</v>
      </c>
    </row>
    <row r="628" spans="1:8" ht="45" x14ac:dyDescent="0.25">
      <c r="A628" s="225" t="str">
        <f>Database!A642</f>
        <v>17REF032</v>
      </c>
      <c r="B628" s="34" t="str">
        <f>Database!E642</f>
        <v>NEUROSERVICE</v>
      </c>
      <c r="C628" s="34" t="str">
        <f>Database!F642</f>
        <v>Nifedipine</v>
      </c>
      <c r="D628" s="34">
        <f>Database!K642</f>
        <v>346.34</v>
      </c>
      <c r="E628" s="34" t="str">
        <f>Database!P642</f>
        <v>250 mg</v>
      </c>
      <c r="F628" s="34" t="str">
        <f>Database!Q642</f>
        <v>Up to 100 mM in DMSO</v>
      </c>
      <c r="G628" s="462">
        <f>Database!R642</f>
        <v>0.99</v>
      </c>
      <c r="H628" s="35">
        <f>Database!N642</f>
        <v>42809</v>
      </c>
    </row>
    <row r="629" spans="1:8" ht="45" x14ac:dyDescent="0.25">
      <c r="A629" s="225" t="str">
        <f>Database!A643</f>
        <v>17REF033</v>
      </c>
      <c r="B629" s="34" t="str">
        <f>Database!E643</f>
        <v>NEUROSERVICE</v>
      </c>
      <c r="C629" s="34" t="str">
        <f>Database!F643</f>
        <v>D-AP5</v>
      </c>
      <c r="D629" s="34">
        <f>Database!K643</f>
        <v>197.13</v>
      </c>
      <c r="E629" s="34" t="str">
        <f>Database!P643</f>
        <v>50 mg</v>
      </c>
      <c r="F629" s="34" t="str">
        <f>Database!Q643</f>
        <v>Up to 100 mM in H2O mQ</v>
      </c>
      <c r="G629" s="462">
        <f>Database!R643</f>
        <v>0.99</v>
      </c>
      <c r="H629" s="35">
        <f>Database!N643</f>
        <v>42814</v>
      </c>
    </row>
    <row r="630" spans="1:8" ht="45" x14ac:dyDescent="0.25">
      <c r="A630" s="225" t="str">
        <f>Database!A644</f>
        <v>17REF034</v>
      </c>
      <c r="B630" s="34" t="str">
        <f>Database!E644</f>
        <v>NEUROSERVICE</v>
      </c>
      <c r="C630" s="34" t="str">
        <f>Database!F644</f>
        <v>D-AP5</v>
      </c>
      <c r="D630" s="34">
        <f>Database!K644</f>
        <v>197.13</v>
      </c>
      <c r="E630" s="34" t="str">
        <f>Database!P644</f>
        <v>50 mg</v>
      </c>
      <c r="F630" s="34" t="str">
        <f>Database!Q644</f>
        <v>Up to 100 mM in H2O mQ</v>
      </c>
      <c r="G630" s="462">
        <f>Database!R644</f>
        <v>0.99</v>
      </c>
      <c r="H630" s="35">
        <f>Database!N644</f>
        <v>42814</v>
      </c>
    </row>
    <row r="631" spans="1:8" ht="60" x14ac:dyDescent="0.25">
      <c r="A631" s="225" t="str">
        <f>Database!A645</f>
        <v>17REF035</v>
      </c>
      <c r="B631" s="34" t="str">
        <f>Database!E645</f>
        <v>NEUROSERVICE</v>
      </c>
      <c r="C631" s="34" t="str">
        <f>Database!F645</f>
        <v>(1S,3R)-ACPD</v>
      </c>
      <c r="D631" s="34">
        <f>Database!K645</f>
        <v>173.17</v>
      </c>
      <c r="E631" s="34" t="str">
        <f>Database!P645</f>
        <v>10 mg</v>
      </c>
      <c r="F631" s="34" t="str">
        <f>Database!Q645</f>
        <v>H2OmQ to 30 mM, 1 eq NaOH to 100 mM</v>
      </c>
      <c r="G631" s="462">
        <f>Database!R645</f>
        <v>0.99199999999999999</v>
      </c>
      <c r="H631" s="35">
        <f>Database!N645</f>
        <v>42815</v>
      </c>
    </row>
    <row r="632" spans="1:8" ht="45" x14ac:dyDescent="0.25">
      <c r="A632" s="225" t="str">
        <f>Database!A646</f>
        <v>17REF036</v>
      </c>
      <c r="B632" s="34" t="str">
        <f>Database!E646</f>
        <v>NEUROSERVICE</v>
      </c>
      <c r="C632" s="34" t="str">
        <f>Database!F646</f>
        <v>ACDPP hydrochloride</v>
      </c>
      <c r="D632" s="34">
        <f>Database!K646</f>
        <v>333.69</v>
      </c>
      <c r="E632" s="34" t="str">
        <f>Database!P646</f>
        <v>10 mg</v>
      </c>
      <c r="F632" s="34" t="str">
        <f>Database!Q646</f>
        <v>DMSO to 100 mM</v>
      </c>
      <c r="G632" s="462">
        <f>Database!R646</f>
        <v>1</v>
      </c>
      <c r="H632" s="35">
        <f>Database!N646</f>
        <v>42815</v>
      </c>
    </row>
    <row r="633" spans="1:8" ht="30" x14ac:dyDescent="0.25">
      <c r="A633" s="225" t="str">
        <f>Database!A647</f>
        <v>17REF037</v>
      </c>
      <c r="B633" s="34" t="str">
        <f>Database!E647</f>
        <v>NEUROSERVICE</v>
      </c>
      <c r="C633" s="34" t="str">
        <f>Database!F647</f>
        <v>Tetrodotoxin (TTX)</v>
      </c>
      <c r="D633" s="34">
        <f>Database!K647</f>
        <v>319.27999999999997</v>
      </c>
      <c r="E633" s="34" t="str">
        <f>Database!P647</f>
        <v>5*1 mg</v>
      </c>
      <c r="F633" s="34" t="str">
        <f>Database!Q647</f>
        <v>Tampon citatre</v>
      </c>
      <c r="G633" s="462">
        <f>Database!R647</f>
        <v>0.99</v>
      </c>
      <c r="H633" s="35">
        <f>Database!N647</f>
        <v>42816</v>
      </c>
    </row>
    <row r="634" spans="1:8" ht="30" x14ac:dyDescent="0.25">
      <c r="A634" s="225" t="str">
        <f>Database!A648</f>
        <v>17REF038</v>
      </c>
      <c r="B634" s="34" t="str">
        <f>Database!E648</f>
        <v>NEUROSERVICE</v>
      </c>
      <c r="C634" s="34" t="str">
        <f>Database!F648</f>
        <v>Tetrodotoxin (TTX)</v>
      </c>
      <c r="D634" s="34">
        <f>Database!K648</f>
        <v>319.27999999999997</v>
      </c>
      <c r="E634" s="34" t="str">
        <f>Database!P648</f>
        <v>5*1 mg</v>
      </c>
      <c r="F634" s="34" t="str">
        <f>Database!Q648</f>
        <v>Tampon citatre</v>
      </c>
      <c r="G634" s="462">
        <f>Database!R648</f>
        <v>0.99</v>
      </c>
      <c r="H634" s="35">
        <f>Database!N648</f>
        <v>42816</v>
      </c>
    </row>
    <row r="635" spans="1:8" ht="30" x14ac:dyDescent="0.25">
      <c r="A635" s="225" t="str">
        <f>Database!A649</f>
        <v>17SAM039</v>
      </c>
      <c r="B635" s="34" t="str">
        <f>Database!E649</f>
        <v>GSK</v>
      </c>
      <c r="C635" s="34" t="str">
        <f>Database!F649</f>
        <v>GSK3738185A</v>
      </c>
      <c r="D635" s="34">
        <f>Database!K649</f>
        <v>393.86</v>
      </c>
      <c r="E635" s="34" t="str">
        <f>Database!P649</f>
        <v>20.2 mg</v>
      </c>
      <c r="F635" s="34" t="str">
        <f>Database!Q649</f>
        <v>DMSO</v>
      </c>
      <c r="G635" s="462">
        <f>Database!R649</f>
        <v>0.99780000000000002</v>
      </c>
      <c r="H635" s="35">
        <f>Database!N649</f>
        <v>42821</v>
      </c>
    </row>
    <row r="636" spans="1:8" ht="30" x14ac:dyDescent="0.25">
      <c r="A636" s="225" t="str">
        <f>Database!A650</f>
        <v>17SAM040</v>
      </c>
      <c r="B636" s="34" t="str">
        <f>Database!E650</f>
        <v>GSK</v>
      </c>
      <c r="C636" s="34" t="str">
        <f>Database!F650</f>
        <v>GSK3772820A</v>
      </c>
      <c r="D636" s="34">
        <f>Database!K650</f>
        <v>427.42</v>
      </c>
      <c r="E636" s="34" t="str">
        <f>Database!P650</f>
        <v>20.1 mg</v>
      </c>
      <c r="F636" s="34" t="str">
        <f>Database!Q650</f>
        <v>DMSO</v>
      </c>
      <c r="G636" s="462">
        <f>Database!R650</f>
        <v>0.99009999999999998</v>
      </c>
      <c r="H636" s="35">
        <f>Database!N650</f>
        <v>42821</v>
      </c>
    </row>
    <row r="637" spans="1:8" ht="30" x14ac:dyDescent="0.25">
      <c r="A637" s="225" t="str">
        <f>Database!A651</f>
        <v>17SAM041</v>
      </c>
      <c r="B637" s="34" t="str">
        <f>Database!E651</f>
        <v>GSK</v>
      </c>
      <c r="C637" s="34" t="str">
        <f>Database!F651</f>
        <v>GSK3844775A</v>
      </c>
      <c r="D637" s="34">
        <f>Database!K651</f>
        <v>431.46</v>
      </c>
      <c r="E637" s="34" t="str">
        <f>Database!P651</f>
        <v>20.5 mg</v>
      </c>
      <c r="F637" s="34" t="str">
        <f>Database!Q651</f>
        <v>DMSO</v>
      </c>
      <c r="G637" s="462">
        <f>Database!R651</f>
        <v>0.99760000000000004</v>
      </c>
      <c r="H637" s="35">
        <f>Database!N651</f>
        <v>42821</v>
      </c>
    </row>
    <row r="638" spans="1:8" ht="30" x14ac:dyDescent="0.25">
      <c r="A638" s="225" t="str">
        <f>Database!A652</f>
        <v>17SAM042</v>
      </c>
      <c r="B638" s="34" t="str">
        <f>Database!E652</f>
        <v>GSK</v>
      </c>
      <c r="C638" s="34" t="str">
        <f>Database!F652</f>
        <v>GSK3799355A</v>
      </c>
      <c r="D638" s="34">
        <f>Database!K652</f>
        <v>411.45</v>
      </c>
      <c r="E638" s="34" t="str">
        <f>Database!P652</f>
        <v>20.5 mg</v>
      </c>
      <c r="F638" s="34" t="str">
        <f>Database!Q652</f>
        <v>DMSO</v>
      </c>
      <c r="G638" s="462">
        <f>Database!R652</f>
        <v>0.99560000000000004</v>
      </c>
      <c r="H638" s="35">
        <f>Database!N652</f>
        <v>42821</v>
      </c>
    </row>
    <row r="639" spans="1:8" ht="45" x14ac:dyDescent="0.25">
      <c r="A639" s="225" t="str">
        <f>Database!A653</f>
        <v>17SAM043</v>
      </c>
      <c r="B639" s="34" t="str">
        <f>Database!E653</f>
        <v>SAGE</v>
      </c>
      <c r="C639" s="34" t="str">
        <f>Database!F653</f>
        <v>SGE-00122-02-A</v>
      </c>
      <c r="D639" s="34">
        <f>Database!K653</f>
        <v>420.67</v>
      </c>
      <c r="E639" s="34" t="str">
        <f>Database!P653</f>
        <v>30 mg</v>
      </c>
      <c r="F639" s="34" t="str">
        <f>Database!Q653</f>
        <v>up to 10 mM in DMSO</v>
      </c>
      <c r="G639" s="462" t="str">
        <f>Database!R653</f>
        <v>NC</v>
      </c>
      <c r="H639" s="35">
        <f>Database!N653</f>
        <v>42832</v>
      </c>
    </row>
    <row r="640" spans="1:8" ht="45" x14ac:dyDescent="0.25">
      <c r="A640" s="225" t="str">
        <f>Database!A654</f>
        <v>17SAM044</v>
      </c>
      <c r="B640" s="34" t="str">
        <f>Database!E654</f>
        <v>ATAXION</v>
      </c>
      <c r="C640" s="34" t="str">
        <f>Database!F654</f>
        <v>AN1883</v>
      </c>
      <c r="D640" s="34">
        <f>Database!K654</f>
        <v>378.42</v>
      </c>
      <c r="E640" s="34" t="str">
        <f>Database!P654</f>
        <v>12.1 mg</v>
      </c>
      <c r="F640" s="34" t="str">
        <f>Database!Q654</f>
        <v>up to 10 mM in DMSO</v>
      </c>
      <c r="G640" s="462" t="str">
        <f>Database!R654</f>
        <v>NC</v>
      </c>
      <c r="H640" s="35">
        <f>Database!N654</f>
        <v>42832</v>
      </c>
    </row>
    <row r="641" spans="1:8" ht="23.25" x14ac:dyDescent="0.25">
      <c r="A641" s="225" t="str">
        <f>Database!A655</f>
        <v>17SAM045</v>
      </c>
      <c r="B641" s="34" t="str">
        <f>Database!E655</f>
        <v>TAKEDA</v>
      </c>
      <c r="C641" s="34" t="str">
        <f>Database!F655</f>
        <v>SYR300375A</v>
      </c>
      <c r="D641" s="34">
        <f>Database!K655</f>
        <v>324.85000000000002</v>
      </c>
      <c r="E641" s="34" t="str">
        <f>Database!P655</f>
        <v>35.44 mg</v>
      </c>
      <c r="F641" s="34" t="str">
        <f>Database!Q655</f>
        <v>DMSO</v>
      </c>
      <c r="G641" s="462" t="str">
        <f>Database!R655</f>
        <v>NC</v>
      </c>
      <c r="H641" s="35">
        <f>Database!N655</f>
        <v>42836</v>
      </c>
    </row>
    <row r="642" spans="1:8" ht="23.25" x14ac:dyDescent="0.25">
      <c r="A642" s="225" t="str">
        <f>Database!A656</f>
        <v>17SAM046</v>
      </c>
      <c r="B642" s="34" t="str">
        <f>Database!E656</f>
        <v>TAKEDA</v>
      </c>
      <c r="C642" s="34" t="str">
        <f>Database!F656</f>
        <v>SYR312686A</v>
      </c>
      <c r="D642" s="34">
        <f>Database!K656</f>
        <v>389.42</v>
      </c>
      <c r="E642" s="34" t="str">
        <f>Database!P656</f>
        <v>35.56 mg</v>
      </c>
      <c r="F642" s="34" t="str">
        <f>Database!Q656</f>
        <v>DMSO</v>
      </c>
      <c r="G642" s="462" t="str">
        <f>Database!R656</f>
        <v>NC</v>
      </c>
      <c r="H642" s="35">
        <f>Database!N656</f>
        <v>42836</v>
      </c>
    </row>
    <row r="643" spans="1:8" ht="30" x14ac:dyDescent="0.25">
      <c r="A643" s="225" t="str">
        <f>Database!A657</f>
        <v>17REF047</v>
      </c>
      <c r="B643" s="34" t="str">
        <f>Database!E657</f>
        <v>NEUROSERVICE</v>
      </c>
      <c r="C643" s="34" t="str">
        <f>Database!F657</f>
        <v>HEPES</v>
      </c>
      <c r="D643" s="34">
        <f>Database!K657</f>
        <v>238.3</v>
      </c>
      <c r="E643" s="34" t="str">
        <f>Database!P657</f>
        <v>250 g</v>
      </c>
      <c r="F643" s="34" t="str">
        <f>Database!Q657</f>
        <v>H2O mQ to 500mg/mL</v>
      </c>
      <c r="G643" s="462">
        <f>Database!R657</f>
        <v>1</v>
      </c>
      <c r="H643" s="35">
        <f>Database!N657</f>
        <v>42844</v>
      </c>
    </row>
    <row r="644" spans="1:8" ht="30" x14ac:dyDescent="0.25">
      <c r="A644" s="225" t="str">
        <f>Database!A658</f>
        <v>17REF048</v>
      </c>
      <c r="B644" s="34" t="str">
        <f>Database!E658</f>
        <v>NEUROSERVICE</v>
      </c>
      <c r="C644" s="34" t="str">
        <f>Database!F658</f>
        <v>Kynurenic acid</v>
      </c>
      <c r="D644" s="34">
        <f>Database!K658</f>
        <v>189.17</v>
      </c>
      <c r="E644" s="34" t="str">
        <f>Database!P658</f>
        <v>5 g</v>
      </c>
      <c r="F644" s="34">
        <f>Database!Q658</f>
        <v>0</v>
      </c>
      <c r="G644" s="462">
        <f>Database!R658</f>
        <v>1</v>
      </c>
      <c r="H644" s="35">
        <f>Database!N658</f>
        <v>42844</v>
      </c>
    </row>
    <row r="645" spans="1:8" ht="30" x14ac:dyDescent="0.25">
      <c r="A645" s="225" t="str">
        <f>Database!A659</f>
        <v>17REF049</v>
      </c>
      <c r="B645" s="34" t="str">
        <f>Database!E659</f>
        <v>NEUROSERVICE</v>
      </c>
      <c r="C645" s="34" t="str">
        <f>Database!F659</f>
        <v>Kynurenic acid</v>
      </c>
      <c r="D645" s="34">
        <f>Database!K659</f>
        <v>189.17</v>
      </c>
      <c r="E645" s="34" t="str">
        <f>Database!P659</f>
        <v>5 g</v>
      </c>
      <c r="F645" s="34">
        <f>Database!Q659</f>
        <v>0</v>
      </c>
      <c r="G645" s="462">
        <f>Database!R659</f>
        <v>1</v>
      </c>
      <c r="H645" s="35">
        <f>Database!N659</f>
        <v>42844</v>
      </c>
    </row>
    <row r="646" spans="1:8" ht="30" x14ac:dyDescent="0.25">
      <c r="A646" s="225" t="str">
        <f>Database!A660</f>
        <v>17REF050</v>
      </c>
      <c r="B646" s="34" t="str">
        <f>Database!E660</f>
        <v>NEUROSERVICE</v>
      </c>
      <c r="C646" s="34" t="str">
        <f>Database!F660</f>
        <v>Bicuculline methiodide</v>
      </c>
      <c r="D646" s="34">
        <f>Database!K660</f>
        <v>509.29</v>
      </c>
      <c r="E646" s="34" t="str">
        <f>Database!P660</f>
        <v>50 mg</v>
      </c>
      <c r="F646" s="34" t="str">
        <f>Database!Q660</f>
        <v>H2O mQ to 10mg/mL</v>
      </c>
      <c r="G646" s="462">
        <f>Database!R660</f>
        <v>0.95599999999999996</v>
      </c>
      <c r="H646" s="35">
        <f>Database!N660</f>
        <v>42844</v>
      </c>
    </row>
    <row r="647" spans="1:8" ht="23.25" x14ac:dyDescent="0.25">
      <c r="A647" s="225" t="str">
        <f>Database!A661</f>
        <v>17SAM051</v>
      </c>
      <c r="B647" s="34" t="str">
        <f>Database!E661</f>
        <v>AMGEN</v>
      </c>
      <c r="C647" s="34" t="str">
        <f>Database!F661</f>
        <v>3355688#3</v>
      </c>
      <c r="D647" s="34">
        <f>Database!K661</f>
        <v>432.45699999999999</v>
      </c>
      <c r="E647" s="34" t="str">
        <f>Database!P661</f>
        <v>10,06 mg</v>
      </c>
      <c r="F647" s="34" t="str">
        <f>Database!Q661</f>
        <v>DMSO</v>
      </c>
      <c r="G647" s="462" t="str">
        <f>Database!R661</f>
        <v>NC</v>
      </c>
      <c r="H647" s="35">
        <f>Database!N661</f>
        <v>42846</v>
      </c>
    </row>
    <row r="648" spans="1:8" ht="60" x14ac:dyDescent="0.25">
      <c r="A648" s="225" t="str">
        <f>Database!A662</f>
        <v>17REF052</v>
      </c>
      <c r="B648" s="34" t="str">
        <f>Database!E662</f>
        <v>NEUROSERVICE</v>
      </c>
      <c r="C648" s="34" t="str">
        <f>Database!F662</f>
        <v>Poly-D-Lysine Hydrobromide</v>
      </c>
      <c r="D648" s="34">
        <f>Database!K662</f>
        <v>0</v>
      </c>
      <c r="E648" s="34" t="str">
        <f>Database!P662</f>
        <v>5 mg</v>
      </c>
      <c r="F648" s="34">
        <f>Database!Q662</f>
        <v>0</v>
      </c>
      <c r="G648" s="462">
        <f>Database!R662</f>
        <v>0</v>
      </c>
      <c r="H648" s="35">
        <f>Database!N662</f>
        <v>42852</v>
      </c>
    </row>
    <row r="649" spans="1:8" ht="23.25" x14ac:dyDescent="0.25">
      <c r="A649" s="225" t="str">
        <f>Database!A663</f>
        <v>17SAM053</v>
      </c>
      <c r="B649" s="34" t="str">
        <f>Database!E663</f>
        <v>MED LIFE</v>
      </c>
      <c r="C649" s="34" t="str">
        <f>Database!F663</f>
        <v>PPI 1040</v>
      </c>
      <c r="D649" s="34" t="str">
        <f>Database!K663</f>
        <v>NC</v>
      </c>
      <c r="E649" s="34" t="str">
        <f>Database!P663</f>
        <v>5* 100 µL</v>
      </c>
      <c r="F649" s="34" t="str">
        <f>Database!Q663</f>
        <v>DMSO</v>
      </c>
      <c r="G649" s="462" t="str">
        <f>Database!R663</f>
        <v>NC</v>
      </c>
      <c r="H649" s="35">
        <f>Database!N663</f>
        <v>42852</v>
      </c>
    </row>
    <row r="650" spans="1:8" ht="30" x14ac:dyDescent="0.25">
      <c r="A650" s="225" t="str">
        <f>Database!A664</f>
        <v>17REF054</v>
      </c>
      <c r="B650" s="34" t="str">
        <f>Database!E664</f>
        <v>NEUROSERVICE</v>
      </c>
      <c r="C650" s="34" t="str">
        <f>Database!F664</f>
        <v>Neurobasal A</v>
      </c>
      <c r="D650" s="34" t="str">
        <f>Database!K664</f>
        <v>NC</v>
      </c>
      <c r="E650" s="34" t="str">
        <f>Database!P664</f>
        <v>500 mL</v>
      </c>
      <c r="F650" s="34">
        <f>Database!Q664</f>
        <v>0</v>
      </c>
      <c r="G650" s="462">
        <f>Database!R664</f>
        <v>0</v>
      </c>
      <c r="H650" s="35">
        <f>Database!N664</f>
        <v>42858</v>
      </c>
    </row>
    <row r="651" spans="1:8" ht="30" x14ac:dyDescent="0.25">
      <c r="A651" s="225" t="str">
        <f>Database!A665</f>
        <v>17REF055</v>
      </c>
      <c r="B651" s="34" t="str">
        <f>Database!E665</f>
        <v>NEUROSERVICE</v>
      </c>
      <c r="C651" s="34" t="str">
        <f>Database!F665</f>
        <v>Neurobasal A</v>
      </c>
      <c r="D651" s="34" t="str">
        <f>Database!K665</f>
        <v>NC</v>
      </c>
      <c r="E651" s="34" t="str">
        <f>Database!P665</f>
        <v>500 mL</v>
      </c>
      <c r="F651" s="34">
        <f>Database!Q665</f>
        <v>0</v>
      </c>
      <c r="G651" s="462">
        <f>Database!R665</f>
        <v>0</v>
      </c>
      <c r="H651" s="35">
        <f>Database!N665</f>
        <v>42858</v>
      </c>
    </row>
    <row r="652" spans="1:8" ht="30" x14ac:dyDescent="0.25">
      <c r="A652" s="225" t="str">
        <f>Database!A666</f>
        <v>17REF056</v>
      </c>
      <c r="B652" s="34" t="str">
        <f>Database!E666</f>
        <v>NEUROSERVICE</v>
      </c>
      <c r="C652" s="34" t="str">
        <f>Database!F666</f>
        <v>Neurobasal A</v>
      </c>
      <c r="D652" s="34" t="str">
        <f>Database!K666</f>
        <v>NC</v>
      </c>
      <c r="E652" s="34" t="str">
        <f>Database!P666</f>
        <v>500 mL</v>
      </c>
      <c r="F652" s="34">
        <f>Database!Q666</f>
        <v>0</v>
      </c>
      <c r="G652" s="462">
        <f>Database!R666</f>
        <v>0</v>
      </c>
      <c r="H652" s="35">
        <f>Database!N666</f>
        <v>42858</v>
      </c>
    </row>
    <row r="653" spans="1:8" ht="60" x14ac:dyDescent="0.25">
      <c r="A653" s="225" t="str">
        <f>Database!A667</f>
        <v>17REF057</v>
      </c>
      <c r="B653" s="34" t="str">
        <f>Database!E667</f>
        <v>NEUROSERVICE</v>
      </c>
      <c r="C653" s="34" t="str">
        <f>Database!F667</f>
        <v>Penicillin streptomycin (10 000 U/mL)</v>
      </c>
      <c r="D653" s="34" t="str">
        <f>Database!K667</f>
        <v>[100X]</v>
      </c>
      <c r="E653" s="34" t="str">
        <f>Database!P667</f>
        <v>20 mL</v>
      </c>
      <c r="F653" s="34">
        <f>Database!Q667</f>
        <v>0</v>
      </c>
      <c r="G653" s="462">
        <f>Database!R667</f>
        <v>0</v>
      </c>
      <c r="H653" s="35">
        <f>Database!N667</f>
        <v>42858</v>
      </c>
    </row>
    <row r="654" spans="1:8" ht="45" x14ac:dyDescent="0.25">
      <c r="A654" s="225" t="str">
        <f>Database!A668</f>
        <v>17REF058</v>
      </c>
      <c r="B654" s="34" t="str">
        <f>Database!E668</f>
        <v>NEUROSERVICE</v>
      </c>
      <c r="C654" s="34" t="str">
        <f>Database!F668</f>
        <v>B27 supplement</v>
      </c>
      <c r="D654" s="34" t="str">
        <f>Database!K668</f>
        <v>[50X]</v>
      </c>
      <c r="E654" s="34" t="str">
        <f>Database!P668</f>
        <v>10 mL</v>
      </c>
      <c r="F654" s="34">
        <f>Database!Q668</f>
        <v>0</v>
      </c>
      <c r="G654" s="462">
        <f>Database!R668</f>
        <v>0</v>
      </c>
      <c r="H654" s="35">
        <f>Database!N668</f>
        <v>42858</v>
      </c>
    </row>
    <row r="655" spans="1:8" ht="30" x14ac:dyDescent="0.25">
      <c r="A655" s="225" t="str">
        <f>Database!A669</f>
        <v>17REF059</v>
      </c>
      <c r="B655" s="34" t="str">
        <f>Database!E669</f>
        <v>NEUROSERVICE</v>
      </c>
      <c r="C655" s="34" t="str">
        <f>Database!F669</f>
        <v>L Glutamine</v>
      </c>
      <c r="D655" s="34" t="str">
        <f>Database!K669</f>
        <v>[100X]</v>
      </c>
      <c r="E655" s="34" t="str">
        <f>Database!P669</f>
        <v>20 mL</v>
      </c>
      <c r="F655" s="34">
        <f>Database!Q669</f>
        <v>0</v>
      </c>
      <c r="G655" s="462">
        <f>Database!R669</f>
        <v>0</v>
      </c>
      <c r="H655" s="35">
        <f>Database!N669</f>
        <v>42858</v>
      </c>
    </row>
    <row r="656" spans="1:8" ht="30" x14ac:dyDescent="0.25">
      <c r="A656" s="225" t="str">
        <f>Database!A670</f>
        <v>17REF060</v>
      </c>
      <c r="B656" s="34" t="str">
        <f>Database!E670</f>
        <v>NEUROSERVICE</v>
      </c>
      <c r="C656" s="34" t="str">
        <f>Database!F670</f>
        <v>HBSS</v>
      </c>
      <c r="D656" s="34" t="str">
        <f>Database!K670</f>
        <v>[10X]</v>
      </c>
      <c r="E656" s="34" t="str">
        <f>Database!P670</f>
        <v>500 mL</v>
      </c>
      <c r="F656" s="34">
        <f>Database!Q670</f>
        <v>0</v>
      </c>
      <c r="G656" s="462">
        <f>Database!R670</f>
        <v>0</v>
      </c>
      <c r="H656" s="35">
        <f>Database!N670</f>
        <v>42858</v>
      </c>
    </row>
    <row r="657" spans="1:8" ht="30" x14ac:dyDescent="0.25">
      <c r="A657" s="225" t="str">
        <f>Database!A671</f>
        <v>17SAM061</v>
      </c>
      <c r="B657" s="34" t="str">
        <f>Database!E671</f>
        <v>J&amp;J</v>
      </c>
      <c r="C657" s="34" t="str">
        <f>Database!F671</f>
        <v>JNJ65124098</v>
      </c>
      <c r="D657" s="34">
        <f>Database!K671</f>
        <v>327.8</v>
      </c>
      <c r="E657" s="34" t="str">
        <f>Database!P671</f>
        <v>3.26 mg</v>
      </c>
      <c r="F657" s="34" t="str">
        <f>Database!Q671</f>
        <v>10 mM in DMSO</v>
      </c>
      <c r="G657" s="462">
        <f>Database!R671</f>
        <v>0</v>
      </c>
      <c r="H657" s="35">
        <f>Database!N671</f>
        <v>42859</v>
      </c>
    </row>
    <row r="658" spans="1:8" ht="30" x14ac:dyDescent="0.25">
      <c r="A658" s="225" t="str">
        <f>Database!A672</f>
        <v>17SAM062</v>
      </c>
      <c r="B658" s="34" t="str">
        <f>Database!E672</f>
        <v>J&amp;J</v>
      </c>
      <c r="C658" s="34" t="str">
        <f>Database!F672</f>
        <v>JNJ40875094</v>
      </c>
      <c r="D658" s="34">
        <f>Database!K672</f>
        <v>407.7</v>
      </c>
      <c r="E658" s="34" t="str">
        <f>Database!P672</f>
        <v>3.08 mg</v>
      </c>
      <c r="F658" s="34" t="str">
        <f>Database!Q672</f>
        <v>10 mM in DMSO</v>
      </c>
      <c r="G658" s="462">
        <f>Database!R672</f>
        <v>0</v>
      </c>
      <c r="H658" s="35">
        <f>Database!N672</f>
        <v>42859</v>
      </c>
    </row>
    <row r="659" spans="1:8" ht="30" x14ac:dyDescent="0.25">
      <c r="A659" s="225" t="str">
        <f>Database!A673</f>
        <v>17SAM063</v>
      </c>
      <c r="B659" s="34" t="str">
        <f>Database!E673</f>
        <v>GSK</v>
      </c>
      <c r="C659" s="34" t="str">
        <f>Database!F673</f>
        <v>GSK3738185A</v>
      </c>
      <c r="D659" s="34">
        <f>Database!K673</f>
        <v>393.86</v>
      </c>
      <c r="E659" s="34" t="str">
        <f>Database!P673</f>
        <v>10.7 mg</v>
      </c>
      <c r="F659" s="34" t="str">
        <f>Database!Q673</f>
        <v>DMSO</v>
      </c>
      <c r="G659" s="462">
        <f>Database!R673</f>
        <v>0.99780000000000002</v>
      </c>
      <c r="H659" s="35">
        <f>Database!N673</f>
        <v>42865</v>
      </c>
    </row>
    <row r="660" spans="1:8" ht="30" x14ac:dyDescent="0.25">
      <c r="A660" s="225" t="str">
        <f>Database!A674</f>
        <v>17SAM064</v>
      </c>
      <c r="B660" s="34" t="str">
        <f>Database!E674</f>
        <v>GSK</v>
      </c>
      <c r="C660" s="34" t="str">
        <f>Database!F674</f>
        <v>GSK3772820A</v>
      </c>
      <c r="D660" s="34">
        <f>Database!K674</f>
        <v>427.42</v>
      </c>
      <c r="E660" s="34" t="str">
        <f>Database!P674</f>
        <v>10.8 mg</v>
      </c>
      <c r="F660" s="34" t="str">
        <f>Database!Q674</f>
        <v>DMSO</v>
      </c>
      <c r="G660" s="462">
        <f>Database!R674</f>
        <v>0.99009999999999998</v>
      </c>
      <c r="H660" s="35">
        <f>Database!N674</f>
        <v>42865</v>
      </c>
    </row>
    <row r="661" spans="1:8" ht="23.25" x14ac:dyDescent="0.25">
      <c r="A661" s="225" t="str">
        <f>Database!A675</f>
        <v>17SAM065</v>
      </c>
      <c r="B661" s="34" t="str">
        <f>Database!E675</f>
        <v>GSK</v>
      </c>
      <c r="C661" s="34">
        <f>Database!F675</f>
        <v>0</v>
      </c>
      <c r="D661" s="34">
        <f>Database!K675</f>
        <v>303.33999999999997</v>
      </c>
      <c r="E661" s="34" t="str">
        <f>Database!P675</f>
        <v>10.2 mg</v>
      </c>
      <c r="F661" s="34" t="str">
        <f>Database!Q675</f>
        <v>DMSO</v>
      </c>
      <c r="G661" s="462">
        <f>Database!R675</f>
        <v>0.99780000000000002</v>
      </c>
      <c r="H661" s="35">
        <f>Database!N675</f>
        <v>42865</v>
      </c>
    </row>
    <row r="662" spans="1:8" ht="23.25" x14ac:dyDescent="0.25">
      <c r="A662" s="225" t="str">
        <f>Database!A676</f>
        <v>17SAM066</v>
      </c>
      <c r="B662" s="34" t="str">
        <f>Database!E676</f>
        <v>GSK</v>
      </c>
      <c r="C662" s="34">
        <f>Database!F676</f>
        <v>0</v>
      </c>
      <c r="D662" s="34">
        <f>Database!K676</f>
        <v>268.64</v>
      </c>
      <c r="E662" s="34" t="str">
        <f>Database!P676</f>
        <v>10.5g</v>
      </c>
      <c r="F662" s="34" t="str">
        <f>Database!Q676</f>
        <v>DMSO</v>
      </c>
      <c r="G662" s="462">
        <f>Database!R676</f>
        <v>0.99750000000000005</v>
      </c>
      <c r="H662" s="35">
        <f>Database!N676</f>
        <v>42865</v>
      </c>
    </row>
    <row r="663" spans="1:8" ht="30" x14ac:dyDescent="0.25">
      <c r="A663" s="225" t="str">
        <f>Database!A677</f>
        <v>17REF067</v>
      </c>
      <c r="B663" s="34" t="str">
        <f>Database!E677</f>
        <v>NEUROSERVICE</v>
      </c>
      <c r="C663" s="34" t="str">
        <f>Database!F677</f>
        <v>L-AP4</v>
      </c>
      <c r="D663" s="34">
        <f>Database!K677</f>
        <v>183.1</v>
      </c>
      <c r="E663" s="34" t="str">
        <f>Database!P677</f>
        <v>10 mg</v>
      </c>
      <c r="F663" s="34" t="str">
        <f>Database!Q677</f>
        <v>H2O mQ to 100mM</v>
      </c>
      <c r="G663" s="462">
        <f>Database!R677</f>
        <v>0</v>
      </c>
      <c r="H663" s="35">
        <f>Database!N677</f>
        <v>42869</v>
      </c>
    </row>
    <row r="664" spans="1:8" ht="30" x14ac:dyDescent="0.25">
      <c r="A664" s="225" t="str">
        <f>Database!A678</f>
        <v>17SAM068</v>
      </c>
      <c r="B664" s="34" t="str">
        <f>Database!E678</f>
        <v>SAGE</v>
      </c>
      <c r="C664" s="34" t="str">
        <f>Database!F678</f>
        <v>SGE-02817-02-A</v>
      </c>
      <c r="D664" s="34">
        <f>Database!K678</f>
        <v>526.76</v>
      </c>
      <c r="E664" s="34" t="str">
        <f>Database!P678</f>
        <v>40.1 mg</v>
      </c>
      <c r="F664" s="34" t="str">
        <f>Database!Q678</f>
        <v>DMSO</v>
      </c>
      <c r="G664" s="462" t="str">
        <f>Database!R678</f>
        <v>NC</v>
      </c>
      <c r="H664" s="35">
        <f>Database!N678</f>
        <v>42879</v>
      </c>
    </row>
    <row r="665" spans="1:8" ht="30" x14ac:dyDescent="0.25">
      <c r="A665" s="225" t="str">
        <f>Database!A679</f>
        <v>17SAM069</v>
      </c>
      <c r="B665" s="34" t="str">
        <f>Database!E679</f>
        <v>SAGE</v>
      </c>
      <c r="C665" s="34" t="str">
        <f>Database!F679</f>
        <v>SGE-005550-08-A</v>
      </c>
      <c r="D665" s="34">
        <f>Database!K679</f>
        <v>442.6</v>
      </c>
      <c r="E665" s="34" t="str">
        <f>Database!P679</f>
        <v>20 mg</v>
      </c>
      <c r="F665" s="34" t="str">
        <f>Database!Q679</f>
        <v>DMSO</v>
      </c>
      <c r="G665" s="462" t="str">
        <f>Database!R679</f>
        <v>NC</v>
      </c>
      <c r="H665" s="35">
        <f>Database!N679</f>
        <v>42879</v>
      </c>
    </row>
    <row r="666" spans="1:8" ht="60" x14ac:dyDescent="0.25">
      <c r="A666" s="225" t="str">
        <f>Database!A680</f>
        <v>17REF070</v>
      </c>
      <c r="B666" s="34" t="str">
        <f>Database!E680</f>
        <v>NEUROSERVICE</v>
      </c>
      <c r="C666" s="34" t="str">
        <f>Database!F680</f>
        <v>MK-801 maleate (Dizocilpine)</v>
      </c>
      <c r="D666" s="34">
        <f>Database!K680</f>
        <v>337.37</v>
      </c>
      <c r="E666" s="34" t="str">
        <f>Database!P680</f>
        <v>50 mg</v>
      </c>
      <c r="F666" s="34" t="str">
        <f>Database!Q680</f>
        <v xml:space="preserve">water mQ to 25 mM </v>
      </c>
      <c r="G666" s="462">
        <f>Database!R680</f>
        <v>0.99</v>
      </c>
      <c r="H666" s="35">
        <f>Database!N680</f>
        <v>42884</v>
      </c>
    </row>
    <row r="667" spans="1:8" ht="30" x14ac:dyDescent="0.25">
      <c r="A667" s="225" t="str">
        <f>Database!A681</f>
        <v>17REF071</v>
      </c>
      <c r="B667" s="34" t="str">
        <f>Database!E681</f>
        <v>NEUROSERVICE</v>
      </c>
      <c r="C667" s="34" t="str">
        <f>Database!F681</f>
        <v>Gabazine (SR95531)</v>
      </c>
      <c r="D667" s="34">
        <f>Database!K681</f>
        <v>368.23</v>
      </c>
      <c r="E667" s="34" t="str">
        <f>Database!P681</f>
        <v>50 mg</v>
      </c>
      <c r="F667" s="34" t="str">
        <f>Database!Q681</f>
        <v>H2O mQ to 25 mM</v>
      </c>
      <c r="G667" s="462">
        <f>Database!R681</f>
        <v>0.98</v>
      </c>
      <c r="H667" s="35">
        <f>Database!N681</f>
        <v>42884</v>
      </c>
    </row>
    <row r="668" spans="1:8" ht="45" x14ac:dyDescent="0.25">
      <c r="A668" s="225" t="str">
        <f>Database!A682</f>
        <v>17REF072</v>
      </c>
      <c r="B668" s="34" t="str">
        <f>Database!E682</f>
        <v>NEUROSERVICE</v>
      </c>
      <c r="C668" s="34" t="str">
        <f>Database!F682</f>
        <v>NBQX</v>
      </c>
      <c r="D668" s="34">
        <f>Database!K682</f>
        <v>336.28</v>
      </c>
      <c r="E668" s="34" t="str">
        <f>Database!P682</f>
        <v>50 mg</v>
      </c>
      <c r="F668" s="34" t="str">
        <f>Database!Q682</f>
        <v>up to 100 mM in DMSO</v>
      </c>
      <c r="G668" s="462">
        <f>Database!R682</f>
        <v>0.99</v>
      </c>
      <c r="H668" s="35">
        <f>Database!N682</f>
        <v>42884</v>
      </c>
    </row>
    <row r="669" spans="1:8" ht="45" x14ac:dyDescent="0.25">
      <c r="A669" s="225" t="str">
        <f>Database!A683</f>
        <v>17REF073</v>
      </c>
      <c r="B669" s="34" t="str">
        <f>Database!E683</f>
        <v>NEUROSERVICE</v>
      </c>
      <c r="C669" s="34" t="str">
        <f>Database!F683</f>
        <v>NBQX</v>
      </c>
      <c r="D669" s="34">
        <f>Database!K683</f>
        <v>336.28</v>
      </c>
      <c r="E669" s="34" t="str">
        <f>Database!P683</f>
        <v>50 mg</v>
      </c>
      <c r="F669" s="34" t="str">
        <f>Database!Q683</f>
        <v>up to 100 mM in DMSO</v>
      </c>
      <c r="G669" s="462">
        <f>Database!R683</f>
        <v>0.99</v>
      </c>
      <c r="H669" s="35">
        <f>Database!N683</f>
        <v>42884</v>
      </c>
    </row>
    <row r="670" spans="1:8" ht="45" x14ac:dyDescent="0.25">
      <c r="A670" s="225" t="str">
        <f>Database!A684</f>
        <v>17REF074</v>
      </c>
      <c r="B670" s="34" t="str">
        <f>Database!E684</f>
        <v>NEUROSERVICE</v>
      </c>
      <c r="C670" s="34" t="str">
        <f>Database!F684</f>
        <v>Strychnine hydrochloride</v>
      </c>
      <c r="D670" s="34">
        <f>Database!K684</f>
        <v>370.87</v>
      </c>
      <c r="E670" s="34" t="str">
        <f>Database!P684</f>
        <v>100 mg</v>
      </c>
      <c r="F670" s="34" t="str">
        <f>Database!Q684</f>
        <v xml:space="preserve">water mQ to 50 mM </v>
      </c>
      <c r="G670" s="462">
        <f>Database!R684</f>
        <v>0.99</v>
      </c>
      <c r="H670" s="35">
        <f>Database!N684</f>
        <v>42884</v>
      </c>
    </row>
    <row r="671" spans="1:8" ht="30" x14ac:dyDescent="0.25">
      <c r="A671" s="225" t="str">
        <f>Database!A685</f>
        <v>17SAM075</v>
      </c>
      <c r="B671" s="34" t="str">
        <f>Database!E685</f>
        <v>J&amp;J</v>
      </c>
      <c r="C671" s="34" t="str">
        <f>Database!F685</f>
        <v>JNJ26116220</v>
      </c>
      <c r="D671" s="34">
        <f>Database!K685</f>
        <v>366.4</v>
      </c>
      <c r="E671" s="34" t="str">
        <f>Database!P685</f>
        <v>3.10 mg</v>
      </c>
      <c r="F671" s="34" t="str">
        <f>Database!Q685</f>
        <v>DMSO</v>
      </c>
      <c r="G671" s="462">
        <f>Database!R685</f>
        <v>0</v>
      </c>
      <c r="H671" s="35">
        <f>Database!N685</f>
        <v>42884</v>
      </c>
    </row>
    <row r="672" spans="1:8" ht="23.25" x14ac:dyDescent="0.25">
      <c r="A672" s="225" t="str">
        <f>Database!A686</f>
        <v>17SAM076</v>
      </c>
      <c r="B672" s="34" t="str">
        <f>Database!E686</f>
        <v>J&amp;J</v>
      </c>
      <c r="C672" s="34" t="str">
        <f>Database!F686</f>
        <v>JNJ1750632</v>
      </c>
      <c r="D672" s="34">
        <f>Database!K686</f>
        <v>302.2</v>
      </c>
      <c r="E672" s="34" t="str">
        <f>Database!P686</f>
        <v>3.28 mg</v>
      </c>
      <c r="F672" s="34" t="str">
        <f>Database!Q686</f>
        <v>DMSO</v>
      </c>
      <c r="G672" s="462">
        <f>Database!R686</f>
        <v>0</v>
      </c>
      <c r="H672" s="35">
        <f>Database!N686</f>
        <v>42884</v>
      </c>
    </row>
    <row r="673" spans="1:8" ht="30" x14ac:dyDescent="0.25">
      <c r="A673" s="225" t="str">
        <f>Database!A687</f>
        <v>17SAM077</v>
      </c>
      <c r="B673" s="34" t="str">
        <f>Database!E687</f>
        <v>SERVIER</v>
      </c>
      <c r="C673" s="34" t="str">
        <f>Database!F687</f>
        <v>Epothilone D</v>
      </c>
      <c r="D673" s="34">
        <f>Database!K687</f>
        <v>491.68</v>
      </c>
      <c r="E673" s="34" t="str">
        <f>Database!P687</f>
        <v>20.87 mg</v>
      </c>
      <c r="F673" s="34" t="str">
        <f>Database!Q687</f>
        <v>10 mM in DMSO</v>
      </c>
      <c r="G673" s="462">
        <f>Database!R687</f>
        <v>0.98599999999999999</v>
      </c>
      <c r="H673" s="35">
        <f>Database!N687</f>
        <v>42887</v>
      </c>
    </row>
    <row r="674" spans="1:8" ht="45" x14ac:dyDescent="0.25">
      <c r="A674" s="225" t="str">
        <f>Database!A688</f>
        <v>17SAM078</v>
      </c>
      <c r="B674" s="34" t="str">
        <f>Database!E688</f>
        <v>TAKEDA</v>
      </c>
      <c r="C674" s="34" t="str">
        <f>Database!F688</f>
        <v>Serotonin hydrochloride</v>
      </c>
      <c r="D674" s="34">
        <f>Database!K688</f>
        <v>217.18</v>
      </c>
      <c r="E674" s="34" t="str">
        <f>Database!P688</f>
        <v>50 mg</v>
      </c>
      <c r="F674" s="34" t="str">
        <f>Database!Q688</f>
        <v>water mQ or DMSO to 100 mM</v>
      </c>
      <c r="G674" s="462">
        <f>Database!R688</f>
        <v>0.99</v>
      </c>
      <c r="H674" s="35">
        <f>Database!N688</f>
        <v>42892</v>
      </c>
    </row>
    <row r="675" spans="1:8" ht="60" x14ac:dyDescent="0.25">
      <c r="A675" s="225" t="str">
        <f>Database!A689</f>
        <v>17SAM079</v>
      </c>
      <c r="B675" s="34" t="str">
        <f>Database!E689</f>
        <v>TAKEDA</v>
      </c>
      <c r="C675" s="34" t="str">
        <f>Database!F689</f>
        <v>Ritanserin</v>
      </c>
      <c r="D675" s="34">
        <f>Database!K689</f>
        <v>477.57</v>
      </c>
      <c r="E675" s="34" t="str">
        <f>Database!P689</f>
        <v>10 mg</v>
      </c>
      <c r="F675" s="34" t="str">
        <f>Database!Q689</f>
        <v>DMSO to 100 mM or ethanol 25 mM</v>
      </c>
      <c r="G675" s="462">
        <f>Database!R689</f>
        <v>0.99</v>
      </c>
      <c r="H675" s="35">
        <f>Database!N689</f>
        <v>42892</v>
      </c>
    </row>
    <row r="676" spans="1:8" ht="23.25" x14ac:dyDescent="0.25">
      <c r="A676" s="225" t="str">
        <f>Database!A690</f>
        <v>17SAM080</v>
      </c>
      <c r="B676" s="34" t="str">
        <f>Database!E690</f>
        <v>TAKEDA</v>
      </c>
      <c r="C676" s="34" t="str">
        <f>Database!F690</f>
        <v>SYR300375A</v>
      </c>
      <c r="D676" s="34">
        <f>Database!K690</f>
        <v>324.85000000000002</v>
      </c>
      <c r="E676" s="34" t="str">
        <f>Database!P690</f>
        <v>26.28 mg</v>
      </c>
      <c r="F676" s="34" t="str">
        <f>Database!Q690</f>
        <v>DMSO</v>
      </c>
      <c r="G676" s="462">
        <f>Database!R690</f>
        <v>0</v>
      </c>
      <c r="H676" s="35">
        <f>Database!N690</f>
        <v>42895</v>
      </c>
    </row>
    <row r="677" spans="1:8" ht="30" x14ac:dyDescent="0.25">
      <c r="A677" s="225" t="str">
        <f>Database!A691</f>
        <v>17SAM081</v>
      </c>
      <c r="B677" s="34" t="str">
        <f>Database!E691</f>
        <v>SAGE</v>
      </c>
      <c r="C677" s="34" t="str">
        <f>Database!F691</f>
        <v>SGE-03170-02-A</v>
      </c>
      <c r="D677" s="34">
        <f>Database!K691</f>
        <v>430.39</v>
      </c>
      <c r="E677" s="34" t="str">
        <f>Database!P691</f>
        <v>25 mg</v>
      </c>
      <c r="F677" s="34" t="str">
        <f>Database!Q691</f>
        <v>DMSO</v>
      </c>
      <c r="G677" s="462" t="str">
        <f>Database!R691</f>
        <v>NC</v>
      </c>
      <c r="H677" s="35">
        <f>Database!N691</f>
        <v>42900</v>
      </c>
    </row>
    <row r="678" spans="1:8" ht="30" x14ac:dyDescent="0.25">
      <c r="A678" s="225" t="str">
        <f>Database!A692</f>
        <v>17SAM082</v>
      </c>
      <c r="B678" s="34" t="str">
        <f>Database!E692</f>
        <v>TAKEDA</v>
      </c>
      <c r="C678" s="34" t="str">
        <f>Database!F692</f>
        <v>VIP</v>
      </c>
      <c r="D678" s="34">
        <f>Database!K692</f>
        <v>3325.83</v>
      </c>
      <c r="E678" s="34" t="str">
        <f>Database!P692</f>
        <v>1 mg</v>
      </c>
      <c r="F678" s="34" t="str">
        <f>Database!Q692</f>
        <v>1mg/mL in water</v>
      </c>
      <c r="G678" s="462">
        <f>Database!R692</f>
        <v>0.77</v>
      </c>
      <c r="H678" s="35">
        <f>Database!N692</f>
        <v>42901</v>
      </c>
    </row>
    <row r="679" spans="1:8" ht="30" x14ac:dyDescent="0.25">
      <c r="A679" s="225" t="str">
        <f>Database!A693</f>
        <v>17SAM083</v>
      </c>
      <c r="B679" s="34" t="str">
        <f>Database!E693</f>
        <v>TAKEDA</v>
      </c>
      <c r="C679" s="34" t="str">
        <f>Database!F693</f>
        <v>VIP</v>
      </c>
      <c r="D679" s="34">
        <f>Database!K693</f>
        <v>3325.83</v>
      </c>
      <c r="E679" s="34" t="str">
        <f>Database!P693</f>
        <v>1 mg</v>
      </c>
      <c r="F679" s="34" t="str">
        <f>Database!Q693</f>
        <v>1mg/mL in water</v>
      </c>
      <c r="G679" s="462">
        <f>Database!R693</f>
        <v>0.77</v>
      </c>
      <c r="H679" s="35">
        <f>Database!N693</f>
        <v>42901</v>
      </c>
    </row>
    <row r="680" spans="1:8" ht="30" x14ac:dyDescent="0.25">
      <c r="A680" s="225" t="str">
        <f>Database!A694</f>
        <v>17SAM084</v>
      </c>
      <c r="B680" s="34" t="str">
        <f>Database!E694</f>
        <v>TAKEDA</v>
      </c>
      <c r="C680" s="34" t="str">
        <f>Database!F694</f>
        <v>VIP</v>
      </c>
      <c r="D680" s="34">
        <f>Database!K694</f>
        <v>3325.83</v>
      </c>
      <c r="E680" s="34" t="str">
        <f>Database!P694</f>
        <v>1 mg</v>
      </c>
      <c r="F680" s="34" t="str">
        <f>Database!Q694</f>
        <v>1mg/mL in water</v>
      </c>
      <c r="G680" s="462">
        <f>Database!R694</f>
        <v>0.77</v>
      </c>
      <c r="H680" s="35">
        <f>Database!N694</f>
        <v>42901</v>
      </c>
    </row>
    <row r="681" spans="1:8" ht="30" x14ac:dyDescent="0.25">
      <c r="A681" s="225" t="str">
        <f>Database!A695</f>
        <v>17SAM085</v>
      </c>
      <c r="B681" s="34" t="str">
        <f>Database!E695</f>
        <v>TAKEDA</v>
      </c>
      <c r="C681" s="34" t="str">
        <f>Database!F695</f>
        <v>VIP</v>
      </c>
      <c r="D681" s="34">
        <f>Database!K695</f>
        <v>3325.83</v>
      </c>
      <c r="E681" s="34" t="str">
        <f>Database!P695</f>
        <v>1 mg</v>
      </c>
      <c r="F681" s="34" t="str">
        <f>Database!Q695</f>
        <v>1mg/mL in water</v>
      </c>
      <c r="G681" s="462">
        <f>Database!R695</f>
        <v>0.77</v>
      </c>
      <c r="H681" s="35">
        <f>Database!N695</f>
        <v>42901</v>
      </c>
    </row>
    <row r="682" spans="1:8" ht="30" x14ac:dyDescent="0.25">
      <c r="A682" s="225" t="str">
        <f>Database!A696</f>
        <v>17SAM086</v>
      </c>
      <c r="B682" s="34" t="str">
        <f>Database!E696</f>
        <v>TAKEDA</v>
      </c>
      <c r="C682" s="34" t="str">
        <f>Database!F696</f>
        <v>VIP</v>
      </c>
      <c r="D682" s="34">
        <f>Database!K696</f>
        <v>3325.83</v>
      </c>
      <c r="E682" s="34" t="str">
        <f>Database!P696</f>
        <v>1 mg</v>
      </c>
      <c r="F682" s="34" t="str">
        <f>Database!Q696</f>
        <v>1mg/mL in water</v>
      </c>
      <c r="G682" s="462">
        <f>Database!R696</f>
        <v>0.77</v>
      </c>
      <c r="H682" s="35">
        <f>Database!N696</f>
        <v>42901</v>
      </c>
    </row>
    <row r="683" spans="1:8" ht="30" x14ac:dyDescent="0.25">
      <c r="A683" s="225" t="str">
        <f>Database!A697</f>
        <v>17SAM087</v>
      </c>
      <c r="B683" s="34" t="str">
        <f>Database!E697</f>
        <v>TAKEDA</v>
      </c>
      <c r="C683" s="34" t="str">
        <f>Database!F697</f>
        <v>VIP</v>
      </c>
      <c r="D683" s="34">
        <f>Database!K697</f>
        <v>3325.83</v>
      </c>
      <c r="E683" s="34" t="str">
        <f>Database!P697</f>
        <v>1 mg</v>
      </c>
      <c r="F683" s="34" t="str">
        <f>Database!Q697</f>
        <v>1mg/mL in water</v>
      </c>
      <c r="G683" s="462">
        <f>Database!R697</f>
        <v>0.77</v>
      </c>
      <c r="H683" s="35">
        <f>Database!N697</f>
        <v>42901</v>
      </c>
    </row>
    <row r="684" spans="1:8" ht="30" x14ac:dyDescent="0.25">
      <c r="A684" s="225" t="str">
        <f>Database!A698</f>
        <v>17SAM088</v>
      </c>
      <c r="B684" s="34" t="str">
        <f>Database!E698</f>
        <v>TAKEDA</v>
      </c>
      <c r="C684" s="34" t="str">
        <f>Database!F698</f>
        <v>VIP</v>
      </c>
      <c r="D684" s="34">
        <f>Database!K698</f>
        <v>3325.83</v>
      </c>
      <c r="E684" s="34" t="str">
        <f>Database!P698</f>
        <v>1 mg</v>
      </c>
      <c r="F684" s="34" t="str">
        <f>Database!Q698</f>
        <v>1mg/mL in water</v>
      </c>
      <c r="G684" s="462">
        <f>Database!R698</f>
        <v>0.77</v>
      </c>
      <c r="H684" s="35">
        <f>Database!N698</f>
        <v>42901</v>
      </c>
    </row>
    <row r="685" spans="1:8" ht="30" x14ac:dyDescent="0.25">
      <c r="A685" s="225" t="str">
        <f>Database!A699</f>
        <v>17SAM089</v>
      </c>
      <c r="B685" s="34" t="str">
        <f>Database!E699</f>
        <v>TAKEDA</v>
      </c>
      <c r="C685" s="34" t="str">
        <f>Database!F699</f>
        <v>VIP</v>
      </c>
      <c r="D685" s="34">
        <f>Database!K699</f>
        <v>3325.83</v>
      </c>
      <c r="E685" s="34" t="str">
        <f>Database!P699</f>
        <v>1 mg</v>
      </c>
      <c r="F685" s="34" t="str">
        <f>Database!Q699</f>
        <v>1mg/mL in water</v>
      </c>
      <c r="G685" s="462">
        <f>Database!R699</f>
        <v>0.77</v>
      </c>
      <c r="H685" s="35">
        <f>Database!N699</f>
        <v>42901</v>
      </c>
    </row>
    <row r="686" spans="1:8" ht="30" x14ac:dyDescent="0.25">
      <c r="A686" s="225" t="str">
        <f>Database!A700</f>
        <v>17SAM090</v>
      </c>
      <c r="B686" s="34" t="str">
        <f>Database!E700</f>
        <v>TAKEDA</v>
      </c>
      <c r="C686" s="34" t="str">
        <f>Database!F700</f>
        <v>VIP</v>
      </c>
      <c r="D686" s="34">
        <f>Database!K700</f>
        <v>3325.83</v>
      </c>
      <c r="E686" s="34" t="str">
        <f>Database!P700</f>
        <v>1 mg</v>
      </c>
      <c r="F686" s="34" t="str">
        <f>Database!Q700</f>
        <v>1mg/mL in water</v>
      </c>
      <c r="G686" s="462">
        <f>Database!R700</f>
        <v>0.77</v>
      </c>
      <c r="H686" s="35">
        <f>Database!N700</f>
        <v>42901</v>
      </c>
    </row>
    <row r="687" spans="1:8" ht="30" x14ac:dyDescent="0.25">
      <c r="A687" s="225" t="str">
        <f>Database!A701</f>
        <v>17SAM091</v>
      </c>
      <c r="B687" s="34" t="str">
        <f>Database!E701</f>
        <v>TAKEDA</v>
      </c>
      <c r="C687" s="34" t="str">
        <f>Database!F701</f>
        <v>VIP</v>
      </c>
      <c r="D687" s="34">
        <f>Database!K701</f>
        <v>3325.83</v>
      </c>
      <c r="E687" s="34" t="str">
        <f>Database!P701</f>
        <v>1 mg</v>
      </c>
      <c r="F687" s="34" t="str">
        <f>Database!Q701</f>
        <v>1mg/mL in water</v>
      </c>
      <c r="G687" s="462">
        <f>Database!R701</f>
        <v>0.77</v>
      </c>
      <c r="H687" s="35">
        <f>Database!N701</f>
        <v>42901</v>
      </c>
    </row>
    <row r="688" spans="1:8" ht="30" x14ac:dyDescent="0.25">
      <c r="A688" s="225" t="str">
        <f>Database!A702</f>
        <v>17SAM092</v>
      </c>
      <c r="B688" s="34" t="str">
        <f>Database!E702</f>
        <v>TAKEDA</v>
      </c>
      <c r="C688" s="34" t="str">
        <f>Database!F702</f>
        <v>VIP</v>
      </c>
      <c r="D688" s="34">
        <f>Database!K702</f>
        <v>3325.83</v>
      </c>
      <c r="E688" s="34" t="str">
        <f>Database!P702</f>
        <v>1 mg</v>
      </c>
      <c r="F688" s="34" t="str">
        <f>Database!Q702</f>
        <v>1mg/mL in water</v>
      </c>
      <c r="G688" s="462">
        <f>Database!R702</f>
        <v>0.77</v>
      </c>
      <c r="H688" s="35">
        <f>Database!N702</f>
        <v>42901</v>
      </c>
    </row>
    <row r="689" spans="1:8" ht="30" x14ac:dyDescent="0.25">
      <c r="A689" s="225" t="str">
        <f>Database!A703</f>
        <v>17SAM093</v>
      </c>
      <c r="B689" s="34" t="str">
        <f>Database!E703</f>
        <v>TAKEDA</v>
      </c>
      <c r="C689" s="34" t="str">
        <f>Database!F703</f>
        <v>VIP</v>
      </c>
      <c r="D689" s="34">
        <f>Database!K703</f>
        <v>3325.83</v>
      </c>
      <c r="E689" s="34" t="str">
        <f>Database!P703</f>
        <v>1 mg</v>
      </c>
      <c r="F689" s="34" t="str">
        <f>Database!Q703</f>
        <v>1mg/mL in water</v>
      </c>
      <c r="G689" s="462">
        <f>Database!R703</f>
        <v>0.77</v>
      </c>
      <c r="H689" s="35">
        <f>Database!N703</f>
        <v>42901</v>
      </c>
    </row>
    <row r="690" spans="1:8" ht="30" x14ac:dyDescent="0.25">
      <c r="A690" s="225" t="str">
        <f>Database!A704</f>
        <v>17SAM094</v>
      </c>
      <c r="B690" s="34" t="str">
        <f>Database!E704</f>
        <v>TAKEDA</v>
      </c>
      <c r="C690" s="34" t="str">
        <f>Database!F704</f>
        <v>VIP</v>
      </c>
      <c r="D690" s="34">
        <f>Database!K704</f>
        <v>3325.83</v>
      </c>
      <c r="E690" s="34" t="str">
        <f>Database!P704</f>
        <v>1 mg</v>
      </c>
      <c r="F690" s="34" t="str">
        <f>Database!Q704</f>
        <v>1mg/mL in water</v>
      </c>
      <c r="G690" s="462">
        <f>Database!R704</f>
        <v>0.77</v>
      </c>
      <c r="H690" s="35">
        <f>Database!N704</f>
        <v>42901</v>
      </c>
    </row>
    <row r="691" spans="1:8" ht="30" x14ac:dyDescent="0.25">
      <c r="A691" s="225" t="str">
        <f>Database!A705</f>
        <v>17SAM095</v>
      </c>
      <c r="B691" s="34" t="str">
        <f>Database!E705</f>
        <v>TAKEDA</v>
      </c>
      <c r="C691" s="34" t="str">
        <f>Database!F705</f>
        <v>VIP</v>
      </c>
      <c r="D691" s="34">
        <f>Database!K705</f>
        <v>3325.83</v>
      </c>
      <c r="E691" s="34" t="str">
        <f>Database!P705</f>
        <v>1 mg</v>
      </c>
      <c r="F691" s="34" t="str">
        <f>Database!Q705</f>
        <v>1mg/mL in water</v>
      </c>
      <c r="G691" s="462">
        <f>Database!R705</f>
        <v>0.77</v>
      </c>
      <c r="H691" s="35">
        <f>Database!N705</f>
        <v>42901</v>
      </c>
    </row>
    <row r="692" spans="1:8" ht="30" x14ac:dyDescent="0.25">
      <c r="A692" s="225" t="str">
        <f>Database!A706</f>
        <v>17SAM096</v>
      </c>
      <c r="B692" s="34" t="str">
        <f>Database!E706</f>
        <v>TAKEDA</v>
      </c>
      <c r="C692" s="34" t="str">
        <f>Database!F706</f>
        <v>VIP</v>
      </c>
      <c r="D692" s="34">
        <f>Database!K706</f>
        <v>3325.83</v>
      </c>
      <c r="E692" s="34" t="str">
        <f>Database!P706</f>
        <v>1 mg</v>
      </c>
      <c r="F692" s="34" t="str">
        <f>Database!Q706</f>
        <v>1mg/mL in water</v>
      </c>
      <c r="G692" s="462">
        <f>Database!R706</f>
        <v>0.77</v>
      </c>
      <c r="H692" s="35">
        <f>Database!N706</f>
        <v>42901</v>
      </c>
    </row>
    <row r="693" spans="1:8" ht="45" x14ac:dyDescent="0.25">
      <c r="A693" s="225" t="str">
        <f>Database!A707</f>
        <v>17SAM097</v>
      </c>
      <c r="B693" s="34" t="str">
        <f>Database!E707</f>
        <v>TAKEDA</v>
      </c>
      <c r="C693" s="34" t="str">
        <f>Database!F707</f>
        <v>[D-p-Cl-Phe6,Leu17]-VIP</v>
      </c>
      <c r="D693" s="34">
        <f>Database!K707</f>
        <v>3342.24</v>
      </c>
      <c r="E693" s="34" t="str">
        <f>Database!P707</f>
        <v>1 mg</v>
      </c>
      <c r="F693" s="34" t="str">
        <f>Database!Q707</f>
        <v>1mg/mL in water</v>
      </c>
      <c r="G693" s="462">
        <f>Database!R707</f>
        <v>0.77</v>
      </c>
      <c r="H693" s="35">
        <f>Database!N707</f>
        <v>42901</v>
      </c>
    </row>
    <row r="694" spans="1:8" ht="45" x14ac:dyDescent="0.25">
      <c r="A694" s="225" t="str">
        <f>Database!A708</f>
        <v>17SAM098</v>
      </c>
      <c r="B694" s="34" t="str">
        <f>Database!E708</f>
        <v>TAKEDA</v>
      </c>
      <c r="C694" s="34" t="str">
        <f>Database!F708</f>
        <v>[D-p-Cl-Phe6,Leu17]-VIP</v>
      </c>
      <c r="D694" s="34">
        <f>Database!K708</f>
        <v>3342.24</v>
      </c>
      <c r="E694" s="34" t="str">
        <f>Database!P708</f>
        <v>1 mg</v>
      </c>
      <c r="F694" s="34" t="str">
        <f>Database!Q708</f>
        <v>1mg/mL in water</v>
      </c>
      <c r="G694" s="462">
        <f>Database!R708</f>
        <v>0.77</v>
      </c>
      <c r="H694" s="35">
        <f>Database!N708</f>
        <v>42901</v>
      </c>
    </row>
    <row r="695" spans="1:8" ht="45" x14ac:dyDescent="0.25">
      <c r="A695" s="225" t="str">
        <f>Database!A709</f>
        <v>17SAM099</v>
      </c>
      <c r="B695" s="34" t="str">
        <f>Database!E709</f>
        <v>TAKEDA</v>
      </c>
      <c r="C695" s="34" t="str">
        <f>Database!F709</f>
        <v>[D-p-Cl-Phe6,Leu17]-VIP</v>
      </c>
      <c r="D695" s="34">
        <f>Database!K709</f>
        <v>3342.24</v>
      </c>
      <c r="E695" s="34" t="str">
        <f>Database!P709</f>
        <v>1 mg</v>
      </c>
      <c r="F695" s="34" t="str">
        <f>Database!Q709</f>
        <v>1mg/mL in water</v>
      </c>
      <c r="G695" s="462">
        <f>Database!R709</f>
        <v>0.77</v>
      </c>
      <c r="H695" s="35">
        <f>Database!N709</f>
        <v>42901</v>
      </c>
    </row>
    <row r="696" spans="1:8" ht="45" x14ac:dyDescent="0.25">
      <c r="A696" s="225" t="str">
        <f>Database!A710</f>
        <v>17SAM100</v>
      </c>
      <c r="B696" s="34" t="str">
        <f>Database!E710</f>
        <v>TAKEDA</v>
      </c>
      <c r="C696" s="34" t="str">
        <f>Database!F710</f>
        <v>[D-p-Cl-Phe6,Leu17]-VIP</v>
      </c>
      <c r="D696" s="34">
        <f>Database!K710</f>
        <v>3342.24</v>
      </c>
      <c r="E696" s="34" t="str">
        <f>Database!P710</f>
        <v>1 mg</v>
      </c>
      <c r="F696" s="34" t="str">
        <f>Database!Q710</f>
        <v>1mg/mL in water</v>
      </c>
      <c r="G696" s="462">
        <f>Database!R710</f>
        <v>0.77</v>
      </c>
      <c r="H696" s="35">
        <f>Database!N710</f>
        <v>42901</v>
      </c>
    </row>
    <row r="697" spans="1:8" ht="45" x14ac:dyDescent="0.25">
      <c r="A697" s="225" t="str">
        <f>Database!A711</f>
        <v>17SAM101</v>
      </c>
      <c r="B697" s="34" t="str">
        <f>Database!E711</f>
        <v>TAKEDA</v>
      </c>
      <c r="C697" s="34" t="str">
        <f>Database!F711</f>
        <v>[D-p-Cl-Phe6,Leu17]-VIP</v>
      </c>
      <c r="D697" s="34">
        <f>Database!K711</f>
        <v>3342.24</v>
      </c>
      <c r="E697" s="34" t="str">
        <f>Database!P711</f>
        <v>1 mg</v>
      </c>
      <c r="F697" s="34" t="str">
        <f>Database!Q711</f>
        <v>1mg/mL in water</v>
      </c>
      <c r="G697" s="462">
        <f>Database!R711</f>
        <v>0.77</v>
      </c>
      <c r="H697" s="35">
        <f>Database!N711</f>
        <v>42901</v>
      </c>
    </row>
    <row r="698" spans="1:8" ht="45" x14ac:dyDescent="0.25">
      <c r="A698" s="225" t="str">
        <f>Database!A712</f>
        <v>17SAM102</v>
      </c>
      <c r="B698" s="34" t="str">
        <f>Database!E712</f>
        <v>TAKEDA</v>
      </c>
      <c r="C698" s="34" t="str">
        <f>Database!F712</f>
        <v>[D-p-Cl-Phe6,Leu17]-VIP</v>
      </c>
      <c r="D698" s="34">
        <f>Database!K712</f>
        <v>3342.24</v>
      </c>
      <c r="E698" s="34" t="str">
        <f>Database!P712</f>
        <v>1 mg</v>
      </c>
      <c r="F698" s="34" t="str">
        <f>Database!Q712</f>
        <v>1mg/mL in water</v>
      </c>
      <c r="G698" s="462">
        <f>Database!R712</f>
        <v>0.77</v>
      </c>
      <c r="H698" s="35">
        <f>Database!N712</f>
        <v>42901</v>
      </c>
    </row>
    <row r="699" spans="1:8" ht="30" x14ac:dyDescent="0.25">
      <c r="A699" s="225" t="str">
        <f>Database!A713</f>
        <v>17REF103</v>
      </c>
      <c r="B699" s="34" t="str">
        <f>Database!E713</f>
        <v>NEUROSERVICE</v>
      </c>
      <c r="C699" s="34" t="str">
        <f>Database!F713</f>
        <v>Bicuculline methiodide</v>
      </c>
      <c r="D699" s="34">
        <f>Database!K713</f>
        <v>509.29</v>
      </c>
      <c r="E699" s="34" t="str">
        <f>Database!P713</f>
        <v>50 mg</v>
      </c>
      <c r="F699" s="34" t="str">
        <f>Database!Q713</f>
        <v>10 mg/mL in H2O mQ</v>
      </c>
      <c r="G699" s="462">
        <f>Database!R713</f>
        <v>0.95599999999999996</v>
      </c>
      <c r="H699" s="35">
        <f>Database!N713</f>
        <v>42906</v>
      </c>
    </row>
    <row r="700" spans="1:8" ht="30" x14ac:dyDescent="0.25">
      <c r="A700" s="225" t="str">
        <f>Database!A714</f>
        <v>17REF104</v>
      </c>
      <c r="B700" s="34" t="str">
        <f>Database!E714</f>
        <v>NEUROSERVICE</v>
      </c>
      <c r="C700" s="34" t="str">
        <f>Database!F714</f>
        <v>Bicuculline methiodide</v>
      </c>
      <c r="D700" s="34">
        <f>Database!K714</f>
        <v>509.29</v>
      </c>
      <c r="E700" s="34" t="str">
        <f>Database!P714</f>
        <v>50 mg</v>
      </c>
      <c r="F700" s="34" t="str">
        <f>Database!Q714</f>
        <v>10 mg/mL in H2O mQ</v>
      </c>
      <c r="G700" s="462" t="str">
        <f>Database!R714</f>
        <v>95.6.%</v>
      </c>
      <c r="H700" s="35">
        <f>Database!N714</f>
        <v>42906</v>
      </c>
    </row>
    <row r="701" spans="1:8" ht="30" x14ac:dyDescent="0.25">
      <c r="A701" s="225" t="str">
        <f>Database!A715</f>
        <v>17REF105</v>
      </c>
      <c r="B701" s="34" t="str">
        <f>Database!E715</f>
        <v>NEUROSERVICE</v>
      </c>
      <c r="C701" s="34" t="str">
        <f>Database!F715</f>
        <v>Bicuculline methiodide</v>
      </c>
      <c r="D701" s="34">
        <f>Database!K715</f>
        <v>509.29</v>
      </c>
      <c r="E701" s="34" t="str">
        <f>Database!P715</f>
        <v>50 mg</v>
      </c>
      <c r="F701" s="34" t="str">
        <f>Database!Q715</f>
        <v>10 mg/mL in H2O mQ</v>
      </c>
      <c r="G701" s="462">
        <f>Database!R715</f>
        <v>0.95599999999999996</v>
      </c>
      <c r="H701" s="35">
        <f>Database!N715</f>
        <v>42906</v>
      </c>
    </row>
    <row r="702" spans="1:8" ht="30" x14ac:dyDescent="0.25">
      <c r="A702" s="225" t="str">
        <f>Database!A716</f>
        <v>17SAM106</v>
      </c>
      <c r="B702" s="34" t="str">
        <f>Database!E716</f>
        <v>LEAD DISCOVERY</v>
      </c>
      <c r="C702" s="34" t="str">
        <f>Database!F716</f>
        <v>Human NRG1</v>
      </c>
      <c r="D702" s="34" t="str">
        <f>Database!K716</f>
        <v>NC</v>
      </c>
      <c r="E702" s="34" t="str">
        <f>Database!P716</f>
        <v>50 µg</v>
      </c>
      <c r="F702" s="34" t="str">
        <f>Database!Q716</f>
        <v>100 ng/mL</v>
      </c>
      <c r="G702" s="462">
        <f>Database!R716</f>
        <v>0</v>
      </c>
      <c r="H702" s="35">
        <f>Database!N716</f>
        <v>42908</v>
      </c>
    </row>
    <row r="703" spans="1:8" ht="30" x14ac:dyDescent="0.25">
      <c r="A703" s="225" t="str">
        <f>Database!A717</f>
        <v>17SAM107</v>
      </c>
      <c r="B703" s="34" t="str">
        <f>Database!E717</f>
        <v>LEAD DISCOVERY</v>
      </c>
      <c r="C703" s="34" t="str">
        <f>Database!F717</f>
        <v>Human NRG1</v>
      </c>
      <c r="D703" s="34" t="str">
        <f>Database!K717</f>
        <v>NC</v>
      </c>
      <c r="E703" s="34" t="str">
        <f>Database!P717</f>
        <v>50 µg</v>
      </c>
      <c r="F703" s="34" t="str">
        <f>Database!Q717</f>
        <v>100 ng/mL</v>
      </c>
      <c r="G703" s="462">
        <f>Database!R717</f>
        <v>0</v>
      </c>
      <c r="H703" s="35">
        <f>Database!N717</f>
        <v>42908</v>
      </c>
    </row>
    <row r="704" spans="1:8" ht="30" x14ac:dyDescent="0.25">
      <c r="A704" s="225" t="str">
        <f>Database!A718</f>
        <v>17SAM108</v>
      </c>
      <c r="B704" s="34" t="str">
        <f>Database!E718</f>
        <v>LEAD DISCOVERY</v>
      </c>
      <c r="C704" s="34" t="str">
        <f>Database!F718</f>
        <v>Human NRG1</v>
      </c>
      <c r="D704" s="34" t="str">
        <f>Database!K718</f>
        <v>NC</v>
      </c>
      <c r="E704" s="34" t="str">
        <f>Database!P718</f>
        <v>50 µg</v>
      </c>
      <c r="F704" s="34" t="str">
        <f>Database!Q718</f>
        <v>100 ng/mL</v>
      </c>
      <c r="G704" s="462">
        <f>Database!R718</f>
        <v>0</v>
      </c>
      <c r="H704" s="35">
        <f>Database!N718</f>
        <v>42908</v>
      </c>
    </row>
    <row r="705" spans="1:8" ht="30" x14ac:dyDescent="0.25">
      <c r="A705" s="225" t="str">
        <f>Database!A719</f>
        <v>17SAM109</v>
      </c>
      <c r="B705" s="34" t="str">
        <f>Database!E719</f>
        <v>LEAD DISCOVERY</v>
      </c>
      <c r="C705" s="34" t="str">
        <f>Database!F719</f>
        <v>Human NRG1</v>
      </c>
      <c r="D705" s="34" t="str">
        <f>Database!K719</f>
        <v>NC</v>
      </c>
      <c r="E705" s="34" t="str">
        <f>Database!P719</f>
        <v>50 µg</v>
      </c>
      <c r="F705" s="34" t="str">
        <f>Database!Q719</f>
        <v>100 ng/mL</v>
      </c>
      <c r="G705" s="462">
        <f>Database!R719</f>
        <v>0</v>
      </c>
      <c r="H705" s="35">
        <f>Database!N719</f>
        <v>42908</v>
      </c>
    </row>
    <row r="706" spans="1:8" ht="30" x14ac:dyDescent="0.25">
      <c r="A706" s="225" t="str">
        <f>Database!A720</f>
        <v>17SAM110</v>
      </c>
      <c r="B706" s="34" t="str">
        <f>Database!E720</f>
        <v>LEAD DISCOVERY</v>
      </c>
      <c r="C706" s="34" t="str">
        <f>Database!F720</f>
        <v>Human NRG1</v>
      </c>
      <c r="D706" s="34" t="str">
        <f>Database!K720</f>
        <v>NC</v>
      </c>
      <c r="E706" s="34" t="str">
        <f>Database!P720</f>
        <v>50 µg</v>
      </c>
      <c r="F706" s="34" t="str">
        <f>Database!Q720</f>
        <v>100 ng/mL</v>
      </c>
      <c r="G706" s="462">
        <f>Database!R720</f>
        <v>0</v>
      </c>
      <c r="H706" s="35">
        <f>Database!N720</f>
        <v>42908</v>
      </c>
    </row>
    <row r="707" spans="1:8" ht="30" x14ac:dyDescent="0.25">
      <c r="A707" s="225" t="str">
        <f>Database!A721</f>
        <v>17SAM111</v>
      </c>
      <c r="B707" s="34" t="str">
        <f>Database!E721</f>
        <v>LEAD DISCOVERY</v>
      </c>
      <c r="C707" s="34" t="str">
        <f>Database!F721</f>
        <v>LDC202062:04</v>
      </c>
      <c r="D707" s="34">
        <f>Database!K721</f>
        <v>293.41000000000003</v>
      </c>
      <c r="E707" s="34" t="str">
        <f>Database!P721</f>
        <v>30 mg</v>
      </c>
      <c r="F707" s="34" t="str">
        <f>Database!Q721</f>
        <v>DMSO</v>
      </c>
      <c r="G707" s="462" t="str">
        <f>Database!R721</f>
        <v>NC</v>
      </c>
      <c r="H707" s="35">
        <f>Database!N721</f>
        <v>42908</v>
      </c>
    </row>
    <row r="708" spans="1:8" ht="30" x14ac:dyDescent="0.25">
      <c r="A708" s="225" t="str">
        <f>Database!A722</f>
        <v>17SAM112</v>
      </c>
      <c r="B708" s="34" t="str">
        <f>Database!E722</f>
        <v>LEAD DISCOVERY</v>
      </c>
      <c r="C708" s="34" t="str">
        <f>Database!F722</f>
        <v>LDC208092:04</v>
      </c>
      <c r="D708" s="34">
        <f>Database!K722</f>
        <v>457.5</v>
      </c>
      <c r="E708" s="34" t="str">
        <f>Database!P722</f>
        <v>46 mg</v>
      </c>
      <c r="F708" s="34" t="str">
        <f>Database!Q722</f>
        <v>DMSO</v>
      </c>
      <c r="G708" s="462" t="str">
        <f>Database!R722</f>
        <v>NC</v>
      </c>
      <c r="H708" s="35">
        <f>Database!N722</f>
        <v>42908</v>
      </c>
    </row>
    <row r="709" spans="1:8" ht="30" x14ac:dyDescent="0.25">
      <c r="A709" s="225" t="str">
        <f>Database!A723</f>
        <v>17SAM113</v>
      </c>
      <c r="B709" s="34" t="str">
        <f>Database!E723</f>
        <v>ROCHE</v>
      </c>
      <c r="C709" s="34" t="str">
        <f>Database!F723</f>
        <v>B_ID5073953</v>
      </c>
      <c r="D709" s="34">
        <f>Database!K723</f>
        <v>457.471</v>
      </c>
      <c r="E709" s="34" t="str">
        <f>Database!P723</f>
        <v>100 mg</v>
      </c>
      <c r="F709" s="34" t="str">
        <f>Database!Q723</f>
        <v>DMSO</v>
      </c>
      <c r="G709" s="462" t="str">
        <f>Database!R723</f>
        <v>NC</v>
      </c>
      <c r="H709" s="35">
        <f>Database!N723</f>
        <v>42913</v>
      </c>
    </row>
    <row r="710" spans="1:8" ht="30" x14ac:dyDescent="0.25">
      <c r="A710" s="225" t="str">
        <f>Database!A724</f>
        <v>17SAM114</v>
      </c>
      <c r="B710" s="34" t="str">
        <f>Database!E724</f>
        <v>ROCHE</v>
      </c>
      <c r="C710" s="34" t="str">
        <f>Database!F724</f>
        <v>CGP-55845</v>
      </c>
      <c r="D710" s="34">
        <f>Database!K724</f>
        <v>438.71</v>
      </c>
      <c r="E710" s="34" t="str">
        <f>Database!P724</f>
        <v>10 mg</v>
      </c>
      <c r="F710" s="34" t="str">
        <f>Database!Q724</f>
        <v>DMSO to 100 mM</v>
      </c>
      <c r="G710" s="462">
        <f>Database!R724</f>
        <v>0.999</v>
      </c>
      <c r="H710" s="35">
        <f>Database!N724</f>
        <v>42914</v>
      </c>
    </row>
    <row r="711" spans="1:8" ht="45" x14ac:dyDescent="0.25">
      <c r="A711" s="225" t="str">
        <f>Database!A725</f>
        <v>17SAM115</v>
      </c>
      <c r="B711" s="34" t="str">
        <f>Database!E725</f>
        <v>ROCHE</v>
      </c>
      <c r="C711" s="34" t="str">
        <f>Database!F725</f>
        <v>CNQX disodium salt</v>
      </c>
      <c r="D711" s="34">
        <f>Database!K725</f>
        <v>316.64999999999998</v>
      </c>
      <c r="E711" s="34" t="str">
        <f>Database!P725</f>
        <v>50 mg</v>
      </c>
      <c r="F711" s="34" t="str">
        <f>Database!Q725</f>
        <v>H2O mQ to 20 mM</v>
      </c>
      <c r="G711" s="462">
        <f>Database!R725</f>
        <v>0.99199999999999999</v>
      </c>
      <c r="H711" s="35">
        <f>Database!N725</f>
        <v>42914</v>
      </c>
    </row>
    <row r="712" spans="1:8" ht="60" x14ac:dyDescent="0.25">
      <c r="A712" s="225" t="str">
        <f>Database!A726</f>
        <v>17SAM116</v>
      </c>
      <c r="B712" s="34" t="str">
        <f>Database!E726</f>
        <v>ROCHE</v>
      </c>
      <c r="C712" s="34" t="str">
        <f>Database!F726</f>
        <v>L-AP4</v>
      </c>
      <c r="D712" s="34">
        <f>Database!K726</f>
        <v>201.12</v>
      </c>
      <c r="E712" s="34" t="str">
        <f>Database!P726</f>
        <v>10 mg</v>
      </c>
      <c r="F712" s="34" t="str">
        <f>Database!Q726</f>
        <v>H2OmQ to 5 mM, 1eq NaOH to 100 mM</v>
      </c>
      <c r="G712" s="462">
        <f>Database!R726</f>
        <v>0.99399999999999999</v>
      </c>
      <c r="H712" s="35">
        <f>Database!N726</f>
        <v>42914</v>
      </c>
    </row>
    <row r="713" spans="1:8" ht="45" x14ac:dyDescent="0.25">
      <c r="A713" s="225" t="str">
        <f>Database!A727</f>
        <v>17REF117</v>
      </c>
      <c r="B713" s="34" t="str">
        <f>Database!E727</f>
        <v>NEUROSERVICE</v>
      </c>
      <c r="C713" s="34" t="str">
        <f>Database!F727</f>
        <v>N-Methyl-D-glucamine (NMDG)</v>
      </c>
      <c r="D713" s="34">
        <f>Database!K727</f>
        <v>195.21</v>
      </c>
      <c r="E713" s="34" t="str">
        <f>Database!P727</f>
        <v>500 g</v>
      </c>
      <c r="F713" s="34">
        <f>Database!Q727</f>
        <v>0</v>
      </c>
      <c r="G713" s="462">
        <f>Database!R727</f>
        <v>0</v>
      </c>
      <c r="H713" s="35">
        <f>Database!N727</f>
        <v>42919</v>
      </c>
    </row>
    <row r="714" spans="1:8" ht="30" x14ac:dyDescent="0.25">
      <c r="A714" s="225" t="str">
        <f>Database!A728</f>
        <v>17REF118</v>
      </c>
      <c r="B714" s="34" t="str">
        <f>Database!E728</f>
        <v>NEUROSERVICE</v>
      </c>
      <c r="C714" s="34" t="str">
        <f>Database!F728</f>
        <v>Bicuculline methiodide</v>
      </c>
      <c r="D714" s="34">
        <f>Database!K728</f>
        <v>509.29</v>
      </c>
      <c r="E714" s="34" t="str">
        <f>Database!P728</f>
        <v>50 mg</v>
      </c>
      <c r="F714" s="34" t="str">
        <f>Database!Q728</f>
        <v>10 mg/mL in H2O mQ</v>
      </c>
      <c r="G714" s="462">
        <f>Database!R728</f>
        <v>0.95599999999999996</v>
      </c>
      <c r="H714" s="35">
        <f>Database!N728</f>
        <v>42919</v>
      </c>
    </row>
    <row r="715" spans="1:8" ht="30" x14ac:dyDescent="0.25">
      <c r="A715" s="225" t="str">
        <f>Database!A729</f>
        <v>17REF119</v>
      </c>
      <c r="B715" s="34" t="str">
        <f>Database!E729</f>
        <v>NEUROSERVICE</v>
      </c>
      <c r="C715" s="34" t="str">
        <f>Database!F729</f>
        <v>Bicuculline methiodide</v>
      </c>
      <c r="D715" s="34">
        <f>Database!K729</f>
        <v>509.29</v>
      </c>
      <c r="E715" s="34" t="str">
        <f>Database!P729</f>
        <v>50 mg</v>
      </c>
      <c r="F715" s="34" t="str">
        <f>Database!Q729</f>
        <v>10 mg/mL in H2O mQ</v>
      </c>
      <c r="G715" s="462">
        <f>Database!R729</f>
        <v>0.95599999999999996</v>
      </c>
      <c r="H715" s="35">
        <f>Database!N729</f>
        <v>42919</v>
      </c>
    </row>
    <row r="716" spans="1:8" ht="75" x14ac:dyDescent="0.25">
      <c r="A716" s="225" t="str">
        <f>Database!A730</f>
        <v>17SAM120</v>
      </c>
      <c r="B716" s="34" t="str">
        <f>Database!E730</f>
        <v>NAVITOR</v>
      </c>
      <c r="C716" s="34" t="str">
        <f>Database!F730</f>
        <v>NV-5138</v>
      </c>
      <c r="D716" s="34" t="str">
        <f>Database!K730</f>
        <v>NC</v>
      </c>
      <c r="E716" s="34" t="str">
        <f>Database!P730</f>
        <v>460 mg</v>
      </c>
      <c r="F716" s="34" t="str">
        <f>Database!Q730</f>
        <v xml:space="preserve">stock solution 160 mg/mL in Navitor Vehicle </v>
      </c>
      <c r="G716" s="462" t="str">
        <f>Database!R730</f>
        <v>NC</v>
      </c>
      <c r="H716" s="35">
        <f>Database!N730</f>
        <v>42919</v>
      </c>
    </row>
    <row r="717" spans="1:8" ht="60" x14ac:dyDescent="0.25">
      <c r="A717" s="225" t="str">
        <f>Database!A731</f>
        <v>17SAM121</v>
      </c>
      <c r="B717" s="34" t="str">
        <f>Database!E731</f>
        <v>NAVITOR</v>
      </c>
      <c r="C717" s="34" t="str">
        <f>Database!F731</f>
        <v>Vehicle (0.5% MC &amp; 0.1% Tween80)</v>
      </c>
      <c r="D717" s="34" t="str">
        <f>Database!K731</f>
        <v>NC</v>
      </c>
      <c r="E717" s="34" t="str">
        <f>Database!P731</f>
        <v>~~150 mL</v>
      </c>
      <c r="F717" s="34">
        <f>Database!Q731</f>
        <v>0</v>
      </c>
      <c r="G717" s="462" t="str">
        <f>Database!R731</f>
        <v>NC</v>
      </c>
      <c r="H717" s="35">
        <f>Database!N731</f>
        <v>42919</v>
      </c>
    </row>
    <row r="718" spans="1:8" ht="45" x14ac:dyDescent="0.25">
      <c r="A718" s="225" t="str">
        <f>Database!A732</f>
        <v>17SAM122</v>
      </c>
      <c r="B718" s="34" t="str">
        <f>Database!E732</f>
        <v>ROCHE</v>
      </c>
      <c r="C718" s="34" t="str">
        <f>Database!F732</f>
        <v>D-AP5</v>
      </c>
      <c r="D718" s="34">
        <f>Database!K732</f>
        <v>197.13</v>
      </c>
      <c r="E718" s="34" t="str">
        <f>Database!P732</f>
        <v>50 mg</v>
      </c>
      <c r="F718" s="34" t="str">
        <f>Database!Q732</f>
        <v>up to 100 mM H2O mQ</v>
      </c>
      <c r="G718" s="462">
        <f>Database!R732</f>
        <v>0</v>
      </c>
      <c r="H718" s="35">
        <f>Database!N732</f>
        <v>42920</v>
      </c>
    </row>
    <row r="719" spans="1:8" ht="45" x14ac:dyDescent="0.25">
      <c r="A719" s="225" t="str">
        <f>Database!A733</f>
        <v>17REF123</v>
      </c>
      <c r="B719" s="34" t="str">
        <f>Database!E733</f>
        <v>NEUROSERVICE</v>
      </c>
      <c r="C719" s="34" t="str">
        <f>Database!F733</f>
        <v>Quinpirole hydrochloride</v>
      </c>
      <c r="D719" s="34">
        <f>Database!K733</f>
        <v>255.79</v>
      </c>
      <c r="E719" s="34" t="str">
        <f>Database!P733</f>
        <v>10 mg</v>
      </c>
      <c r="F719" s="34" t="str">
        <f>Database!Q733</f>
        <v>23mg/mL in 0.1M HCl</v>
      </c>
      <c r="G719" s="462">
        <f>Database!R733</f>
        <v>0</v>
      </c>
      <c r="H719" s="35">
        <f>Database!N733</f>
        <v>42921</v>
      </c>
    </row>
    <row r="720" spans="1:8" ht="30" x14ac:dyDescent="0.25">
      <c r="A720" s="225" t="str">
        <f>Database!A734</f>
        <v>17REF124</v>
      </c>
      <c r="B720" s="34" t="str">
        <f>Database!E734</f>
        <v>NEUROSERVICE</v>
      </c>
      <c r="C720" s="34" t="str">
        <f>Database!F734</f>
        <v>Glycerol</v>
      </c>
      <c r="D720" s="34">
        <f>Database!K734</f>
        <v>92.09</v>
      </c>
      <c r="E720" s="34" t="str">
        <f>Database!P734</f>
        <v>1L</v>
      </c>
      <c r="F720" s="34">
        <f>Database!Q734</f>
        <v>0</v>
      </c>
      <c r="G720" s="462">
        <f>Database!R734</f>
        <v>0</v>
      </c>
      <c r="H720" s="35">
        <f>Database!N734</f>
        <v>42922</v>
      </c>
    </row>
    <row r="721" spans="1:8" ht="45" x14ac:dyDescent="0.25">
      <c r="A721" s="225" t="str">
        <f>Database!A735</f>
        <v>17REF125</v>
      </c>
      <c r="B721" s="34" t="str">
        <f>Database!E735</f>
        <v>NEUROSERVICE</v>
      </c>
      <c r="C721" s="34" t="str">
        <f>Database!F735</f>
        <v>Phosphocreatine dis(tris) salt</v>
      </c>
      <c r="D721" s="34">
        <f>Database!K735</f>
        <v>453.38</v>
      </c>
      <c r="E721" s="34" t="str">
        <f>Database!P735</f>
        <v>1g</v>
      </c>
      <c r="F721" s="34">
        <f>Database!Q735</f>
        <v>0</v>
      </c>
      <c r="G721" s="462">
        <f>Database!R735</f>
        <v>1</v>
      </c>
      <c r="H721" s="35">
        <f>Database!N735</f>
        <v>42926</v>
      </c>
    </row>
    <row r="722" spans="1:8" ht="30" x14ac:dyDescent="0.25">
      <c r="A722" s="225" t="str">
        <f>Database!A736</f>
        <v>17REF126</v>
      </c>
      <c r="B722" s="34" t="str">
        <f>Database!E736</f>
        <v>NEUROSERVICE</v>
      </c>
      <c r="C722" s="34" t="str">
        <f>Database!F736</f>
        <v>Retigabine</v>
      </c>
      <c r="D722" s="34">
        <f>Database!K736</f>
        <v>303.33</v>
      </c>
      <c r="E722" s="34" t="str">
        <f>Database!P736</f>
        <v>25 mg</v>
      </c>
      <c r="F722" s="34" t="str">
        <f>Database!Q736</f>
        <v>DMSO</v>
      </c>
      <c r="G722" s="462">
        <f>Database!R736</f>
        <v>0.998</v>
      </c>
      <c r="H722" s="35">
        <f>Database!N736</f>
        <v>42928</v>
      </c>
    </row>
    <row r="723" spans="1:8" ht="30" x14ac:dyDescent="0.25">
      <c r="A723" s="225" t="str">
        <f>Database!A737</f>
        <v>17REF127</v>
      </c>
      <c r="B723" s="34" t="str">
        <f>Database!E737</f>
        <v>NEUROSERVICE</v>
      </c>
      <c r="C723" s="34" t="str">
        <f>Database!F737</f>
        <v>GTP tris</v>
      </c>
      <c r="D723" s="34">
        <f>Database!K737</f>
        <v>886.59</v>
      </c>
      <c r="E723" s="34" t="str">
        <f>Database!P737</f>
        <v>100 mg</v>
      </c>
      <c r="F723" s="34" t="str">
        <f>Database!Q737</f>
        <v>50 mg/mL in H2O mQ</v>
      </c>
      <c r="G723" s="462">
        <f>Database!R737</f>
        <v>0.94</v>
      </c>
      <c r="H723" s="35">
        <f>Database!N737</f>
        <v>42928</v>
      </c>
    </row>
    <row r="724" spans="1:8" ht="60" x14ac:dyDescent="0.25">
      <c r="A724" s="225" t="str">
        <f>Database!A738</f>
        <v>17REF128</v>
      </c>
      <c r="B724" s="34" t="str">
        <f>Database!E738</f>
        <v>NEUROSERVICE</v>
      </c>
      <c r="C724" s="34" t="str">
        <f>Database!F738</f>
        <v>L-AP4</v>
      </c>
      <c r="D724" s="34">
        <f>Database!K738</f>
        <v>201.12</v>
      </c>
      <c r="E724" s="34" t="str">
        <f>Database!P738</f>
        <v>10 mg</v>
      </c>
      <c r="F724" s="34" t="str">
        <f>Database!Q738</f>
        <v>H2O mQ to 5 mM, 1eq NaOH to 100 mM</v>
      </c>
      <c r="G724" s="462">
        <f>Database!R738</f>
        <v>0.99399999999999999</v>
      </c>
      <c r="H724" s="35">
        <f>Database!N738</f>
        <v>42927</v>
      </c>
    </row>
    <row r="725" spans="1:8" ht="45" x14ac:dyDescent="0.25">
      <c r="A725" s="225" t="str">
        <f>Database!A739</f>
        <v>17SAM129</v>
      </c>
      <c r="B725" s="34" t="str">
        <f>Database!E739</f>
        <v>CHDI</v>
      </c>
      <c r="C725" s="34" t="str">
        <f>Database!F739</f>
        <v>CHDI-00578723-0000-001</v>
      </c>
      <c r="D725" s="34">
        <f>Database!K739</f>
        <v>398.48</v>
      </c>
      <c r="E725" s="34" t="str">
        <f>Database!P739</f>
        <v>8.3 mg</v>
      </c>
      <c r="F725" s="34" t="str">
        <f>Database!Q739</f>
        <v>DMSO</v>
      </c>
      <c r="G725" s="462">
        <f>Database!R739</f>
        <v>0.99</v>
      </c>
      <c r="H725" s="35">
        <f>Database!N739</f>
        <v>42929</v>
      </c>
    </row>
    <row r="726" spans="1:8" ht="30" x14ac:dyDescent="0.25">
      <c r="A726" s="225" t="str">
        <f>Database!A740</f>
        <v>17REF130</v>
      </c>
      <c r="B726" s="34" t="str">
        <f>Database!E740</f>
        <v>NEUROSERVICE</v>
      </c>
      <c r="C726" s="34" t="str">
        <f>Database!F740</f>
        <v>GS21</v>
      </c>
      <c r="D726" s="34" t="str">
        <f>Database!K740</f>
        <v>50 X</v>
      </c>
      <c r="E726" s="34" t="str">
        <f>Database!P740</f>
        <v>10 mL</v>
      </c>
      <c r="F726" s="34">
        <f>Database!Q740</f>
        <v>0</v>
      </c>
      <c r="G726" s="462">
        <f>Database!R740</f>
        <v>0</v>
      </c>
      <c r="H726" s="35">
        <f>Database!N740</f>
        <v>42927</v>
      </c>
    </row>
    <row r="727" spans="1:8" ht="30" x14ac:dyDescent="0.25">
      <c r="A727" s="225" t="str">
        <f>Database!A741</f>
        <v>17REF131</v>
      </c>
      <c r="B727" s="34" t="str">
        <f>Database!E741</f>
        <v>NEUROSERVICE</v>
      </c>
      <c r="C727" s="34" t="str">
        <f>Database!F741</f>
        <v>Picrotoxin</v>
      </c>
      <c r="D727" s="34">
        <f>Database!K741</f>
        <v>602.58000000000004</v>
      </c>
      <c r="E727" s="34" t="str">
        <f>Database!P741</f>
        <v>5g</v>
      </c>
      <c r="F727" s="34" t="str">
        <f>Database!Q741</f>
        <v>DMSO</v>
      </c>
      <c r="G727" s="462">
        <f>Database!R741</f>
        <v>0.99</v>
      </c>
      <c r="H727" s="35">
        <f>Database!N741</f>
        <v>42936</v>
      </c>
    </row>
    <row r="728" spans="1:8" ht="45" x14ac:dyDescent="0.25">
      <c r="A728" s="225" t="str">
        <f>Database!A742</f>
        <v>17REF132</v>
      </c>
      <c r="B728" s="34" t="str">
        <f>Database!E742</f>
        <v>NEUROSERVICE</v>
      </c>
      <c r="C728" s="34" t="str">
        <f>Database!F742</f>
        <v>D-AP5</v>
      </c>
      <c r="D728" s="34">
        <f>Database!K742</f>
        <v>197.13</v>
      </c>
      <c r="E728" s="34" t="str">
        <f>Database!P742</f>
        <v>50 mg</v>
      </c>
      <c r="F728" s="34" t="str">
        <f>Database!Q742</f>
        <v>up to 100 mM H2O mQ</v>
      </c>
      <c r="G728" s="462">
        <f>Database!R742</f>
        <v>1</v>
      </c>
      <c r="H728" s="35">
        <f>Database!N742</f>
        <v>42936</v>
      </c>
    </row>
    <row r="729" spans="1:8" ht="45" x14ac:dyDescent="0.25">
      <c r="A729" s="225" t="str">
        <f>Database!A743</f>
        <v>17REF133</v>
      </c>
      <c r="B729" s="34" t="str">
        <f>Database!E743</f>
        <v>NEUROSERVICE</v>
      </c>
      <c r="C729" s="34" t="str">
        <f>Database!F743</f>
        <v>CNQX disodium salt</v>
      </c>
      <c r="D729" s="34">
        <f>Database!K743</f>
        <v>307.64999999999998</v>
      </c>
      <c r="E729" s="34" t="str">
        <f>Database!P743</f>
        <v>50 mg</v>
      </c>
      <c r="F729" s="34" t="str">
        <f>Database!Q743</f>
        <v>H2O to 25 mM</v>
      </c>
      <c r="G729" s="462">
        <f>Database!R743</f>
        <v>1</v>
      </c>
      <c r="H729" s="35">
        <f>Database!N743</f>
        <v>42936</v>
      </c>
    </row>
    <row r="730" spans="1:8" ht="30" x14ac:dyDescent="0.25">
      <c r="A730" s="225" t="str">
        <f>Database!A744</f>
        <v>17SAM134</v>
      </c>
      <c r="B730" s="34" t="str">
        <f>Database!E744</f>
        <v>SKBP</v>
      </c>
      <c r="C730" s="34" t="str">
        <f>Database!F744</f>
        <v>YKP3089</v>
      </c>
      <c r="D730" s="34">
        <f>Database!K744</f>
        <v>267.67</v>
      </c>
      <c r="E730" s="34" t="str">
        <f>Database!P744</f>
        <v>89 mg</v>
      </c>
      <c r="F730" s="34" t="str">
        <f>Database!Q744</f>
        <v>100 mM in DMSO</v>
      </c>
      <c r="G730" s="462" t="str">
        <f>Database!R744</f>
        <v>NC</v>
      </c>
      <c r="H730" s="35">
        <f>Database!N744</f>
        <v>42936</v>
      </c>
    </row>
    <row r="731" spans="1:8" ht="45" x14ac:dyDescent="0.25">
      <c r="A731" s="225" t="str">
        <f>Database!A745</f>
        <v>17SAM135</v>
      </c>
      <c r="B731" s="34" t="str">
        <f>Database!E745</f>
        <v>ALKERMES</v>
      </c>
      <c r="C731" s="34" t="str">
        <f>Database!F745</f>
        <v>DAMGO</v>
      </c>
      <c r="D731" s="34">
        <f>Database!K745</f>
        <v>513.70000000000005</v>
      </c>
      <c r="E731" s="34" t="str">
        <f>Database!P745</f>
        <v>1 mg</v>
      </c>
      <c r="F731" s="34" t="str">
        <f>Database!Q745</f>
        <v>up to 2ml/mL in H2O mQ</v>
      </c>
      <c r="G731" s="462">
        <f>Database!R745</f>
        <v>0.8</v>
      </c>
      <c r="H731" s="35">
        <f>Database!N745</f>
        <v>42947</v>
      </c>
    </row>
    <row r="732" spans="1:8" ht="45" x14ac:dyDescent="0.25">
      <c r="A732" s="225" t="str">
        <f>Database!A746</f>
        <v>17SAM136</v>
      </c>
      <c r="B732" s="34" t="str">
        <f>Database!E746</f>
        <v>ALKERMES</v>
      </c>
      <c r="C732" s="34" t="str">
        <f>Database!F746</f>
        <v>DAMGO</v>
      </c>
      <c r="D732" s="34">
        <f>Database!K746</f>
        <v>513.70000000000005</v>
      </c>
      <c r="E732" s="34" t="str">
        <f>Database!P746</f>
        <v>1 mg</v>
      </c>
      <c r="F732" s="34" t="str">
        <f>Database!Q746</f>
        <v>up to 2ml/mL in H2O mQ</v>
      </c>
      <c r="G732" s="462">
        <f>Database!R746</f>
        <v>0.8</v>
      </c>
      <c r="H732" s="35">
        <f>Database!N746</f>
        <v>42947</v>
      </c>
    </row>
    <row r="733" spans="1:8" ht="45" x14ac:dyDescent="0.25">
      <c r="A733" s="225" t="str">
        <f>Database!A747</f>
        <v>17SAM137</v>
      </c>
      <c r="B733" s="34" t="str">
        <f>Database!E747</f>
        <v>ALKERMES</v>
      </c>
      <c r="C733" s="34" t="str">
        <f>Database!F747</f>
        <v>DAMGO</v>
      </c>
      <c r="D733" s="34">
        <f>Database!K747</f>
        <v>513.70000000000005</v>
      </c>
      <c r="E733" s="34" t="str">
        <f>Database!P747</f>
        <v>1 mg</v>
      </c>
      <c r="F733" s="34" t="str">
        <f>Database!Q747</f>
        <v>up to 2ml/mL in H2O mQ</v>
      </c>
      <c r="G733" s="462">
        <f>Database!R747</f>
        <v>0.8</v>
      </c>
      <c r="H733" s="35">
        <f>Database!N747</f>
        <v>42947</v>
      </c>
    </row>
    <row r="734" spans="1:8" ht="45" x14ac:dyDescent="0.25">
      <c r="A734" s="225" t="str">
        <f>Database!A748</f>
        <v>17SAM138</v>
      </c>
      <c r="B734" s="34" t="str">
        <f>Database!E748</f>
        <v>ROCHE</v>
      </c>
      <c r="C734" s="34" t="str">
        <f>Database!F748</f>
        <v>D-AP5</v>
      </c>
      <c r="D734" s="34">
        <f>Database!K748</f>
        <v>197.13</v>
      </c>
      <c r="E734" s="34" t="str">
        <f>Database!P748</f>
        <v>50 mg</v>
      </c>
      <c r="F734" s="34" t="str">
        <f>Database!Q748</f>
        <v>up to 100 mM H2O mQ</v>
      </c>
      <c r="G734" s="462">
        <f>Database!R748</f>
        <v>1</v>
      </c>
      <c r="H734" s="35">
        <f>Database!N748</f>
        <v>42943</v>
      </c>
    </row>
    <row r="735" spans="1:8" ht="45" x14ac:dyDescent="0.25">
      <c r="A735" s="225" t="str">
        <f>Database!A749</f>
        <v>17SAM139</v>
      </c>
      <c r="B735" s="34" t="str">
        <f>Database!E749</f>
        <v>ROCHE</v>
      </c>
      <c r="C735" s="34" t="str">
        <f>Database!F749</f>
        <v>CNQX disodium salt</v>
      </c>
      <c r="D735" s="34">
        <f>Database!K749</f>
        <v>316.64999999999998</v>
      </c>
      <c r="E735" s="34" t="str">
        <f>Database!P749</f>
        <v>50 mg</v>
      </c>
      <c r="F735" s="34" t="str">
        <f>Database!Q749</f>
        <v>20 mM in H2O mQ</v>
      </c>
      <c r="G735" s="462">
        <f>Database!R749</f>
        <v>0.99199999999999999</v>
      </c>
      <c r="H735" s="35">
        <f>Database!N749</f>
        <v>42943</v>
      </c>
    </row>
    <row r="736" spans="1:8" ht="45" x14ac:dyDescent="0.25">
      <c r="A736" s="225" t="str">
        <f>Database!A750</f>
        <v>17REF140</v>
      </c>
      <c r="B736" s="34" t="str">
        <f>Database!E750</f>
        <v>NEUROSERVICE</v>
      </c>
      <c r="C736" s="34" t="str">
        <f>Database!F750</f>
        <v>N-Methyl-D-glucamine (NMDG)</v>
      </c>
      <c r="D736" s="34">
        <f>Database!K750</f>
        <v>195.21</v>
      </c>
      <c r="E736" s="34" t="str">
        <f>Database!P750</f>
        <v>500 g</v>
      </c>
      <c r="F736" s="34">
        <f>Database!Q750</f>
        <v>0</v>
      </c>
      <c r="G736" s="462">
        <f>Database!R750</f>
        <v>1</v>
      </c>
      <c r="H736" s="35">
        <f>Database!N750</f>
        <v>42950</v>
      </c>
    </row>
    <row r="737" spans="1:8" ht="30" x14ac:dyDescent="0.25">
      <c r="A737" s="225" t="str">
        <f>Database!A751</f>
        <v>17REF141</v>
      </c>
      <c r="B737" s="34" t="str">
        <f>Database!E751</f>
        <v>NEUROSERVICE</v>
      </c>
      <c r="C737" s="34" t="str">
        <f>Database!F751</f>
        <v>HEPES</v>
      </c>
      <c r="D737" s="34">
        <f>Database!K751</f>
        <v>238.3</v>
      </c>
      <c r="E737" s="34" t="str">
        <f>Database!P751</f>
        <v>100 g</v>
      </c>
      <c r="F737" s="34" t="str">
        <f>Database!Q751</f>
        <v>H2O mQ to 500mg/mL</v>
      </c>
      <c r="G737" s="462">
        <f>Database!R751</f>
        <v>1</v>
      </c>
      <c r="H737" s="35">
        <f>Database!N751</f>
        <v>42950</v>
      </c>
    </row>
    <row r="738" spans="1:8" ht="30" x14ac:dyDescent="0.25">
      <c r="A738" s="225" t="str">
        <f>Database!A752</f>
        <v>17REF142</v>
      </c>
      <c r="B738" s="34" t="str">
        <f>Database!E752</f>
        <v>NEUROSERVICE</v>
      </c>
      <c r="C738" s="34" t="str">
        <f>Database!F752</f>
        <v>D-Serine</v>
      </c>
      <c r="D738" s="34">
        <f>Database!K752</f>
        <v>105.09</v>
      </c>
      <c r="E738" s="34" t="str">
        <f>Database!P752</f>
        <v>5 g</v>
      </c>
      <c r="F738" s="34" t="str">
        <f>Database!Q752</f>
        <v>H2O mQ</v>
      </c>
      <c r="G738" s="462">
        <f>Database!R752</f>
        <v>1</v>
      </c>
      <c r="H738" s="35">
        <f>Database!N752</f>
        <v>42950</v>
      </c>
    </row>
    <row r="739" spans="1:8" ht="45" x14ac:dyDescent="0.25">
      <c r="A739" s="225" t="str">
        <f>Database!A753</f>
        <v>17SAM143</v>
      </c>
      <c r="B739" s="34" t="str">
        <f>Database!E753</f>
        <v>TAKEDA</v>
      </c>
      <c r="C739" s="34" t="str">
        <f>Database!F753</f>
        <v>CNQX disodium salt</v>
      </c>
      <c r="D739" s="34">
        <f>Database!K753</f>
        <v>307.64999999999998</v>
      </c>
      <c r="E739" s="34" t="str">
        <f>Database!P753</f>
        <v>50 mg</v>
      </c>
      <c r="F739" s="34" t="str">
        <f>Database!Q753</f>
        <v>up to 25 mM in H2O mQ</v>
      </c>
      <c r="G739" s="462">
        <f>Database!R753</f>
        <v>1</v>
      </c>
      <c r="H739" s="35">
        <f>Database!N753</f>
        <v>42950</v>
      </c>
    </row>
    <row r="740" spans="1:8" ht="45" x14ac:dyDescent="0.25">
      <c r="A740" s="225" t="str">
        <f>Database!A754</f>
        <v>17SAM144</v>
      </c>
      <c r="B740" s="34" t="str">
        <f>Database!E754</f>
        <v>TAKEDA</v>
      </c>
      <c r="C740" s="34" t="str">
        <f>Database!F754</f>
        <v>D-AP5</v>
      </c>
      <c r="D740" s="34">
        <f>Database!K754</f>
        <v>197.13</v>
      </c>
      <c r="E740" s="34" t="str">
        <f>Database!P754</f>
        <v>50 mg</v>
      </c>
      <c r="F740" s="34" t="str">
        <f>Database!Q754</f>
        <v>up to 100 mM H2O mQ</v>
      </c>
      <c r="G740" s="462">
        <f>Database!R754</f>
        <v>1</v>
      </c>
      <c r="H740" s="35">
        <f>Database!N754</f>
        <v>42950</v>
      </c>
    </row>
    <row r="741" spans="1:8" ht="45" x14ac:dyDescent="0.25">
      <c r="A741" s="225" t="str">
        <f>Database!A755</f>
        <v>17REF145</v>
      </c>
      <c r="B741" s="34" t="str">
        <f>Database!E755</f>
        <v>NEUROSERVICE</v>
      </c>
      <c r="C741" s="34" t="str">
        <f>Database!F755</f>
        <v>D-AP5</v>
      </c>
      <c r="D741" s="34">
        <f>Database!K755</f>
        <v>197.13</v>
      </c>
      <c r="E741" s="34" t="str">
        <f>Database!P755</f>
        <v>50 mg</v>
      </c>
      <c r="F741" s="34" t="str">
        <f>Database!Q755</f>
        <v>up to 100 mM H2O mQ</v>
      </c>
      <c r="G741" s="462">
        <f>Database!R755</f>
        <v>1</v>
      </c>
      <c r="H741" s="35">
        <f>Database!N755</f>
        <v>42950</v>
      </c>
    </row>
    <row r="742" spans="1:8" ht="30" x14ac:dyDescent="0.25">
      <c r="A742" s="225" t="str">
        <f>Database!A756</f>
        <v>17SAM146</v>
      </c>
      <c r="B742" s="34" t="str">
        <f>Database!E756</f>
        <v>ALKERMES</v>
      </c>
      <c r="C742" s="34" t="str">
        <f>Database!F756</f>
        <v>CGP-55845</v>
      </c>
      <c r="D742" s="34">
        <f>Database!K756</f>
        <v>438.71</v>
      </c>
      <c r="E742" s="34" t="str">
        <f>Database!P756</f>
        <v>10 mg</v>
      </c>
      <c r="F742" s="34" t="str">
        <f>Database!Q756</f>
        <v>DMSO up to 100 mM</v>
      </c>
      <c r="G742" s="462">
        <f>Database!R756</f>
        <v>0.999</v>
      </c>
      <c r="H742" s="35">
        <f>Database!N756</f>
        <v>42954</v>
      </c>
    </row>
    <row r="743" spans="1:8" ht="30" x14ac:dyDescent="0.25">
      <c r="A743" s="225" t="str">
        <f>Database!A757</f>
        <v>17REF147</v>
      </c>
      <c r="B743" s="34" t="str">
        <f>Database!E757</f>
        <v>NEUROSERVICE</v>
      </c>
      <c r="C743" s="34" t="str">
        <f>Database!F757</f>
        <v>Heparine sodium salt</v>
      </c>
      <c r="D743" s="34" t="str">
        <f>Database!K757</f>
        <v>300 USP</v>
      </c>
      <c r="E743" s="34" t="str">
        <f>Database!P757</f>
        <v>300 USP/Vial</v>
      </c>
      <c r="F743" s="34" t="str">
        <f>Database!Q757</f>
        <v>5 mL H2O mQ / Vial</v>
      </c>
      <c r="G743" s="462" t="str">
        <f>Database!R757</f>
        <v>-</v>
      </c>
      <c r="H743" s="35">
        <f>Database!N757</f>
        <v>42947</v>
      </c>
    </row>
    <row r="744" spans="1:8" ht="30" x14ac:dyDescent="0.25">
      <c r="A744" s="225" t="str">
        <f>Database!A758</f>
        <v>17REF148</v>
      </c>
      <c r="B744" s="34" t="str">
        <f>Database!E758</f>
        <v>NEUROSERVICE</v>
      </c>
      <c r="C744" s="34" t="str">
        <f>Database!F758</f>
        <v>Heparine sodium salt</v>
      </c>
      <c r="D744" s="34" t="str">
        <f>Database!K758</f>
        <v>300 USP</v>
      </c>
      <c r="E744" s="34" t="str">
        <f>Database!P758</f>
        <v>300 USP/Vial</v>
      </c>
      <c r="F744" s="34" t="str">
        <f>Database!Q758</f>
        <v>5 mL H2O mQ / Vial</v>
      </c>
      <c r="G744" s="462" t="str">
        <f>Database!R758</f>
        <v>-</v>
      </c>
      <c r="H744" s="35">
        <f>Database!N758</f>
        <v>42947</v>
      </c>
    </row>
    <row r="745" spans="1:8" ht="30" x14ac:dyDescent="0.25">
      <c r="A745" s="225" t="str">
        <f>Database!A759</f>
        <v>17REF149</v>
      </c>
      <c r="B745" s="34" t="str">
        <f>Database!E759</f>
        <v>NEUROSERVICE</v>
      </c>
      <c r="C745" s="34" t="str">
        <f>Database!F759</f>
        <v>Heparine sodium salt</v>
      </c>
      <c r="D745" s="34" t="str">
        <f>Database!K759</f>
        <v>300 USP</v>
      </c>
      <c r="E745" s="34" t="str">
        <f>Database!P759</f>
        <v>300 USP/Vial</v>
      </c>
      <c r="F745" s="34" t="str">
        <f>Database!Q759</f>
        <v>5 mL H2O mQ / Vial</v>
      </c>
      <c r="G745" s="462" t="str">
        <f>Database!R759</f>
        <v>-</v>
      </c>
      <c r="H745" s="35">
        <f>Database!N759</f>
        <v>42947</v>
      </c>
    </row>
    <row r="746" spans="1:8" ht="30" x14ac:dyDescent="0.25">
      <c r="A746" s="225" t="str">
        <f>Database!A760</f>
        <v>17REF150</v>
      </c>
      <c r="B746" s="34" t="str">
        <f>Database!E760</f>
        <v>NEUROSERVICE</v>
      </c>
      <c r="C746" s="34" t="str">
        <f>Database!F760</f>
        <v>Heparine sodium salt</v>
      </c>
      <c r="D746" s="34" t="str">
        <f>Database!K760</f>
        <v>300 USP</v>
      </c>
      <c r="E746" s="34" t="str">
        <f>Database!P760</f>
        <v>300 USP/Vial</v>
      </c>
      <c r="F746" s="34" t="str">
        <f>Database!Q760</f>
        <v>5 mL H2O mQ / Vial</v>
      </c>
      <c r="G746" s="462" t="str">
        <f>Database!R760</f>
        <v>-</v>
      </c>
      <c r="H746" s="35">
        <f>Database!N760</f>
        <v>42947</v>
      </c>
    </row>
    <row r="747" spans="1:8" ht="30" x14ac:dyDescent="0.25">
      <c r="A747" s="225" t="str">
        <f>Database!A761</f>
        <v>17REF151</v>
      </c>
      <c r="B747" s="34" t="str">
        <f>Database!E761</f>
        <v>NEUROSERVICE</v>
      </c>
      <c r="C747" s="34" t="str">
        <f>Database!F761</f>
        <v>Heparine sodium salt</v>
      </c>
      <c r="D747" s="34" t="str">
        <f>Database!K761</f>
        <v>300 USP</v>
      </c>
      <c r="E747" s="34" t="str">
        <f>Database!P761</f>
        <v>300 USP/Vial</v>
      </c>
      <c r="F747" s="34" t="str">
        <f>Database!Q761</f>
        <v>5 mL H2O mQ / Vial</v>
      </c>
      <c r="G747" s="462" t="str">
        <f>Database!R761</f>
        <v>-</v>
      </c>
      <c r="H747" s="35">
        <f>Database!N761</f>
        <v>42947</v>
      </c>
    </row>
    <row r="748" spans="1:8" ht="30" x14ac:dyDescent="0.25">
      <c r="A748" s="225" t="str">
        <f>Database!A762</f>
        <v>17REF152</v>
      </c>
      <c r="B748" s="34" t="str">
        <f>Database!E762</f>
        <v>NEUROSERVICE</v>
      </c>
      <c r="C748" s="34" t="str">
        <f>Database!F762</f>
        <v>Heparine sodium salt</v>
      </c>
      <c r="D748" s="34" t="str">
        <f>Database!K762</f>
        <v>300 USP</v>
      </c>
      <c r="E748" s="34" t="str">
        <f>Database!P762</f>
        <v>300 USP/Vial</v>
      </c>
      <c r="F748" s="34" t="str">
        <f>Database!Q762</f>
        <v>5 mL H2O mQ / Vial</v>
      </c>
      <c r="G748" s="462" t="str">
        <f>Database!R762</f>
        <v>-</v>
      </c>
      <c r="H748" s="35">
        <f>Database!N762</f>
        <v>42947</v>
      </c>
    </row>
    <row r="749" spans="1:8" ht="30" x14ac:dyDescent="0.25">
      <c r="A749" s="225" t="str">
        <f>Database!A763</f>
        <v>17REF153</v>
      </c>
      <c r="B749" s="34" t="str">
        <f>Database!E763</f>
        <v>NEUROSERVICE</v>
      </c>
      <c r="C749" s="34" t="str">
        <f>Database!F763</f>
        <v>Heparine sodium salt</v>
      </c>
      <c r="D749" s="34" t="str">
        <f>Database!K763</f>
        <v>300 USP</v>
      </c>
      <c r="E749" s="34" t="str">
        <f>Database!P763</f>
        <v>300 USP/Vial</v>
      </c>
      <c r="F749" s="34" t="str">
        <f>Database!Q763</f>
        <v>5 mL H2O mQ / Vial</v>
      </c>
      <c r="G749" s="462" t="str">
        <f>Database!R763</f>
        <v>-</v>
      </c>
      <c r="H749" s="35">
        <f>Database!N763</f>
        <v>42947</v>
      </c>
    </row>
    <row r="750" spans="1:8" ht="30" x14ac:dyDescent="0.25">
      <c r="A750" s="225" t="str">
        <f>Database!A764</f>
        <v>17REF154</v>
      </c>
      <c r="B750" s="34" t="str">
        <f>Database!E764</f>
        <v>NEUROSERVICE</v>
      </c>
      <c r="C750" s="34" t="str">
        <f>Database!F764</f>
        <v>Heparine sodium salt</v>
      </c>
      <c r="D750" s="34" t="str">
        <f>Database!K764</f>
        <v>300 USP</v>
      </c>
      <c r="E750" s="34" t="str">
        <f>Database!P764</f>
        <v>300 USP/Vial</v>
      </c>
      <c r="F750" s="34" t="str">
        <f>Database!Q764</f>
        <v>5 mL H2O mQ / Vial</v>
      </c>
      <c r="G750" s="462" t="str">
        <f>Database!R764</f>
        <v>-</v>
      </c>
      <c r="H750" s="35">
        <f>Database!N764</f>
        <v>42947</v>
      </c>
    </row>
    <row r="751" spans="1:8" ht="30" x14ac:dyDescent="0.25">
      <c r="A751" s="225" t="str">
        <f>Database!A765</f>
        <v>17REF155</v>
      </c>
      <c r="B751" s="34" t="str">
        <f>Database!E765</f>
        <v>NEUROSERVICE</v>
      </c>
      <c r="C751" s="34" t="str">
        <f>Database!F765</f>
        <v>Heparine sodium salt</v>
      </c>
      <c r="D751" s="34" t="str">
        <f>Database!K765</f>
        <v>300 USP</v>
      </c>
      <c r="E751" s="34" t="str">
        <f>Database!P765</f>
        <v>300 USP/Vial</v>
      </c>
      <c r="F751" s="34" t="str">
        <f>Database!Q765</f>
        <v>5 mL H2O mQ / Vial</v>
      </c>
      <c r="G751" s="462" t="str">
        <f>Database!R765</f>
        <v>-</v>
      </c>
      <c r="H751" s="35">
        <f>Database!N765</f>
        <v>42947</v>
      </c>
    </row>
    <row r="752" spans="1:8" ht="30" x14ac:dyDescent="0.25">
      <c r="A752" s="225" t="str">
        <f>Database!A766</f>
        <v>17REF156</v>
      </c>
      <c r="B752" s="34" t="str">
        <f>Database!E766</f>
        <v>NEUROSERVICE</v>
      </c>
      <c r="C752" s="34" t="str">
        <f>Database!F766</f>
        <v>Heparine sodium salt</v>
      </c>
      <c r="D752" s="34" t="str">
        <f>Database!K766</f>
        <v>300 USP</v>
      </c>
      <c r="E752" s="34" t="str">
        <f>Database!P766</f>
        <v>300 USP/Vial</v>
      </c>
      <c r="F752" s="34" t="str">
        <f>Database!Q766</f>
        <v>5 mL H2O mQ / Vial</v>
      </c>
      <c r="G752" s="462" t="str">
        <f>Database!R766</f>
        <v>-</v>
      </c>
      <c r="H752" s="35">
        <f>Database!N766</f>
        <v>42947</v>
      </c>
    </row>
    <row r="753" spans="1:8" ht="45" x14ac:dyDescent="0.25">
      <c r="A753" s="225" t="str">
        <f>Database!A767</f>
        <v>17REF157</v>
      </c>
      <c r="B753" s="34" t="str">
        <f>Database!E767</f>
        <v>NEUROSERVICE</v>
      </c>
      <c r="C753" s="34" t="str">
        <f>Database!F767</f>
        <v>D-AP5</v>
      </c>
      <c r="D753" s="34">
        <f>Database!K767</f>
        <v>197.13</v>
      </c>
      <c r="E753" s="34" t="str">
        <f>Database!P767</f>
        <v>50 mg</v>
      </c>
      <c r="F753" s="34" t="str">
        <f>Database!Q767</f>
        <v>up to 100 mM H2O mQ</v>
      </c>
      <c r="G753" s="462">
        <f>Database!R767</f>
        <v>1</v>
      </c>
      <c r="H753" s="35">
        <f>Database!N767</f>
        <v>42955</v>
      </c>
    </row>
    <row r="754" spans="1:8" ht="45" x14ac:dyDescent="0.25">
      <c r="A754" s="225" t="str">
        <f>Database!A768</f>
        <v>17REF158</v>
      </c>
      <c r="B754" s="34" t="str">
        <f>Database!E768</f>
        <v>NEUROSERVICE</v>
      </c>
      <c r="C754" s="34" t="str">
        <f>Database!F768</f>
        <v>D-AP5</v>
      </c>
      <c r="D754" s="34">
        <f>Database!K768</f>
        <v>197.13</v>
      </c>
      <c r="E754" s="34" t="str">
        <f>Database!P768</f>
        <v>50 mg</v>
      </c>
      <c r="F754" s="34" t="str">
        <f>Database!Q768</f>
        <v>up to 100 mM H2O mQ</v>
      </c>
      <c r="G754" s="462">
        <f>Database!R768</f>
        <v>1</v>
      </c>
      <c r="H754" s="35">
        <f>Database!N768</f>
        <v>42955</v>
      </c>
    </row>
    <row r="755" spans="1:8" ht="60" x14ac:dyDescent="0.25">
      <c r="A755" s="225" t="str">
        <f>Database!A769</f>
        <v>17SAM159</v>
      </c>
      <c r="B755" s="34" t="str">
        <f>Database!E769</f>
        <v>VISTAGEN THERAPEUTICS</v>
      </c>
      <c r="C755" s="34" t="str">
        <f>Database!F769</f>
        <v>AV-101 or L-4-chlorokynurenine</v>
      </c>
      <c r="D755" s="34">
        <f>Database!K769</f>
        <v>242.7</v>
      </c>
      <c r="E755" s="34" t="str">
        <f>Database!P769</f>
        <v>25 mg</v>
      </c>
      <c r="F755" s="34" t="str">
        <f>Database!Q769</f>
        <v>Sodium Phosphate Buffer (CF CHF)</v>
      </c>
      <c r="G755" s="462">
        <f>Database!R769</f>
        <v>0.98599999999999999</v>
      </c>
      <c r="H755" s="35">
        <f>Database!N769</f>
        <v>42964</v>
      </c>
    </row>
    <row r="756" spans="1:8" ht="75" x14ac:dyDescent="0.25">
      <c r="A756" s="225" t="str">
        <f>Database!A770</f>
        <v>17SAM160</v>
      </c>
      <c r="B756" s="34" t="str">
        <f>Database!E770</f>
        <v>VISTAGEN THERAPEUTICS</v>
      </c>
      <c r="C756" s="34" t="str">
        <f>Database!F770</f>
        <v>Sodium phosphate monobasic monohydrate</v>
      </c>
      <c r="D756" s="34">
        <f>Database!K770</f>
        <v>137.99</v>
      </c>
      <c r="E756" s="34" t="str">
        <f>Database!P770</f>
        <v>250 g</v>
      </c>
      <c r="F756" s="34" t="str">
        <f>Database!Q770</f>
        <v>1 M in H2O at 20°C</v>
      </c>
      <c r="G756" s="462">
        <f>Database!R770</f>
        <v>1</v>
      </c>
      <c r="H756" s="35">
        <f>Database!N770</f>
        <v>42968</v>
      </c>
    </row>
    <row r="757" spans="1:8" ht="45" x14ac:dyDescent="0.25">
      <c r="A757" s="225" t="str">
        <f>Database!A771</f>
        <v>17SAM161</v>
      </c>
      <c r="B757" s="34" t="str">
        <f>Database!E771</f>
        <v>VISTAGEN THERAPEUTICS</v>
      </c>
      <c r="C757" s="34" t="str">
        <f>Database!F771</f>
        <v>sodium phosphate dibasic</v>
      </c>
      <c r="D757" s="34">
        <f>Database!K771</f>
        <v>141.96</v>
      </c>
      <c r="E757" s="34" t="str">
        <f>Database!P771</f>
        <v>250 g</v>
      </c>
      <c r="F757" s="34" t="str">
        <f>Database!Q771</f>
        <v>100 mg/mL in H2O</v>
      </c>
      <c r="G757" s="462">
        <f>Database!R771</f>
        <v>0.99299999999999999</v>
      </c>
      <c r="H757" s="35">
        <f>Database!N771</f>
        <v>42968</v>
      </c>
    </row>
    <row r="758" spans="1:8" ht="30" x14ac:dyDescent="0.25">
      <c r="A758" s="225" t="str">
        <f>Database!A772</f>
        <v>17REF162</v>
      </c>
      <c r="B758" s="34" t="str">
        <f>Database!E772</f>
        <v>NEUROSERVICE</v>
      </c>
      <c r="C758" s="34" t="str">
        <f>Database!F772</f>
        <v>Bicuculline methiodide</v>
      </c>
      <c r="D758" s="34">
        <f>Database!K772</f>
        <v>509.29</v>
      </c>
      <c r="E758" s="34" t="str">
        <f>Database!P772</f>
        <v>50 mg</v>
      </c>
      <c r="F758" s="34" t="str">
        <f>Database!Q772</f>
        <v>10 mg/mL in H2O mQ</v>
      </c>
      <c r="G758" s="462">
        <f>Database!R772</f>
        <v>0.95599999999999996</v>
      </c>
      <c r="H758" s="35">
        <f>Database!N772</f>
        <v>42968</v>
      </c>
    </row>
    <row r="759" spans="1:8" ht="30" x14ac:dyDescent="0.25">
      <c r="A759" s="225" t="str">
        <f>Database!A773</f>
        <v>17REF163</v>
      </c>
      <c r="B759" s="34" t="str">
        <f>Database!E773</f>
        <v>NEUROSERVICE</v>
      </c>
      <c r="C759" s="34" t="str">
        <f>Database!F773</f>
        <v>Bicuculline methiodide</v>
      </c>
      <c r="D759" s="34">
        <f>Database!K773</f>
        <v>509.29</v>
      </c>
      <c r="E759" s="34" t="str">
        <f>Database!P773</f>
        <v>50 mg</v>
      </c>
      <c r="F759" s="34" t="str">
        <f>Database!Q773</f>
        <v>10 mg/mL in H2O mQ</v>
      </c>
      <c r="G759" s="462" t="str">
        <f>Database!R773</f>
        <v>95,6 %</v>
      </c>
      <c r="H759" s="35">
        <f>Database!N773</f>
        <v>42968</v>
      </c>
    </row>
    <row r="760" spans="1:8" ht="30" x14ac:dyDescent="0.25">
      <c r="A760" s="225" t="str">
        <f>Database!A774</f>
        <v>17SAM164</v>
      </c>
      <c r="B760" s="34" t="str">
        <f>Database!E774</f>
        <v>SERVIER</v>
      </c>
      <c r="C760" s="34" t="str">
        <f>Database!F774</f>
        <v>Epothilone D</v>
      </c>
      <c r="D760" s="34">
        <f>Database!K774</f>
        <v>491.68</v>
      </c>
      <c r="E760" s="34" t="str">
        <f>Database!P774</f>
        <v>21.33 mg</v>
      </c>
      <c r="F760" s="34" t="str">
        <f>Database!Q774</f>
        <v>10 mM in DMSO</v>
      </c>
      <c r="G760" s="462">
        <f>Database!R774</f>
        <v>0.98599999999999999</v>
      </c>
      <c r="H760" s="35">
        <f>Database!N774</f>
        <v>42969</v>
      </c>
    </row>
    <row r="761" spans="1:8" ht="45" x14ac:dyDescent="0.25">
      <c r="A761" s="225" t="str">
        <f>Database!A775</f>
        <v>17REF165</v>
      </c>
      <c r="B761" s="34" t="str">
        <f>Database!E775</f>
        <v>NEUROSERVICE</v>
      </c>
      <c r="C761" s="34" t="str">
        <f>Database!F775</f>
        <v>NBQX</v>
      </c>
      <c r="D761" s="34">
        <f>Database!K775</f>
        <v>340.78</v>
      </c>
      <c r="E761" s="34" t="str">
        <f>Database!P775</f>
        <v>50 mg</v>
      </c>
      <c r="F761" s="34" t="str">
        <f>Database!Q775</f>
        <v>up to 100 mM in DMSO</v>
      </c>
      <c r="G761" s="462">
        <f>Database!R775</f>
        <v>0.99</v>
      </c>
      <c r="H761" s="35">
        <f>Database!N775</f>
        <v>42970</v>
      </c>
    </row>
    <row r="762" spans="1:8" ht="45" x14ac:dyDescent="0.25">
      <c r="A762" s="225" t="str">
        <f>Database!A776</f>
        <v>17REF166</v>
      </c>
      <c r="B762" s="34" t="str">
        <f>Database!E776</f>
        <v>NEUROSERVICE</v>
      </c>
      <c r="C762" s="34" t="str">
        <f>Database!F776</f>
        <v>NBQX</v>
      </c>
      <c r="D762" s="34">
        <f>Database!K776</f>
        <v>340.78</v>
      </c>
      <c r="E762" s="34" t="str">
        <f>Database!P776</f>
        <v>50 mg</v>
      </c>
      <c r="F762" s="34" t="str">
        <f>Database!Q776</f>
        <v>up to 100 mM in DMSO</v>
      </c>
      <c r="G762" s="462">
        <f>Database!R776</f>
        <v>0.99</v>
      </c>
      <c r="H762" s="35">
        <f>Database!N776</f>
        <v>42970</v>
      </c>
    </row>
    <row r="763" spans="1:8" ht="45" x14ac:dyDescent="0.25">
      <c r="A763" s="225" t="str">
        <f>Database!A777</f>
        <v>17REF167</v>
      </c>
      <c r="B763" s="34" t="str">
        <f>Database!E777</f>
        <v>NEUROSERVICE</v>
      </c>
      <c r="C763" s="34" t="str">
        <f>Database!F777</f>
        <v>D-AP5</v>
      </c>
      <c r="D763" s="34">
        <f>Database!K777</f>
        <v>197.13</v>
      </c>
      <c r="E763" s="34" t="str">
        <f>Database!P777</f>
        <v>100 mg</v>
      </c>
      <c r="F763" s="34" t="str">
        <f>Database!Q777</f>
        <v>up to 100 mM H2O mQ</v>
      </c>
      <c r="G763" s="462">
        <f>Database!R777</f>
        <v>1</v>
      </c>
      <c r="H763" s="35">
        <f>Database!N777</f>
        <v>42978</v>
      </c>
    </row>
    <row r="764" spans="1:8" ht="45" x14ac:dyDescent="0.25">
      <c r="A764" s="225" t="str">
        <f>Database!A778</f>
        <v>17REF168</v>
      </c>
      <c r="B764" s="34" t="str">
        <f>Database!E778</f>
        <v>NEUROSERVICE</v>
      </c>
      <c r="C764" s="34" t="str">
        <f>Database!F778</f>
        <v>D-AP5</v>
      </c>
      <c r="D764" s="34">
        <f>Database!K778</f>
        <v>197.13</v>
      </c>
      <c r="E764" s="34" t="str">
        <f>Database!P778</f>
        <v>50 mg</v>
      </c>
      <c r="F764" s="34" t="str">
        <f>Database!Q778</f>
        <v>up to 100 mM H2O mQ</v>
      </c>
      <c r="G764" s="462">
        <f>Database!R778</f>
        <v>1</v>
      </c>
      <c r="H764" s="35">
        <f>Database!N778</f>
        <v>42978</v>
      </c>
    </row>
    <row r="765" spans="1:8" ht="60" x14ac:dyDescent="0.25">
      <c r="A765" s="225" t="str">
        <f>Database!A779</f>
        <v>17REF169</v>
      </c>
      <c r="B765" s="34" t="str">
        <f>Database!E779</f>
        <v>NEUROSERVICE</v>
      </c>
      <c r="C765" s="34" t="str">
        <f>Database!F779</f>
        <v>L-AP4</v>
      </c>
      <c r="D765" s="34">
        <f>Database!K779</f>
        <v>201.12</v>
      </c>
      <c r="E765" s="34" t="str">
        <f>Database!P779</f>
        <v>50 mg</v>
      </c>
      <c r="F765" s="34" t="str">
        <f>Database!Q779</f>
        <v>5 mM in H2O mQ / 1eq NaOH to 100 mM</v>
      </c>
      <c r="G765" s="462">
        <f>Database!R779</f>
        <v>0.99399999999999999</v>
      </c>
      <c r="H765" s="35">
        <f>Database!N779</f>
        <v>42978</v>
      </c>
    </row>
    <row r="766" spans="1:8" ht="60" x14ac:dyDescent="0.25">
      <c r="A766" s="225" t="str">
        <f>Database!A780</f>
        <v>17REF170</v>
      </c>
      <c r="B766" s="34" t="str">
        <f>Database!E780</f>
        <v>NEUROSERVICE</v>
      </c>
      <c r="C766" s="34" t="str">
        <f>Database!F780</f>
        <v>L-AP4</v>
      </c>
      <c r="D766" s="34">
        <f>Database!K780</f>
        <v>201.12</v>
      </c>
      <c r="E766" s="34" t="str">
        <f>Database!P780</f>
        <v>50 mg</v>
      </c>
      <c r="F766" s="34" t="str">
        <f>Database!Q780</f>
        <v>5 mM in H2O mQ / 1eq NaOH to 100 mM</v>
      </c>
      <c r="G766" s="462">
        <f>Database!R780</f>
        <v>0.99399999999999999</v>
      </c>
      <c r="H766" s="35">
        <f>Database!N780</f>
        <v>42978</v>
      </c>
    </row>
    <row r="767" spans="1:8" ht="60" x14ac:dyDescent="0.25">
      <c r="A767" s="225" t="str">
        <f>Database!A781</f>
        <v>17REF171</v>
      </c>
      <c r="B767" s="34" t="str">
        <f>Database!E781</f>
        <v>NEUROSERVICE</v>
      </c>
      <c r="C767" s="34" t="str">
        <f>Database!F781</f>
        <v>L-AP4</v>
      </c>
      <c r="D767" s="34">
        <f>Database!K781</f>
        <v>201.12</v>
      </c>
      <c r="E767" s="34" t="str">
        <f>Database!P781</f>
        <v>50 mg</v>
      </c>
      <c r="F767" s="34" t="str">
        <f>Database!Q781</f>
        <v>5 mM in H2O mQ / 1eq NaOH to 100 mM</v>
      </c>
      <c r="G767" s="462">
        <f>Database!R781</f>
        <v>0.99399999999999999</v>
      </c>
      <c r="H767" s="35">
        <f>Database!N781</f>
        <v>42978</v>
      </c>
    </row>
    <row r="768" spans="1:8" ht="45" x14ac:dyDescent="0.25">
      <c r="A768" s="225" t="str">
        <f>Database!A782</f>
        <v>17REF172</v>
      </c>
      <c r="B768" s="34" t="str">
        <f>Database!E782</f>
        <v>NEUROSERVICE</v>
      </c>
      <c r="C768" s="34" t="str">
        <f>Database!F782</f>
        <v>CNQX disodium salt</v>
      </c>
      <c r="D768" s="34">
        <f>Database!K782</f>
        <v>316.64999999999998</v>
      </c>
      <c r="E768" s="34" t="str">
        <f>Database!P782</f>
        <v>50 mg</v>
      </c>
      <c r="F768" s="34" t="str">
        <f>Database!Q782</f>
        <v>20 mM in H2O mQ</v>
      </c>
      <c r="G768" s="462">
        <f>Database!R782</f>
        <v>0.99199999999999999</v>
      </c>
      <c r="H768" s="35">
        <f>Database!N782</f>
        <v>42978</v>
      </c>
    </row>
    <row r="769" spans="1:8" ht="45" x14ac:dyDescent="0.25">
      <c r="A769" s="225" t="str">
        <f>Database!A783</f>
        <v>17REF173</v>
      </c>
      <c r="B769" s="34" t="str">
        <f>Database!E783</f>
        <v>NEUROSERVICE</v>
      </c>
      <c r="C769" s="34" t="str">
        <f>Database!F783</f>
        <v>CNQX disodium salt</v>
      </c>
      <c r="D769" s="34">
        <f>Database!K783</f>
        <v>316.64999999999998</v>
      </c>
      <c r="E769" s="34" t="str">
        <f>Database!P783</f>
        <v>50 mg</v>
      </c>
      <c r="F769" s="34" t="str">
        <f>Database!Q783</f>
        <v>20 mM in H2O mQ</v>
      </c>
      <c r="G769" s="462">
        <f>Database!R783</f>
        <v>0.99199999999999999</v>
      </c>
      <c r="H769" s="35">
        <f>Database!N783</f>
        <v>42978</v>
      </c>
    </row>
    <row r="770" spans="1:8" ht="45" x14ac:dyDescent="0.25">
      <c r="A770" s="225" t="str">
        <f>Database!A784</f>
        <v>17REF174</v>
      </c>
      <c r="B770" s="34" t="str">
        <f>Database!E784</f>
        <v>NEUROSERVICE</v>
      </c>
      <c r="C770" s="34" t="str">
        <f>Database!F784</f>
        <v>CNQX disodium salt</v>
      </c>
      <c r="D770" s="34">
        <f>Database!K784</f>
        <v>316.64999999999998</v>
      </c>
      <c r="E770" s="34" t="str">
        <f>Database!P784</f>
        <v>50 mg</v>
      </c>
      <c r="F770" s="34" t="str">
        <f>Database!Q784</f>
        <v>20 mM in H2O mQ</v>
      </c>
      <c r="G770" s="462">
        <f>Database!R784</f>
        <v>0.99199999999999999</v>
      </c>
      <c r="H770" s="35">
        <f>Database!N784</f>
        <v>42978</v>
      </c>
    </row>
    <row r="771" spans="1:8" ht="23.25" x14ac:dyDescent="0.25">
      <c r="A771" s="225" t="str">
        <f>Database!A785</f>
        <v>17SAM175</v>
      </c>
      <c r="B771" s="34" t="str">
        <f>Database!E785</f>
        <v>TAKEDA</v>
      </c>
      <c r="C771" s="34" t="str">
        <f>Database!F785</f>
        <v>SYR312686A</v>
      </c>
      <c r="D771" s="34">
        <f>Database!K785</f>
        <v>389.42</v>
      </c>
      <c r="E771" s="34" t="str">
        <f>Database!P785</f>
        <v>51.11 mg</v>
      </c>
      <c r="F771" s="34" t="str">
        <f>Database!Q785</f>
        <v>DMSO</v>
      </c>
      <c r="G771" s="462">
        <f>Database!R785</f>
        <v>0</v>
      </c>
      <c r="H771" s="35">
        <f>Database!N785</f>
        <v>42979</v>
      </c>
    </row>
    <row r="772" spans="1:8" ht="30" x14ac:dyDescent="0.25">
      <c r="A772" s="225" t="str">
        <f>Database!A786</f>
        <v>17SAM176</v>
      </c>
      <c r="B772" s="34" t="str">
        <f>Database!E786</f>
        <v>ROCHE</v>
      </c>
      <c r="C772" s="34" t="str">
        <f>Database!F786</f>
        <v>B_ID5073953</v>
      </c>
      <c r="D772" s="34">
        <f>Database!K786</f>
        <v>457.471</v>
      </c>
      <c r="E772" s="34" t="str">
        <f>Database!P786</f>
        <v>100 mg</v>
      </c>
      <c r="F772" s="34" t="str">
        <f>Database!Q786</f>
        <v>DMSO</v>
      </c>
      <c r="G772" s="462">
        <f>Database!R786</f>
        <v>0</v>
      </c>
      <c r="H772" s="35">
        <f>Database!N786</f>
        <v>42979</v>
      </c>
    </row>
    <row r="773" spans="1:8" ht="60" x14ac:dyDescent="0.25">
      <c r="A773" s="225" t="str">
        <f>Database!A787</f>
        <v>17REF177</v>
      </c>
      <c r="B773" s="34" t="str">
        <f>Database!E787</f>
        <v>NEUROSERVICE</v>
      </c>
      <c r="C773" s="34" t="str">
        <f>Database!F787</f>
        <v>L-AP4</v>
      </c>
      <c r="D773" s="34">
        <f>Database!K787</f>
        <v>201.12</v>
      </c>
      <c r="E773" s="34" t="str">
        <f>Database!P787</f>
        <v>50 mg</v>
      </c>
      <c r="F773" s="34" t="str">
        <f>Database!Q787</f>
        <v>5 mM in H2O mQ / 1eq NaOH to 100 mM</v>
      </c>
      <c r="G773" s="462">
        <f>Database!R787</f>
        <v>0.99399999999999999</v>
      </c>
      <c r="H773" s="35">
        <f>Database!N787</f>
        <v>42982</v>
      </c>
    </row>
    <row r="774" spans="1:8" ht="30" x14ac:dyDescent="0.25">
      <c r="A774" s="225" t="str">
        <f>Database!A788</f>
        <v>17REF178</v>
      </c>
      <c r="B774" s="34" t="str">
        <f>Database!E788</f>
        <v>NEUROSERVICE</v>
      </c>
      <c r="C774" s="34" t="str">
        <f>Database!F788</f>
        <v>Sodium L-Ascorbate</v>
      </c>
      <c r="D774" s="34">
        <f>Database!K788</f>
        <v>198.11</v>
      </c>
      <c r="E774" s="34" t="str">
        <f>Database!P788</f>
        <v>100 g</v>
      </c>
      <c r="F774" s="34">
        <f>Database!Q788</f>
        <v>0</v>
      </c>
      <c r="G774" s="462">
        <f>Database!R788</f>
        <v>1</v>
      </c>
      <c r="H774" s="35">
        <f>Database!N788</f>
        <v>42984</v>
      </c>
    </row>
    <row r="775" spans="1:8" ht="30" x14ac:dyDescent="0.25">
      <c r="A775" s="225" t="str">
        <f>Database!A789</f>
        <v>17REF179</v>
      </c>
      <c r="B775" s="34" t="str">
        <f>Database!E789</f>
        <v>NEUROSERVICE</v>
      </c>
      <c r="C775" s="34" t="str">
        <f>Database!F789</f>
        <v>Sodium L-Ascorbate</v>
      </c>
      <c r="D775" s="34">
        <f>Database!K789</f>
        <v>198.11</v>
      </c>
      <c r="E775" s="34" t="str">
        <f>Database!P789</f>
        <v>100 g</v>
      </c>
      <c r="F775" s="34">
        <f>Database!Q789</f>
        <v>0</v>
      </c>
      <c r="G775" s="462">
        <f>Database!R789</f>
        <v>1</v>
      </c>
      <c r="H775" s="35">
        <f>Database!N789</f>
        <v>42984</v>
      </c>
    </row>
    <row r="776" spans="1:8" ht="45" x14ac:dyDescent="0.25">
      <c r="A776" s="225" t="str">
        <f>Database!A790</f>
        <v>17SAM180</v>
      </c>
      <c r="B776" s="34" t="str">
        <f>Database!E790</f>
        <v>J&amp;J</v>
      </c>
      <c r="C776" s="34" t="str">
        <f>Database!F790</f>
        <v>GYKI53655</v>
      </c>
      <c r="D776" s="34">
        <f>Database!K790</f>
        <v>429.39</v>
      </c>
      <c r="E776" s="34" t="str">
        <f>Database!P790</f>
        <v>50 mg</v>
      </c>
      <c r="F776" s="34" t="str">
        <f>Database!Q790</f>
        <v>H2O or DMSO to 100 mM</v>
      </c>
      <c r="G776" s="462">
        <f>Database!R790</f>
        <v>0.99</v>
      </c>
      <c r="H776" s="35">
        <f>Database!N790</f>
        <v>43078</v>
      </c>
    </row>
    <row r="777" spans="1:8" ht="30" x14ac:dyDescent="0.25">
      <c r="A777" s="225" t="str">
        <f>Database!A791</f>
        <v>17SAM181</v>
      </c>
      <c r="B777" s="34" t="str">
        <f>Database!E791</f>
        <v>J&amp;J</v>
      </c>
      <c r="C777" s="34" t="str">
        <f>Database!F791</f>
        <v>JNJ-65124098</v>
      </c>
      <c r="D777" s="34">
        <f>Database!K791</f>
        <v>327.8</v>
      </c>
      <c r="E777" s="34" t="str">
        <f>Database!P791</f>
        <v>5,69 mg</v>
      </c>
      <c r="F777" s="34">
        <f>Database!Q791</f>
        <v>0</v>
      </c>
      <c r="G777" s="462">
        <f>Database!R791</f>
        <v>1</v>
      </c>
      <c r="H777" s="35">
        <f>Database!N791</f>
        <v>42996</v>
      </c>
    </row>
    <row r="778" spans="1:8" ht="45" x14ac:dyDescent="0.25">
      <c r="A778" s="225" t="str">
        <f>Database!A792</f>
        <v>17SAM182</v>
      </c>
      <c r="B778" s="34" t="str">
        <f>Database!E792</f>
        <v>TAKEDA</v>
      </c>
      <c r="C778" s="34" t="str">
        <f>Database!F792</f>
        <v>D-AP5</v>
      </c>
      <c r="D778" s="34">
        <f>Database!K792</f>
        <v>197.13</v>
      </c>
      <c r="E778" s="34" t="str">
        <f>Database!P792</f>
        <v>100 mg</v>
      </c>
      <c r="F778" s="34" t="str">
        <f>Database!Q792</f>
        <v>up to 100 mM H2O mQ</v>
      </c>
      <c r="G778" s="462">
        <f>Database!R792</f>
        <v>0.99</v>
      </c>
      <c r="H778" s="35">
        <f>Database!N792</f>
        <v>42997</v>
      </c>
    </row>
    <row r="779" spans="1:8" ht="30" x14ac:dyDescent="0.25">
      <c r="A779" s="225" t="str">
        <f>Database!A793</f>
        <v>17REF183</v>
      </c>
      <c r="B779" s="34" t="str">
        <f>Database!E793</f>
        <v>NEUROSERVICE</v>
      </c>
      <c r="C779" s="34" t="str">
        <f>Database!F793</f>
        <v>Bicuculline methiodide</v>
      </c>
      <c r="D779" s="34">
        <f>Database!K793</f>
        <v>509.29</v>
      </c>
      <c r="E779" s="34" t="str">
        <f>Database!P793</f>
        <v>50 mg</v>
      </c>
      <c r="F779" s="34" t="str">
        <f>Database!Q793</f>
        <v>10 mg/mL in H2O mQ</v>
      </c>
      <c r="G779" s="462">
        <f>Database!R793</f>
        <v>0.95599999999999996</v>
      </c>
      <c r="H779" s="35">
        <f>Database!N793</f>
        <v>42998</v>
      </c>
    </row>
    <row r="780" spans="1:8" ht="30" x14ac:dyDescent="0.25">
      <c r="A780" s="225" t="str">
        <f>Database!A794</f>
        <v>17REF184</v>
      </c>
      <c r="B780" s="34" t="str">
        <f>Database!E794</f>
        <v>NEUROSERVICE</v>
      </c>
      <c r="C780" s="34" t="str">
        <f>Database!F794</f>
        <v>Bicuculline methiodide</v>
      </c>
      <c r="D780" s="34">
        <f>Database!K794</f>
        <v>509.29</v>
      </c>
      <c r="E780" s="34" t="str">
        <f>Database!P794</f>
        <v>50 mg</v>
      </c>
      <c r="F780" s="34" t="str">
        <f>Database!Q794</f>
        <v>10 mg/mL in H2O mQ</v>
      </c>
      <c r="G780" s="462">
        <f>Database!R794</f>
        <v>0.95599999999999996</v>
      </c>
      <c r="H780" s="35">
        <f>Database!N794</f>
        <v>42998</v>
      </c>
    </row>
    <row r="781" spans="1:8" ht="30" x14ac:dyDescent="0.25">
      <c r="A781" s="225" t="str">
        <f>Database!A795</f>
        <v>17SAM185</v>
      </c>
      <c r="B781" s="34" t="str">
        <f>Database!E795</f>
        <v>NAVITOR</v>
      </c>
      <c r="C781" s="34" t="str">
        <f>Database!F795</f>
        <v>NV-5138</v>
      </c>
      <c r="D781" s="34">
        <f>Database!K795</f>
        <v>181.18</v>
      </c>
      <c r="E781" s="34" t="str">
        <f>Database!P795</f>
        <v>1.09 g</v>
      </c>
      <c r="F781" s="34" t="str">
        <f>Database!Q795</f>
        <v>in buffer navitor</v>
      </c>
      <c r="G781" s="462" t="str">
        <f>Database!R795</f>
        <v>NC</v>
      </c>
      <c r="H781" s="35">
        <f>Database!N795</f>
        <v>42999</v>
      </c>
    </row>
    <row r="782" spans="1:8" ht="45" x14ac:dyDescent="0.25">
      <c r="A782" s="225" t="str">
        <f>Database!A796</f>
        <v>17SAM186</v>
      </c>
      <c r="B782" s="34" t="str">
        <f>Database!E796</f>
        <v>NAVITOR</v>
      </c>
      <c r="C782" s="34" t="str">
        <f>Database!F796</f>
        <v>buffer 0.5% MC 0.1% TWEEN</v>
      </c>
      <c r="D782" s="34" t="str">
        <f>Database!K796</f>
        <v>-</v>
      </c>
      <c r="E782" s="34" t="str">
        <f>Database!P796</f>
        <v>250 mL</v>
      </c>
      <c r="F782" s="34">
        <f>Database!Q796</f>
        <v>0</v>
      </c>
      <c r="G782" s="462" t="str">
        <f>Database!R796</f>
        <v>NC</v>
      </c>
      <c r="H782" s="35">
        <f>Database!N796</f>
        <v>42999</v>
      </c>
    </row>
    <row r="783" spans="1:8" ht="30" x14ac:dyDescent="0.25">
      <c r="A783" s="225" t="str">
        <f>Database!A797</f>
        <v>17SAM187</v>
      </c>
      <c r="B783" s="34" t="str">
        <f>Database!E797</f>
        <v>TAKEDA</v>
      </c>
      <c r="C783" s="34" t="str">
        <f>Database!F797</f>
        <v>Somatostatin</v>
      </c>
      <c r="D783" s="34">
        <f>Database!K797</f>
        <v>1637.88</v>
      </c>
      <c r="E783" s="34" t="str">
        <f>Database!P797</f>
        <v>1 mg</v>
      </c>
      <c r="F783" s="34" t="str">
        <f>Database!Q797</f>
        <v>H2O mQ</v>
      </c>
      <c r="G783" s="462">
        <f>Database!R797</f>
        <v>0.8</v>
      </c>
      <c r="H783" s="35">
        <f>Database!N797</f>
        <v>42999</v>
      </c>
    </row>
    <row r="784" spans="1:8" ht="30" x14ac:dyDescent="0.25">
      <c r="A784" s="225" t="str">
        <f>Database!A798</f>
        <v>17SAM188</v>
      </c>
      <c r="B784" s="34" t="str">
        <f>Database!E798</f>
        <v>TAKEDA</v>
      </c>
      <c r="C784" s="34" t="str">
        <f>Database!F798</f>
        <v>Somatostatin</v>
      </c>
      <c r="D784" s="34">
        <f>Database!K798</f>
        <v>1637.88</v>
      </c>
      <c r="E784" s="34" t="str">
        <f>Database!P798</f>
        <v>1 mg</v>
      </c>
      <c r="F784" s="34" t="str">
        <f>Database!Q798</f>
        <v>H2O mQ</v>
      </c>
      <c r="G784" s="462">
        <f>Database!R798</f>
        <v>0.8</v>
      </c>
      <c r="H784" s="35">
        <f>Database!N798</f>
        <v>42999</v>
      </c>
    </row>
    <row r="785" spans="1:8" ht="30" x14ac:dyDescent="0.25">
      <c r="A785" s="225" t="str">
        <f>Database!A799</f>
        <v>17SAM189</v>
      </c>
      <c r="B785" s="34" t="str">
        <f>Database!E799</f>
        <v>TAKEDA</v>
      </c>
      <c r="C785" s="34" t="str">
        <f>Database!F799</f>
        <v>Somatostatin</v>
      </c>
      <c r="D785" s="34">
        <f>Database!K799</f>
        <v>1637.88</v>
      </c>
      <c r="E785" s="34" t="str">
        <f>Database!P799</f>
        <v>1 mg</v>
      </c>
      <c r="F785" s="34" t="str">
        <f>Database!Q799</f>
        <v>H2O mQ</v>
      </c>
      <c r="G785" s="462">
        <f>Database!R799</f>
        <v>0.8</v>
      </c>
      <c r="H785" s="35">
        <f>Database!N799</f>
        <v>42999</v>
      </c>
    </row>
    <row r="786" spans="1:8" ht="45" x14ac:dyDescent="0.25">
      <c r="A786" s="225" t="str">
        <f>Database!A800</f>
        <v>17SAM190</v>
      </c>
      <c r="B786" s="34" t="str">
        <f>Database!E800</f>
        <v>ALKERMES</v>
      </c>
      <c r="C786" s="34" t="str">
        <f>Database!F800</f>
        <v>Nalbuphine hydrochloride hydrate</v>
      </c>
      <c r="D786" s="34">
        <f>Database!K800</f>
        <v>393.9</v>
      </c>
      <c r="E786" s="34" t="str">
        <f>Database!P800</f>
        <v>25 mg</v>
      </c>
      <c r="F786" s="34" t="str">
        <f>Database!Q800</f>
        <v>50 mg/mL in H2O mQ</v>
      </c>
      <c r="G786" s="462">
        <f>Database!R800</f>
        <v>1</v>
      </c>
      <c r="H786" s="35">
        <f>Database!N800</f>
        <v>42999</v>
      </c>
    </row>
    <row r="787" spans="1:8" ht="30" x14ac:dyDescent="0.25">
      <c r="A787" s="225" t="str">
        <f>Database!A801</f>
        <v>17SAM191</v>
      </c>
      <c r="B787" s="34" t="str">
        <f>Database!E801</f>
        <v>J&amp;J</v>
      </c>
      <c r="C787" s="34" t="str">
        <f>Database!F801</f>
        <v>JNJ40875094</v>
      </c>
      <c r="D787" s="34">
        <f>Database!K801</f>
        <v>407.7</v>
      </c>
      <c r="E787" s="34" t="str">
        <f>Database!P801</f>
        <v>5.09 mg</v>
      </c>
      <c r="F787" s="34" t="str">
        <f>Database!Q801</f>
        <v>10 mM in DMSO</v>
      </c>
      <c r="G787" s="462">
        <f>Database!R801</f>
        <v>0</v>
      </c>
      <c r="H787" s="35">
        <f>Database!N801</f>
        <v>43003</v>
      </c>
    </row>
    <row r="788" spans="1:8" ht="45" x14ac:dyDescent="0.25">
      <c r="A788" s="225" t="str">
        <f>Database!A802</f>
        <v>17SAM192</v>
      </c>
      <c r="B788" s="34" t="str">
        <f>Database!E802</f>
        <v>TAKEDA</v>
      </c>
      <c r="C788" s="34" t="str">
        <f>Database!F802</f>
        <v>CNQX disodium salt</v>
      </c>
      <c r="D788" s="34">
        <f>Database!K802</f>
        <v>307.64999999999998</v>
      </c>
      <c r="E788" s="34" t="str">
        <f>Database!P802</f>
        <v>50 mg</v>
      </c>
      <c r="F788" s="34" t="str">
        <f>Database!Q802</f>
        <v>H2O mQ to 25 mM</v>
      </c>
      <c r="G788" s="462">
        <f>Database!R802</f>
        <v>0.99</v>
      </c>
      <c r="H788" s="35">
        <f>Database!N802</f>
        <v>43004</v>
      </c>
    </row>
    <row r="789" spans="1:8" ht="45" x14ac:dyDescent="0.25">
      <c r="A789" s="225" t="str">
        <f>Database!A803</f>
        <v>17REF193</v>
      </c>
      <c r="B789" s="34" t="str">
        <f>Database!E803</f>
        <v>NEUROSERVICE</v>
      </c>
      <c r="C789" s="34" t="str">
        <f>Database!F803</f>
        <v>N-Methyl-D-glucamine (NMDG)</v>
      </c>
      <c r="D789" s="34">
        <f>Database!K803</f>
        <v>195.21</v>
      </c>
      <c r="E789" s="34" t="str">
        <f>Database!P803</f>
        <v>500 g</v>
      </c>
      <c r="F789" s="34">
        <f>Database!Q803</f>
        <v>0</v>
      </c>
      <c r="G789" s="462">
        <f>Database!R803</f>
        <v>1</v>
      </c>
      <c r="H789" s="35">
        <f>Database!N803</f>
        <v>43010</v>
      </c>
    </row>
    <row r="790" spans="1:8" ht="30" x14ac:dyDescent="0.25">
      <c r="A790" s="225" t="str">
        <f>Database!A804</f>
        <v>17SAM194</v>
      </c>
      <c r="B790" s="34" t="str">
        <f>Database!E804</f>
        <v>TAKEDA</v>
      </c>
      <c r="C790" s="34" t="str">
        <f>Database!F804</f>
        <v>Somatostatin</v>
      </c>
      <c r="D790" s="34">
        <f>Database!K804</f>
        <v>1637.88</v>
      </c>
      <c r="E790" s="34" t="str">
        <f>Database!P804</f>
        <v>5 mg</v>
      </c>
      <c r="F790" s="34" t="str">
        <f>Database!Q804</f>
        <v>H2O mQ</v>
      </c>
      <c r="G790" s="462">
        <f>Database!R804</f>
        <v>0.8</v>
      </c>
      <c r="H790" s="35">
        <f>Database!N804</f>
        <v>43011</v>
      </c>
    </row>
    <row r="791" spans="1:8" ht="60" x14ac:dyDescent="0.25">
      <c r="A791" s="225" t="str">
        <f>Database!A805</f>
        <v>17SAM195</v>
      </c>
      <c r="B791" s="34" t="str">
        <f>Database!E805</f>
        <v>VISTAGEN THERAPEUTICS</v>
      </c>
      <c r="C791" s="34" t="str">
        <f>Database!F805</f>
        <v>7-chlorokynurenic acid sodium salt</v>
      </c>
      <c r="D791" s="34">
        <f>Database!K805</f>
        <v>259.10000000000002</v>
      </c>
      <c r="E791" s="34" t="str">
        <f>Database!P805</f>
        <v>10 mg</v>
      </c>
      <c r="F791" s="34" t="str">
        <f>Database!Q805</f>
        <v>water to 100 mM</v>
      </c>
      <c r="G791" s="462">
        <f>Database!R805</f>
        <v>0.98</v>
      </c>
      <c r="H791" s="35">
        <f>Database!N805</f>
        <v>43014</v>
      </c>
    </row>
    <row r="792" spans="1:8" ht="60" x14ac:dyDescent="0.25">
      <c r="A792" s="225" t="str">
        <f>Database!A806</f>
        <v>17REF196</v>
      </c>
      <c r="B792" s="34" t="str">
        <f>Database!E806</f>
        <v>NEUROSERVICE</v>
      </c>
      <c r="C792" s="34" t="str">
        <f>Database!F806</f>
        <v>DHβE</v>
      </c>
      <c r="D792" s="34">
        <f>Database!K806</f>
        <v>356.26</v>
      </c>
      <c r="E792" s="34" t="str">
        <f>Database!P806</f>
        <v>10 mg</v>
      </c>
      <c r="F792" s="34" t="str">
        <f>Database!Q806</f>
        <v>Water to 100 mM / DMSO to 25 mM</v>
      </c>
      <c r="G792" s="462">
        <f>Database!R806</f>
        <v>0.98</v>
      </c>
      <c r="H792" s="35">
        <f>Database!N806</f>
        <v>43014</v>
      </c>
    </row>
    <row r="793" spans="1:8" ht="60" x14ac:dyDescent="0.25">
      <c r="A793" s="225" t="str">
        <f>Database!A807</f>
        <v>17REF197</v>
      </c>
      <c r="B793" s="34" t="str">
        <f>Database!E807</f>
        <v>NEUROSERVICE</v>
      </c>
      <c r="C793" s="34" t="str">
        <f>Database!F807</f>
        <v>Methyllycaconitine citrate (MLA)</v>
      </c>
      <c r="D793" s="34">
        <f>Database!K807</f>
        <v>901.95</v>
      </c>
      <c r="E793" s="34" t="str">
        <f>Database!P807</f>
        <v>5 mg</v>
      </c>
      <c r="F793" s="34" t="str">
        <f>Database!Q807</f>
        <v>100 mM in H2O mQ or DMSO</v>
      </c>
      <c r="G793" s="462" t="str">
        <f>Database!R807</f>
        <v>99,70%</v>
      </c>
      <c r="H793" s="35">
        <f>Database!N807</f>
        <v>43014</v>
      </c>
    </row>
    <row r="794" spans="1:8" ht="45" x14ac:dyDescent="0.25">
      <c r="A794" s="225" t="str">
        <f>Database!A808</f>
        <v>17SAM198</v>
      </c>
      <c r="B794" s="34" t="str">
        <f>Database!E808</f>
        <v>Daiichi</v>
      </c>
      <c r="C794" s="34" t="str">
        <f>Database!F808</f>
        <v>Pregabalin</v>
      </c>
      <c r="D794" s="34">
        <f>Database!K808</f>
        <v>159.22999999999999</v>
      </c>
      <c r="E794" s="34" t="str">
        <f>Database!P808</f>
        <v>50 mg</v>
      </c>
      <c r="F794" s="34" t="str">
        <f>Database!Q808</f>
        <v>Up to 100 mM in water</v>
      </c>
      <c r="G794" s="462">
        <f>Database!R808</f>
        <v>1</v>
      </c>
      <c r="H794" s="35">
        <f>Database!N808</f>
        <v>43017</v>
      </c>
    </row>
    <row r="795" spans="1:8" ht="45" x14ac:dyDescent="0.25">
      <c r="A795" s="225" t="str">
        <f>Database!A809</f>
        <v>17SAM199</v>
      </c>
      <c r="B795" s="34" t="str">
        <f>Database!E809</f>
        <v>Daiichi</v>
      </c>
      <c r="C795" s="34" t="str">
        <f>Database!F809</f>
        <v>Pregabalin</v>
      </c>
      <c r="D795" s="34">
        <f>Database!K809</f>
        <v>159.22999999999999</v>
      </c>
      <c r="E795" s="34" t="str">
        <f>Database!P809</f>
        <v>50 mg</v>
      </c>
      <c r="F795" s="34" t="str">
        <f>Database!Q809</f>
        <v>Up to 100 mM in water</v>
      </c>
      <c r="G795" s="462">
        <f>Database!R809</f>
        <v>1</v>
      </c>
      <c r="H795" s="35">
        <f>Database!N809</f>
        <v>43017</v>
      </c>
    </row>
    <row r="796" spans="1:8" ht="60" x14ac:dyDescent="0.25">
      <c r="A796" s="225" t="str">
        <f>Database!A810</f>
        <v>17REF200</v>
      </c>
      <c r="B796" s="34" t="str">
        <f>Database!E810</f>
        <v>Neuroservice</v>
      </c>
      <c r="C796" s="34" t="str">
        <f>Database!F810</f>
        <v>Methyllycaconitine citrate salt (MLA)</v>
      </c>
      <c r="D796" s="34">
        <f>Database!K810</f>
        <v>682.8</v>
      </c>
      <c r="E796" s="34" t="str">
        <f>Database!P810</f>
        <v>5 mg</v>
      </c>
      <c r="F796" s="34" t="str">
        <f>Database!Q810</f>
        <v>Up to 42 mg/ml in H2O</v>
      </c>
      <c r="G796" s="462">
        <f>Database!R810</f>
        <v>0.97399999999999998</v>
      </c>
      <c r="H796" s="35">
        <f>Database!N810</f>
        <v>43017</v>
      </c>
    </row>
    <row r="797" spans="1:8" ht="45" x14ac:dyDescent="0.25">
      <c r="A797" s="225" t="str">
        <f>Database!A811</f>
        <v>17REF201</v>
      </c>
      <c r="B797" s="34" t="str">
        <f>Database!E811</f>
        <v>Neuroservice</v>
      </c>
      <c r="C797" s="34" t="str">
        <f>Database!F811</f>
        <v>Atropine</v>
      </c>
      <c r="D797" s="34">
        <f>Database!K811</f>
        <v>289.37</v>
      </c>
      <c r="E797" s="34" t="str">
        <f>Database!P811</f>
        <v>1 g</v>
      </c>
      <c r="F797" s="34" t="str">
        <f>Database!Q811</f>
        <v>Up to 2 mg/ml in H2O</v>
      </c>
      <c r="G797" s="462">
        <f>Database!R811</f>
        <v>0.99</v>
      </c>
      <c r="H797" s="35">
        <f>Database!N811</f>
        <v>43017</v>
      </c>
    </row>
    <row r="798" spans="1:8" ht="45" x14ac:dyDescent="0.25">
      <c r="A798" s="225" t="str">
        <f>Database!A812</f>
        <v>17REF202</v>
      </c>
      <c r="B798" s="34" t="str">
        <f>Database!E812</f>
        <v>Neuroservice</v>
      </c>
      <c r="C798" s="34" t="str">
        <f>Database!F812</f>
        <v>Acetylcholine chloride</v>
      </c>
      <c r="D798" s="34">
        <f>Database!K812</f>
        <v>181.66</v>
      </c>
      <c r="E798" s="34" t="str">
        <f>Database!P812</f>
        <v>25 g</v>
      </c>
      <c r="F798" s="34" t="str">
        <f>Database!Q812</f>
        <v>Up to 100 mg/ml in H2O</v>
      </c>
      <c r="G798" s="462">
        <f>Database!R812</f>
        <v>1</v>
      </c>
      <c r="H798" s="35">
        <f>Database!N812</f>
        <v>43017</v>
      </c>
    </row>
    <row r="799" spans="1:8" ht="30" x14ac:dyDescent="0.25">
      <c r="A799" s="225" t="str">
        <f>Database!A813</f>
        <v>17REF203</v>
      </c>
      <c r="B799" s="34" t="str">
        <f>Database!E813</f>
        <v>Neuroservice</v>
      </c>
      <c r="C799" s="34" t="str">
        <f>Database!F813</f>
        <v>HCL solution</v>
      </c>
      <c r="D799" s="34">
        <f>Database!K813</f>
        <v>34.46</v>
      </c>
      <c r="E799" s="34" t="str">
        <f>Database!P813</f>
        <v>100 mL</v>
      </c>
      <c r="F799" s="34">
        <f>Database!Q813</f>
        <v>0</v>
      </c>
      <c r="G799" s="462">
        <f>Database!R813</f>
        <v>0</v>
      </c>
      <c r="H799" s="35">
        <f>Database!N813</f>
        <v>43033</v>
      </c>
    </row>
    <row r="800" spans="1:8" ht="30" x14ac:dyDescent="0.25">
      <c r="A800" s="225" t="str">
        <f>Database!A814</f>
        <v>17REF204</v>
      </c>
      <c r="B800" s="34" t="str">
        <f>Database!E814</f>
        <v>Neuroservice</v>
      </c>
      <c r="C800" s="34" t="str">
        <f>Database!F814</f>
        <v>NaOH solution</v>
      </c>
      <c r="D800" s="34">
        <f>Database!K814</f>
        <v>40</v>
      </c>
      <c r="E800" s="34" t="str">
        <f>Database!P814</f>
        <v>100 mL</v>
      </c>
      <c r="F800" s="34">
        <f>Database!Q814</f>
        <v>0</v>
      </c>
      <c r="G800" s="462">
        <f>Database!R814</f>
        <v>0</v>
      </c>
      <c r="H800" s="35">
        <f>Database!N814</f>
        <v>43033</v>
      </c>
    </row>
    <row r="801" spans="1:8" ht="45" x14ac:dyDescent="0.25">
      <c r="A801" s="225" t="str">
        <f>Database!A815</f>
        <v>17REF205</v>
      </c>
      <c r="B801" s="34" t="str">
        <f>Database!E815</f>
        <v>Neuroservice</v>
      </c>
      <c r="C801" s="34" t="str">
        <f>Database!F815</f>
        <v>Lidocaine N-ethyl chloride</v>
      </c>
      <c r="D801" s="34">
        <f>Database!K815</f>
        <v>298.85000000000002</v>
      </c>
      <c r="E801" s="34" t="str">
        <f>Database!P815</f>
        <v>500 mg</v>
      </c>
      <c r="F801" s="34" t="str">
        <f>Database!Q815</f>
        <v>H2O mQ</v>
      </c>
      <c r="G801" s="462">
        <f>Database!R815</f>
        <v>0.99</v>
      </c>
      <c r="H801" s="35">
        <f>Database!N815</f>
        <v>43035</v>
      </c>
    </row>
    <row r="802" spans="1:8" ht="45" x14ac:dyDescent="0.25">
      <c r="A802" s="225" t="str">
        <f>Database!A816</f>
        <v>17SAM206</v>
      </c>
      <c r="B802" s="34" t="str">
        <f>Database!E816</f>
        <v>ALKERMES</v>
      </c>
      <c r="C802" s="34" t="str">
        <f>Database!F816</f>
        <v>Acetaminophen</v>
      </c>
      <c r="D802" s="34">
        <f>Database!K816</f>
        <v>151.16</v>
      </c>
      <c r="E802" s="34" t="str">
        <f>Database!P816</f>
        <v>100 g</v>
      </c>
      <c r="F802" s="34" t="str">
        <f>Database!Q816</f>
        <v>DMSO or EtOH @ 0.5 M</v>
      </c>
      <c r="G802" s="462">
        <f>Database!R816</f>
        <v>1</v>
      </c>
      <c r="H802" s="35">
        <f>Database!N816</f>
        <v>43041</v>
      </c>
    </row>
    <row r="803" spans="1:8" ht="30" x14ac:dyDescent="0.25">
      <c r="A803" s="225" t="str">
        <f>Database!A817</f>
        <v>17SAM207</v>
      </c>
      <c r="B803" s="34" t="str">
        <f>Database!E817</f>
        <v>KAO</v>
      </c>
      <c r="C803" s="34" t="str">
        <f>Database!F817</f>
        <v>Caffeic acid</v>
      </c>
      <c r="D803" s="34">
        <f>Database!K817</f>
        <v>180.16</v>
      </c>
      <c r="E803" s="34" t="str">
        <f>Database!P817</f>
        <v>2 g</v>
      </c>
      <c r="F803" s="34" t="str">
        <f>Database!Q817</f>
        <v>EtOH to 50mg/mL</v>
      </c>
      <c r="G803" s="462">
        <f>Database!R817</f>
        <v>0.99199999999999999</v>
      </c>
      <c r="H803" s="35">
        <f>Database!N817</f>
        <v>43041</v>
      </c>
    </row>
    <row r="804" spans="1:8" ht="30" x14ac:dyDescent="0.25">
      <c r="A804" s="225" t="str">
        <f>Database!A818</f>
        <v>17SAM208</v>
      </c>
      <c r="B804" s="34" t="str">
        <f>Database!E818</f>
        <v>KAO</v>
      </c>
      <c r="C804" s="34" t="str">
        <f>Database!F818</f>
        <v>Chloronergic acid</v>
      </c>
      <c r="D804" s="34">
        <f>Database!K818</f>
        <v>354.31</v>
      </c>
      <c r="E804" s="34" t="str">
        <f>Database!P818</f>
        <v>250 mg</v>
      </c>
      <c r="F804" s="34" t="str">
        <f>Database!Q818</f>
        <v>EtOH</v>
      </c>
      <c r="G804" s="462">
        <f>Database!R818</f>
        <v>0.99</v>
      </c>
      <c r="H804" s="35">
        <f>Database!N818</f>
        <v>43041</v>
      </c>
    </row>
    <row r="805" spans="1:8" ht="30" x14ac:dyDescent="0.25">
      <c r="A805" s="225" t="str">
        <f>Database!A819</f>
        <v>17SAM209</v>
      </c>
      <c r="B805" s="34" t="str">
        <f>Database!E819</f>
        <v>KAO</v>
      </c>
      <c r="C805" s="34" t="str">
        <f>Database!F819</f>
        <v>trans-Ferulic acid</v>
      </c>
      <c r="D805" s="34">
        <f>Database!K819</f>
        <v>194.18</v>
      </c>
      <c r="E805" s="34" t="str">
        <f>Database!P819</f>
        <v>5 g</v>
      </c>
      <c r="F805" s="34" t="str">
        <f>Database!Q819</f>
        <v>95% EtOH 50mg/mL</v>
      </c>
      <c r="G805" s="462">
        <f>Database!R819</f>
        <v>0.999</v>
      </c>
      <c r="H805" s="35">
        <f>Database!N819</f>
        <v>43041</v>
      </c>
    </row>
    <row r="806" spans="1:8" ht="60" x14ac:dyDescent="0.25">
      <c r="A806" s="225" t="str">
        <f>Database!A820</f>
        <v>17REF210</v>
      </c>
      <c r="B806" s="34" t="str">
        <f>Database!E820</f>
        <v>NEUROSERVICE</v>
      </c>
      <c r="C806" s="34" t="str">
        <f>Database!F820</f>
        <v>Agarose low gelling temperature</v>
      </c>
      <c r="D806" s="34" t="str">
        <f>Database!K820</f>
        <v>-</v>
      </c>
      <c r="E806" s="34" t="str">
        <f>Database!P820</f>
        <v>25 g</v>
      </c>
      <c r="F806" s="34">
        <f>Database!Q820</f>
        <v>0</v>
      </c>
      <c r="G806" s="462" t="str">
        <f>Database!R820</f>
        <v>-</v>
      </c>
      <c r="H806" s="35">
        <f>Database!N820</f>
        <v>43041</v>
      </c>
    </row>
    <row r="807" spans="1:8" ht="45" x14ac:dyDescent="0.25">
      <c r="A807" s="225" t="str">
        <f>Database!A821</f>
        <v>17REF211</v>
      </c>
      <c r="B807" s="34" t="str">
        <f>Database!E821</f>
        <v>NEUROSERVICE</v>
      </c>
      <c r="C807" s="34" t="str">
        <f>Database!F821</f>
        <v>N-Methyl-D-glucamine (NMDG)</v>
      </c>
      <c r="D807" s="34">
        <f>Database!K821</f>
        <v>195.21</v>
      </c>
      <c r="E807" s="34" t="str">
        <f>Database!P821</f>
        <v>500 g</v>
      </c>
      <c r="F807" s="34">
        <f>Database!Q821</f>
        <v>0</v>
      </c>
      <c r="G807" s="462">
        <f>Database!R821</f>
        <v>1</v>
      </c>
      <c r="H807" s="35">
        <f>Database!N821</f>
        <v>43041</v>
      </c>
    </row>
    <row r="808" spans="1:8" ht="60" x14ac:dyDescent="0.25">
      <c r="A808" s="225" t="str">
        <f>Database!A822</f>
        <v>17SAM212</v>
      </c>
      <c r="B808" s="34" t="str">
        <f>Database!E822</f>
        <v>KAO</v>
      </c>
      <c r="C808" s="34" t="str">
        <f>Database!F822</f>
        <v>5-Feruloylquinic acid</v>
      </c>
      <c r="D808" s="34">
        <f>Database!K822</f>
        <v>368.34</v>
      </c>
      <c r="E808" s="34" t="str">
        <f>Database!P822</f>
        <v>251.10 mg</v>
      </c>
      <c r="F808" s="34" t="str">
        <f>Database!Q822</f>
        <v>H2O mQ (hot) / Protect fromn light</v>
      </c>
      <c r="G808" s="462" t="str">
        <f>Database!R822</f>
        <v>NC</v>
      </c>
      <c r="H808" s="35">
        <f>Database!N822</f>
        <v>43045</v>
      </c>
    </row>
    <row r="809" spans="1:8" ht="45" x14ac:dyDescent="0.25">
      <c r="A809" s="225" t="str">
        <f>Database!A823</f>
        <v>17REF213</v>
      </c>
      <c r="B809" s="34" t="str">
        <f>Database!E823</f>
        <v>NEUROSERVICE</v>
      </c>
      <c r="C809" s="34" t="str">
        <f>Database!F823</f>
        <v>Pregabalin</v>
      </c>
      <c r="D809" s="34">
        <f>Database!K823</f>
        <v>159.22999999999999</v>
      </c>
      <c r="E809" s="34" t="str">
        <f>Database!P823</f>
        <v>50 mg</v>
      </c>
      <c r="F809" s="34" t="str">
        <f>Database!Q823</f>
        <v>up to 100 mM in water</v>
      </c>
      <c r="G809" s="462">
        <f>Database!R823</f>
        <v>1</v>
      </c>
      <c r="H809" s="35">
        <f>Database!N823</f>
        <v>43047</v>
      </c>
    </row>
    <row r="810" spans="1:8" ht="23.25" x14ac:dyDescent="0.25">
      <c r="A810" s="225" t="str">
        <f>Database!A824</f>
        <v>17SAM214</v>
      </c>
      <c r="B810" s="34" t="str">
        <f>Database!E824</f>
        <v>TAKEDA</v>
      </c>
      <c r="C810" s="34" t="str">
        <f>Database!F824</f>
        <v>SYR312686A</v>
      </c>
      <c r="D810" s="34">
        <f>Database!K824</f>
        <v>389.42</v>
      </c>
      <c r="E810" s="34" t="str">
        <f>Database!P824</f>
        <v>40.03 mg</v>
      </c>
      <c r="F810" s="34" t="str">
        <f>Database!Q824</f>
        <v>DMSO</v>
      </c>
      <c r="G810" s="462">
        <f>Database!R824</f>
        <v>1</v>
      </c>
      <c r="H810" s="35">
        <f>Database!N824</f>
        <v>43048</v>
      </c>
    </row>
    <row r="811" spans="1:8" ht="30" x14ac:dyDescent="0.25">
      <c r="A811" s="225" t="str">
        <f>Database!A825</f>
        <v>17REF215</v>
      </c>
      <c r="B811" s="34" t="str">
        <f>Database!E825</f>
        <v>NEUROSERVICE</v>
      </c>
      <c r="C811" s="34" t="str">
        <f>Database!F825</f>
        <v>Urethane</v>
      </c>
      <c r="D811" s="34">
        <f>Database!K825</f>
        <v>89.09</v>
      </c>
      <c r="E811" s="34" t="str">
        <f>Database!P825</f>
        <v>100 g</v>
      </c>
      <c r="F811" s="34" t="str">
        <f>Database!Q825</f>
        <v>H2O mQ</v>
      </c>
      <c r="G811" s="462">
        <f>Database!R825</f>
        <v>0.99</v>
      </c>
      <c r="H811" s="35">
        <f>Database!N825</f>
        <v>43052</v>
      </c>
    </row>
    <row r="812" spans="1:8" ht="30" x14ac:dyDescent="0.25">
      <c r="A812" s="225" t="str">
        <f>Database!A826</f>
        <v>17REF216</v>
      </c>
      <c r="B812" s="34" t="str">
        <f>Database!E826</f>
        <v>NEUROSERVICE</v>
      </c>
      <c r="C812" s="34" t="str">
        <f>Database!F826</f>
        <v>HEPES</v>
      </c>
      <c r="D812" s="34">
        <f>Database!K826</f>
        <v>238.3</v>
      </c>
      <c r="E812" s="34" t="str">
        <f>Database!P826</f>
        <v>250 g</v>
      </c>
      <c r="F812" s="34" t="str">
        <f>Database!Q826</f>
        <v>H2O mQ to 500mg/mL</v>
      </c>
      <c r="G812" s="462">
        <f>Database!R826</f>
        <v>1</v>
      </c>
      <c r="H812" s="35">
        <f>Database!N826</f>
        <v>43052</v>
      </c>
    </row>
    <row r="813" spans="1:8" ht="30" x14ac:dyDescent="0.25">
      <c r="A813" s="225" t="str">
        <f>Database!A827</f>
        <v>17REF217</v>
      </c>
      <c r="B813" s="34" t="str">
        <f>Database!E827</f>
        <v>NEUROSERVICE</v>
      </c>
      <c r="C813" s="34" t="str">
        <f>Database!F827</f>
        <v>Somatostatin</v>
      </c>
      <c r="D813" s="34">
        <f>Database!K827</f>
        <v>1637.88</v>
      </c>
      <c r="E813" s="34" t="str">
        <f>Database!P827</f>
        <v>1 mg</v>
      </c>
      <c r="F813" s="34" t="str">
        <f>Database!Q827</f>
        <v>H2O mQ</v>
      </c>
      <c r="G813" s="462">
        <f>Database!R827</f>
        <v>0.80400000000000005</v>
      </c>
      <c r="H813" s="35">
        <f>Database!N827</f>
        <v>43053</v>
      </c>
    </row>
    <row r="814" spans="1:8" ht="60" x14ac:dyDescent="0.25">
      <c r="A814" s="225" t="str">
        <f>Database!A828</f>
        <v>17REF218</v>
      </c>
      <c r="B814" s="34" t="str">
        <f>Database!E828</f>
        <v>NEUROSERVICE</v>
      </c>
      <c r="C814" s="34" t="str">
        <f>Database!F828</f>
        <v>Creatine phosphokinase type I</v>
      </c>
      <c r="D814" s="34" t="str">
        <f>Database!K828</f>
        <v>~81000</v>
      </c>
      <c r="E814" s="34" t="str">
        <f>Database!P828</f>
        <v>17.5 KU</v>
      </c>
      <c r="F814" s="34" t="str">
        <f>Database!Q828</f>
        <v>5 mg/mL in 0.25 M glycyl-glycine,</v>
      </c>
      <c r="G814" s="462">
        <f>Database!R828</f>
        <v>0.99</v>
      </c>
      <c r="H814" s="35">
        <f>Database!N828</f>
        <v>43054</v>
      </c>
    </row>
    <row r="815" spans="1:8" ht="60" x14ac:dyDescent="0.25">
      <c r="A815" s="225" t="str">
        <f>Database!A829</f>
        <v>17REF219</v>
      </c>
      <c r="B815" s="34" t="str">
        <f>Database!E829</f>
        <v>NEUROSERVICE</v>
      </c>
      <c r="C815" s="34" t="str">
        <f>Database!F829</f>
        <v>Guanosine 5'-triphosphate sodium</v>
      </c>
      <c r="D815" s="34">
        <f>Database!K829</f>
        <v>523.17999999999995</v>
      </c>
      <c r="E815" s="34" t="str">
        <f>Database!P829</f>
        <v>100 mg</v>
      </c>
      <c r="F815" s="34">
        <f>Database!Q829</f>
        <v>0</v>
      </c>
      <c r="G815" s="462">
        <f>Database!R829</f>
        <v>0.97</v>
      </c>
      <c r="H815" s="35">
        <f>Database!N829</f>
        <v>43054</v>
      </c>
    </row>
    <row r="816" spans="1:8" ht="60" x14ac:dyDescent="0.25">
      <c r="A816" s="225" t="str">
        <f>Database!A830</f>
        <v>17REF220</v>
      </c>
      <c r="B816" s="34" t="str">
        <f>Database!E831</f>
        <v>MERCK</v>
      </c>
      <c r="C816" s="34" t="str">
        <f>Database!F831</f>
        <v>Tetraethylammonium chloride (TEA-Cl)</v>
      </c>
      <c r="D816" s="34">
        <f>Database!K831</f>
        <v>165.7</v>
      </c>
      <c r="E816" s="34" t="str">
        <f>Database!P831</f>
        <v>25 g</v>
      </c>
      <c r="F816" s="34">
        <f>Database!Q830</f>
        <v>0</v>
      </c>
      <c r="G816" s="462">
        <f>Database!R830</f>
        <v>0.97</v>
      </c>
      <c r="H816" s="35">
        <f>Database!N831</f>
        <v>43054</v>
      </c>
    </row>
    <row r="817" spans="1:8" ht="30" x14ac:dyDescent="0.25">
      <c r="A817" s="225" t="str">
        <f>Database!A831</f>
        <v>17SAM221</v>
      </c>
      <c r="B817" s="34" t="e">
        <f>Database!#REF!</f>
        <v>#REF!</v>
      </c>
      <c r="C817" s="34" t="e">
        <f>Database!#REF!</f>
        <v>#REF!</v>
      </c>
      <c r="D817" s="34" t="e">
        <f>Database!#REF!</f>
        <v>#REF!</v>
      </c>
      <c r="E817" s="34" t="e">
        <f>Database!#REF!</f>
        <v>#REF!</v>
      </c>
      <c r="F817" s="34" t="str">
        <f>Database!Q831</f>
        <v>50 mg/mL in H2O mQ</v>
      </c>
      <c r="G817" s="462">
        <f>Database!R831</f>
        <v>0.99199999999999999</v>
      </c>
      <c r="H817" s="35" t="e">
        <f>Database!#REF!</f>
        <v>#REF!</v>
      </c>
    </row>
    <row r="818" spans="1:8" ht="30" x14ac:dyDescent="0.25">
      <c r="A818" s="225" t="str">
        <f>Database!A832</f>
        <v>17REF222</v>
      </c>
      <c r="B818" s="34" t="str">
        <f>Database!E832</f>
        <v>NEUROSERVICE</v>
      </c>
      <c r="C818" s="34" t="str">
        <f>Database!F832</f>
        <v>Bicuculline methiodide</v>
      </c>
      <c r="D818" s="34">
        <f>Database!K832</f>
        <v>518.29999999999995</v>
      </c>
      <c r="E818" s="34" t="str">
        <f>Database!P832</f>
        <v>50 mg</v>
      </c>
      <c r="F818" s="34" t="str">
        <f>Database!Q832</f>
        <v>10 mM in H2O mQ</v>
      </c>
      <c r="G818" s="462">
        <f>Database!R832</f>
        <v>0.99</v>
      </c>
      <c r="H818" s="35">
        <f>Database!N832</f>
        <v>43055</v>
      </c>
    </row>
    <row r="819" spans="1:8" ht="30" x14ac:dyDescent="0.25">
      <c r="A819" s="225" t="str">
        <f>Database!A833</f>
        <v>17REF223</v>
      </c>
      <c r="B819" s="34" t="str">
        <f>Database!E833</f>
        <v>NEUROSERVICE</v>
      </c>
      <c r="C819" s="34" t="str">
        <f>Database!F833</f>
        <v>Bicuculline methiodide</v>
      </c>
      <c r="D819" s="34">
        <f>Database!K833</f>
        <v>518.29999999999995</v>
      </c>
      <c r="E819" s="34" t="str">
        <f>Database!P833</f>
        <v>50 mg</v>
      </c>
      <c r="F819" s="34" t="str">
        <f>Database!Q833</f>
        <v>10 mM in H2O mQ</v>
      </c>
      <c r="G819" s="462">
        <f>Database!R833</f>
        <v>0.99</v>
      </c>
      <c r="H819" s="35">
        <f>Database!N833</f>
        <v>43055</v>
      </c>
    </row>
    <row r="820" spans="1:8" ht="30" x14ac:dyDescent="0.25">
      <c r="A820" s="225" t="str">
        <f>Database!A834</f>
        <v>17REF224</v>
      </c>
      <c r="B820" s="34" t="str">
        <f>Database!E834</f>
        <v>NEUROSERVICE</v>
      </c>
      <c r="C820" s="34" t="str">
        <f>Database!F834</f>
        <v>Bicuculline methiodide</v>
      </c>
      <c r="D820" s="34">
        <f>Database!K834</f>
        <v>518.29999999999995</v>
      </c>
      <c r="E820" s="34" t="str">
        <f>Database!P834</f>
        <v>50 mg</v>
      </c>
      <c r="F820" s="34" t="str">
        <f>Database!Q834</f>
        <v>10 mM in H2O mQ</v>
      </c>
      <c r="G820" s="462">
        <f>Database!R834</f>
        <v>0.99</v>
      </c>
      <c r="H820" s="35">
        <f>Database!N834</f>
        <v>43055</v>
      </c>
    </row>
    <row r="821" spans="1:8" ht="60" x14ac:dyDescent="0.25">
      <c r="A821" s="225" t="str">
        <f>Database!A835</f>
        <v>17REF225</v>
      </c>
      <c r="B821" s="34" t="str">
        <f>Database!E835</f>
        <v>NEUROSERVICE</v>
      </c>
      <c r="C821" s="34" t="str">
        <f>Database!F835</f>
        <v>Morphine sulfate salt pentahydrate</v>
      </c>
      <c r="D821" s="34">
        <f>Database!K835</f>
        <v>758.83</v>
      </c>
      <c r="E821" s="34" t="str">
        <f>Database!P835</f>
        <v>50 mg</v>
      </c>
      <c r="F821" s="34" t="str">
        <f>Database!Q835</f>
        <v>64 mg/mL in H2O mQ</v>
      </c>
      <c r="G821" s="462">
        <f>Database!R835</f>
        <v>1</v>
      </c>
      <c r="H821" s="35">
        <f>Database!N835</f>
        <v>43061</v>
      </c>
    </row>
    <row r="822" spans="1:8" ht="30" x14ac:dyDescent="0.25">
      <c r="A822" s="225" t="str">
        <f>Database!A836</f>
        <v>17SAM226</v>
      </c>
      <c r="B822" s="34" t="str">
        <f>Database!E836</f>
        <v>NAVITOR</v>
      </c>
      <c r="C822" s="34" t="str">
        <f>Database!F836</f>
        <v>NV-5138</v>
      </c>
      <c r="D822" s="34">
        <f>Database!K836</f>
        <v>181.18</v>
      </c>
      <c r="E822" s="34" t="str">
        <f>Database!P836</f>
        <v>1.09 g</v>
      </c>
      <c r="F822" s="34" t="str">
        <f>Database!Q836</f>
        <v>in buffer navitor</v>
      </c>
      <c r="G822" s="462" t="str">
        <f>Database!R836</f>
        <v>NC</v>
      </c>
      <c r="H822" s="35">
        <f>Database!N836</f>
        <v>43062</v>
      </c>
    </row>
    <row r="823" spans="1:8" ht="23.25" x14ac:dyDescent="0.25">
      <c r="A823" s="225" t="str">
        <f>Database!A837</f>
        <v>17SAM227</v>
      </c>
      <c r="B823" s="34" t="str">
        <f>Database!E837</f>
        <v>NAVITOR</v>
      </c>
      <c r="C823" s="34" t="str">
        <f>Database!F837</f>
        <v>MC Twin</v>
      </c>
      <c r="D823" s="34" t="str">
        <f>Database!K837</f>
        <v>-</v>
      </c>
      <c r="E823" s="34" t="str">
        <f>Database!P837</f>
        <v>4 x 50 mL</v>
      </c>
      <c r="F823" s="34">
        <f>Database!Q837</f>
        <v>0</v>
      </c>
      <c r="G823" s="462" t="str">
        <f>Database!R837</f>
        <v>NC</v>
      </c>
      <c r="H823" s="35">
        <f>Database!N837</f>
        <v>43062</v>
      </c>
    </row>
    <row r="824" spans="1:8" ht="30" x14ac:dyDescent="0.25">
      <c r="A824" s="225" t="str">
        <f>Database!A838</f>
        <v>17SAM228</v>
      </c>
      <c r="B824" s="34" t="str">
        <f>Database!E838</f>
        <v>TAKEDA</v>
      </c>
      <c r="C824" s="34" t="str">
        <f>Database!F838</f>
        <v>Ritanserin</v>
      </c>
      <c r="D824" s="34">
        <f>Database!K838</f>
        <v>477.57</v>
      </c>
      <c r="E824" s="34" t="str">
        <f>Database!P838</f>
        <v>10 mg</v>
      </c>
      <c r="F824" s="34" t="str">
        <f>Database!Q838</f>
        <v>DMSO to 100 mM</v>
      </c>
      <c r="G824" s="462">
        <f>Database!R838</f>
        <v>0.996</v>
      </c>
      <c r="H824" s="35">
        <f>Database!N838</f>
        <v>43063</v>
      </c>
    </row>
    <row r="825" spans="1:8" ht="30" x14ac:dyDescent="0.25">
      <c r="A825" s="225" t="str">
        <f>Database!A839</f>
        <v>17SAM229</v>
      </c>
      <c r="B825" s="34" t="str">
        <f>Database!E839</f>
        <v>NAVITOR</v>
      </c>
      <c r="C825" s="34" t="str">
        <f>Database!F839</f>
        <v>(S)-3,5-DHPG</v>
      </c>
      <c r="D825" s="34">
        <f>Database!K839</f>
        <v>192.17</v>
      </c>
      <c r="E825" s="34" t="str">
        <f>Database!P839</f>
        <v>10 mg</v>
      </c>
      <c r="F825" s="34" t="str">
        <f>Database!Q839</f>
        <v>H2O mQ to 50 mM</v>
      </c>
      <c r="G825" s="462">
        <f>Database!R839</f>
        <v>0.99</v>
      </c>
      <c r="H825" s="35">
        <f>Database!N839</f>
        <v>43063</v>
      </c>
    </row>
    <row r="826" spans="1:8" ht="30" x14ac:dyDescent="0.25">
      <c r="A826" s="225" t="str">
        <f>Database!A840</f>
        <v>17SAM230</v>
      </c>
      <c r="B826" s="34" t="str">
        <f>Database!E840</f>
        <v>NAVITOR</v>
      </c>
      <c r="C826" s="34" t="str">
        <f>Database!F840</f>
        <v>(S)-3,5-DHPG</v>
      </c>
      <c r="D826" s="34">
        <f>Database!K840</f>
        <v>192.17</v>
      </c>
      <c r="E826" s="34" t="str">
        <f>Database!P840</f>
        <v>10 mg</v>
      </c>
      <c r="F826" s="34" t="str">
        <f>Database!Q840</f>
        <v>H2O mQ to 50 mM</v>
      </c>
      <c r="G826" s="462">
        <f>Database!R840</f>
        <v>0.99</v>
      </c>
      <c r="H826" s="35">
        <f>Database!N840</f>
        <v>43063</v>
      </c>
    </row>
    <row r="827" spans="1:8" ht="30" x14ac:dyDescent="0.25">
      <c r="A827" s="225" t="str">
        <f>Database!A841</f>
        <v>17REF231</v>
      </c>
      <c r="B827" s="34" t="str">
        <f>Database!E841</f>
        <v>NEUROSERVICE</v>
      </c>
      <c r="C827" s="34" t="str">
        <f>Database!F841</f>
        <v>Bicuculline methiodide</v>
      </c>
      <c r="D827" s="34">
        <f>Database!K841</f>
        <v>518.29999999999995</v>
      </c>
      <c r="E827" s="34" t="str">
        <f>Database!P841</f>
        <v>50 mg</v>
      </c>
      <c r="F827" s="34" t="str">
        <f>Database!Q841</f>
        <v>10 mM in H2O mQ</v>
      </c>
      <c r="G827" s="462">
        <f>Database!R841</f>
        <v>0.99</v>
      </c>
      <c r="H827" s="35">
        <f>Database!N841</f>
        <v>43063</v>
      </c>
    </row>
    <row r="828" spans="1:8" ht="30" x14ac:dyDescent="0.25">
      <c r="A828" s="225" t="str">
        <f>Database!A842</f>
        <v>17REF232</v>
      </c>
      <c r="B828" s="34" t="str">
        <f>Database!E842</f>
        <v>NEUROSERVICE</v>
      </c>
      <c r="C828" s="34" t="str">
        <f>Database!F842</f>
        <v>NNC 711</v>
      </c>
      <c r="D828" s="34">
        <f>Database!K842</f>
        <v>386.88</v>
      </c>
      <c r="E828" s="34" t="str">
        <f>Database!P842</f>
        <v>50 mg</v>
      </c>
      <c r="F828" s="34" t="str">
        <f>Database!Q842</f>
        <v>H2O mQ to 10 mM</v>
      </c>
      <c r="G828" s="462">
        <f>Database!R842</f>
        <v>1</v>
      </c>
      <c r="H828" s="35">
        <f>Database!N842</f>
        <v>43063</v>
      </c>
    </row>
    <row r="829" spans="1:8" ht="30" x14ac:dyDescent="0.25">
      <c r="A829" s="225" t="str">
        <f>Database!A843</f>
        <v>17SAM233</v>
      </c>
      <c r="B829" s="34" t="str">
        <f>Database!E843</f>
        <v>SAGE</v>
      </c>
      <c r="C829" s="34" t="str">
        <f>Database!F843</f>
        <v>SGE-00516-07-A</v>
      </c>
      <c r="D829" s="34">
        <f>Database!K843</f>
        <v>385.54</v>
      </c>
      <c r="E829" s="34" t="str">
        <f>Database!P843</f>
        <v>15.1 mg</v>
      </c>
      <c r="F829" s="34" t="str">
        <f>Database!Q843</f>
        <v>DMSO</v>
      </c>
      <c r="G829" s="462" t="str">
        <f>Database!R843</f>
        <v>NC</v>
      </c>
      <c r="H829" s="35">
        <f>Database!N843</f>
        <v>43069</v>
      </c>
    </row>
    <row r="830" spans="1:8" ht="30" x14ac:dyDescent="0.25">
      <c r="A830" s="225" t="str">
        <f>Database!A844</f>
        <v>17SAM234</v>
      </c>
      <c r="B830" s="34" t="str">
        <f>Database!E844</f>
        <v>SAGE</v>
      </c>
      <c r="C830" s="34" t="str">
        <f>Database!F844</f>
        <v>SGE-00334-02-A</v>
      </c>
      <c r="D830" s="34">
        <f>Database!K844</f>
        <v>458.64</v>
      </c>
      <c r="E830" s="34" t="str">
        <f>Database!P844</f>
        <v>15.1 mg</v>
      </c>
      <c r="F830" s="34" t="str">
        <f>Database!Q844</f>
        <v>DMSO</v>
      </c>
      <c r="G830" s="462" t="str">
        <f>Database!R844</f>
        <v>NC</v>
      </c>
      <c r="H830" s="35">
        <f>Database!N844</f>
        <v>43069</v>
      </c>
    </row>
    <row r="831" spans="1:8" ht="30" x14ac:dyDescent="0.25">
      <c r="A831" s="225" t="str">
        <f>Database!A845</f>
        <v>17SAM235</v>
      </c>
      <c r="B831" s="34" t="str">
        <f>Database!E845</f>
        <v>SAGE</v>
      </c>
      <c r="C831" s="34" t="str">
        <f>Database!F845</f>
        <v>SGE-00112-08-A</v>
      </c>
      <c r="D831" s="34">
        <f>Database!K845</f>
        <v>353.83</v>
      </c>
      <c r="E831" s="34" t="str">
        <f>Database!P845</f>
        <v>15 mg</v>
      </c>
      <c r="F831" s="34" t="str">
        <f>Database!Q845</f>
        <v>DMSO</v>
      </c>
      <c r="G831" s="462" t="str">
        <f>Database!R845</f>
        <v>NC</v>
      </c>
      <c r="H831" s="35">
        <f>Database!N845</f>
        <v>43069</v>
      </c>
    </row>
    <row r="832" spans="1:8" ht="30" x14ac:dyDescent="0.25">
      <c r="A832" s="225" t="str">
        <f>Database!A846</f>
        <v>17SAM236</v>
      </c>
      <c r="B832" s="34" t="str">
        <f>Database!E846</f>
        <v>SAGE</v>
      </c>
      <c r="C832" s="34" t="str">
        <f>Database!F846</f>
        <v>SGE-00109-01-A</v>
      </c>
      <c r="D832" s="34">
        <f>Database!K846</f>
        <v>334.49</v>
      </c>
      <c r="E832" s="34" t="str">
        <f>Database!P846</f>
        <v>15.1 mg</v>
      </c>
      <c r="F832" s="34" t="str">
        <f>Database!Q846</f>
        <v>DMSO</v>
      </c>
      <c r="G832" s="462" t="str">
        <f>Database!R846</f>
        <v>NC</v>
      </c>
      <c r="H832" s="35">
        <f>Database!N846</f>
        <v>43069</v>
      </c>
    </row>
    <row r="833" spans="1:8" ht="30" x14ac:dyDescent="0.25">
      <c r="A833" s="225" t="str">
        <f>Database!A847</f>
        <v>17REF237</v>
      </c>
      <c r="B833" s="34" t="str">
        <f>Database!E847</f>
        <v>NEUROSERVICE</v>
      </c>
      <c r="C833" s="34" t="str">
        <f>Database!F847</f>
        <v>Carbachol</v>
      </c>
      <c r="D833" s="34">
        <f>Database!K847</f>
        <v>182.7</v>
      </c>
      <c r="E833" s="34" t="str">
        <f>Database!P847</f>
        <v>100 mg</v>
      </c>
      <c r="F833" s="34" t="str">
        <f>Database!Q847</f>
        <v>H2O mQ to 100 mg/mL</v>
      </c>
      <c r="G833" s="462">
        <f>Database!R847</f>
        <v>0.99</v>
      </c>
      <c r="H833" s="35">
        <f>Database!N847</f>
        <v>43074</v>
      </c>
    </row>
    <row r="834" spans="1:8" ht="30" x14ac:dyDescent="0.25">
      <c r="A834" s="225" t="str">
        <f>Database!A848</f>
        <v>17REF238</v>
      </c>
      <c r="B834" s="34" t="str">
        <f>Database!E848</f>
        <v>NEUROSERVICE</v>
      </c>
      <c r="C834" s="34" t="str">
        <f>Database!F848</f>
        <v>Bicuculline methiodide</v>
      </c>
      <c r="D834" s="34">
        <f>Database!K848</f>
        <v>509.29</v>
      </c>
      <c r="E834" s="34" t="str">
        <f>Database!P848</f>
        <v>50 mg</v>
      </c>
      <c r="F834" s="34" t="str">
        <f>Database!Q848</f>
        <v>10 mg/mL in H2O mQ</v>
      </c>
      <c r="G834" s="462" t="str">
        <f>Database!R848</f>
        <v>99,9%</v>
      </c>
      <c r="H834" s="35">
        <f>Database!N848</f>
        <v>43076</v>
      </c>
    </row>
    <row r="835" spans="1:8" ht="30" x14ac:dyDescent="0.25">
      <c r="A835" s="225" t="str">
        <f>Database!A849</f>
        <v>17SAM239</v>
      </c>
      <c r="B835" s="34" t="str">
        <f>Database!E849</f>
        <v>ALKERMES</v>
      </c>
      <c r="C835" s="34" t="str">
        <f>Database!F849</f>
        <v>RDC-05225-01-02</v>
      </c>
      <c r="D835" s="34">
        <f>Database!K849</f>
        <v>324.85000000000002</v>
      </c>
      <c r="E835" s="34" t="str">
        <f>Database!P849</f>
        <v>300.58 mg</v>
      </c>
      <c r="F835" s="34" t="str">
        <f>Database!Q849</f>
        <v>H2O mQ</v>
      </c>
      <c r="G835" s="462">
        <f>Database!R849</f>
        <v>0.85470000000000002</v>
      </c>
      <c r="H835" s="35">
        <f>Database!N849</f>
        <v>43081</v>
      </c>
    </row>
    <row r="836" spans="1:8" ht="45" x14ac:dyDescent="0.25">
      <c r="A836" s="225" t="str">
        <f>Database!A850</f>
        <v>17REF240</v>
      </c>
      <c r="B836" s="34" t="str">
        <f>Database!E850</f>
        <v>NEUROSERVICE</v>
      </c>
      <c r="C836" s="34" t="str">
        <f>Database!F850</f>
        <v>NBQX</v>
      </c>
      <c r="D836" s="34">
        <f>Database!K850</f>
        <v>340.78</v>
      </c>
      <c r="E836" s="34" t="str">
        <f>Database!P850</f>
        <v>50 mg</v>
      </c>
      <c r="F836" s="34" t="str">
        <f>Database!Q850</f>
        <v>up to 100 mM in DMSO</v>
      </c>
      <c r="G836" s="462">
        <f>Database!R850</f>
        <v>0.99</v>
      </c>
      <c r="H836" s="35">
        <f>Database!N850</f>
        <v>43081</v>
      </c>
    </row>
    <row r="837" spans="1:8" ht="30" x14ac:dyDescent="0.25">
      <c r="A837" s="225" t="str">
        <f>Database!A851</f>
        <v>17SAM241</v>
      </c>
      <c r="B837" s="34" t="str">
        <f>Database!E851</f>
        <v>TREEWAY</v>
      </c>
      <c r="C837" s="34" t="str">
        <f>Database!F851</f>
        <v>Gabazine (SR95531)</v>
      </c>
      <c r="D837" s="34">
        <f>Database!K851</f>
        <v>368.23</v>
      </c>
      <c r="E837" s="34" t="str">
        <f>Database!P851</f>
        <v>50 mg</v>
      </c>
      <c r="F837" s="34" t="str">
        <f>Database!Q851</f>
        <v>H2O mQ to 25 mM</v>
      </c>
      <c r="G837" s="462">
        <f>Database!R851</f>
        <v>0.99</v>
      </c>
      <c r="H837" s="35">
        <f>Database!N851</f>
        <v>43081</v>
      </c>
    </row>
    <row r="838" spans="1:8" ht="30" x14ac:dyDescent="0.25">
      <c r="A838" s="225" t="str">
        <f>Database!A852</f>
        <v>17SAM242</v>
      </c>
      <c r="B838" s="34" t="str">
        <f>Database!E852</f>
        <v>TREEWAY</v>
      </c>
      <c r="C838" s="34" t="str">
        <f>Database!F852</f>
        <v>NNC 711</v>
      </c>
      <c r="D838" s="34">
        <f>Database!K852</f>
        <v>386.88</v>
      </c>
      <c r="E838" s="34" t="str">
        <f>Database!P852</f>
        <v>50 mg</v>
      </c>
      <c r="F838" s="34" t="str">
        <f>Database!Q852</f>
        <v>H2O mQ to 10 mM</v>
      </c>
      <c r="G838" s="462">
        <f>Database!R852</f>
        <v>0.99</v>
      </c>
      <c r="H838" s="35">
        <f>Database!N852</f>
        <v>43082</v>
      </c>
    </row>
    <row r="839" spans="1:8" ht="30" x14ac:dyDescent="0.25">
      <c r="A839" s="225" t="str">
        <f>Database!A853</f>
        <v>17REF243</v>
      </c>
      <c r="B839" s="34" t="str">
        <f>Database!E853</f>
        <v>NEUROSERVICE</v>
      </c>
      <c r="C839" s="34" t="str">
        <f>Database!F853</f>
        <v>Sodium pyruvate</v>
      </c>
      <c r="D839" s="34">
        <f>Database!K853</f>
        <v>110.04</v>
      </c>
      <c r="E839" s="34" t="str">
        <f>Database!P853</f>
        <v>5 g</v>
      </c>
      <c r="F839" s="34">
        <f>Database!Q853</f>
        <v>0</v>
      </c>
      <c r="G839" s="462">
        <f>Database!R853</f>
        <v>1</v>
      </c>
      <c r="H839" s="35">
        <f>Database!N853</f>
        <v>43084</v>
      </c>
    </row>
    <row r="840" spans="1:8" ht="30" x14ac:dyDescent="0.25">
      <c r="A840" s="225" t="str">
        <f>Database!A854</f>
        <v>17REF244</v>
      </c>
      <c r="B840" s="34" t="str">
        <f>Database!E854</f>
        <v>NEUROSERVICE</v>
      </c>
      <c r="C840" s="34" t="str">
        <f>Database!F854</f>
        <v>Sodium pyruvate</v>
      </c>
      <c r="D840" s="34">
        <f>Database!K854</f>
        <v>110.04</v>
      </c>
      <c r="E840" s="34" t="str">
        <f>Database!P854</f>
        <v>5g</v>
      </c>
      <c r="F840" s="34">
        <f>Database!Q854</f>
        <v>0</v>
      </c>
      <c r="G840" s="462">
        <f>Database!R854</f>
        <v>1</v>
      </c>
      <c r="H840" s="35">
        <f>Database!N854</f>
        <v>43084</v>
      </c>
    </row>
    <row r="841" spans="1:8" ht="30" x14ac:dyDescent="0.25">
      <c r="A841" s="225" t="str">
        <f>Database!A855</f>
        <v>17REF245</v>
      </c>
      <c r="B841" s="34" t="str">
        <f>Database!E855</f>
        <v>NEUROSERVICE</v>
      </c>
      <c r="C841" s="34" t="str">
        <f>Database!F855</f>
        <v>Bicuculline methiodide</v>
      </c>
      <c r="D841" s="34">
        <f>Database!K855</f>
        <v>509.29</v>
      </c>
      <c r="E841" s="34" t="str">
        <f>Database!P855</f>
        <v>50 mg</v>
      </c>
      <c r="F841" s="34" t="str">
        <f>Database!Q855</f>
        <v>10 mg/mL in H2O mQ</v>
      </c>
      <c r="G841" s="462">
        <f>Database!R855</f>
        <v>0.999</v>
      </c>
      <c r="H841" s="35">
        <f>Database!N855</f>
        <v>43084</v>
      </c>
    </row>
    <row r="842" spans="1:8" ht="30" x14ac:dyDescent="0.25">
      <c r="A842" s="225" t="str">
        <f>Database!A856</f>
        <v>17REF246</v>
      </c>
      <c r="B842" s="34" t="str">
        <f>Database!E856</f>
        <v>NEUROSERVICE</v>
      </c>
      <c r="C842" s="34" t="str">
        <f>Database!F856</f>
        <v>(S)-3,5-DHPG</v>
      </c>
      <c r="D842" s="34">
        <f>Database!K856</f>
        <v>192.17</v>
      </c>
      <c r="E842" s="34" t="str">
        <f>Database!P856</f>
        <v>10 mg</v>
      </c>
      <c r="F842" s="34" t="str">
        <f>Database!Q856</f>
        <v>H2O mQ to 50 mM</v>
      </c>
      <c r="G842" s="462">
        <f>Database!R856</f>
        <v>0.99</v>
      </c>
      <c r="H842" s="35">
        <f>Database!N856</f>
        <v>43088</v>
      </c>
    </row>
    <row r="843" spans="1:8" ht="45" x14ac:dyDescent="0.25">
      <c r="A843" s="225" t="str">
        <f>Database!A857</f>
        <v>17REF247</v>
      </c>
      <c r="B843" s="34" t="str">
        <f>Database!E857</f>
        <v>NEUROSERVICE</v>
      </c>
      <c r="C843" s="34" t="str">
        <f>Database!F857</f>
        <v>D-AP5</v>
      </c>
      <c r="D843" s="34">
        <f>Database!K857</f>
        <v>197.13</v>
      </c>
      <c r="E843" s="34" t="str">
        <f>Database!P857</f>
        <v>50 mg</v>
      </c>
      <c r="F843" s="34" t="str">
        <f>Database!Q857</f>
        <v>up to 100 mM H2O mQ</v>
      </c>
      <c r="G843" s="462">
        <f>Database!R857</f>
        <v>0.99</v>
      </c>
      <c r="H843" s="35">
        <f>Database!N857</f>
        <v>43088</v>
      </c>
    </row>
    <row r="844" spans="1:8" ht="30" x14ac:dyDescent="0.25">
      <c r="A844" s="225" t="str">
        <f>Database!A858</f>
        <v>17SAM248</v>
      </c>
      <c r="B844" s="34" t="str">
        <f>Database!E858</f>
        <v>SAGE</v>
      </c>
      <c r="C844" s="34" t="str">
        <f>Database!F858</f>
        <v>SGE-00550-09-A</v>
      </c>
      <c r="D844" s="34">
        <f>Database!K858</f>
        <v>442.6</v>
      </c>
      <c r="E844" s="34" t="str">
        <f>Database!P858</f>
        <v>100 mg</v>
      </c>
      <c r="F844" s="34" t="str">
        <f>Database!Q858</f>
        <v>DMSO</v>
      </c>
      <c r="G844" s="462" t="str">
        <f>Database!R858</f>
        <v>NC</v>
      </c>
      <c r="H844" s="35">
        <f>Database!N858</f>
        <v>43088</v>
      </c>
    </row>
    <row r="845" spans="1:8" ht="30" x14ac:dyDescent="0.25">
      <c r="A845" s="225" t="str">
        <f>Database!A859</f>
        <v>17REF249</v>
      </c>
      <c r="B845" s="34" t="str">
        <f>Database!E859</f>
        <v>NEUROSERVICE</v>
      </c>
      <c r="C845" s="34" t="str">
        <f>Database!F859</f>
        <v>Carbachol</v>
      </c>
      <c r="D845" s="34">
        <f>Database!K859</f>
        <v>182.65</v>
      </c>
      <c r="E845" s="34" t="str">
        <f>Database!P859</f>
        <v>10 g</v>
      </c>
      <c r="F845" s="34" t="str">
        <f>Database!Q859</f>
        <v>H2O to 1g/mL</v>
      </c>
      <c r="G845" s="462">
        <f>Database!R859</f>
        <v>0.99199999999999999</v>
      </c>
      <c r="H845" s="35">
        <f>Database!N859</f>
        <v>43090</v>
      </c>
    </row>
    <row r="846" spans="1:8" ht="60" x14ac:dyDescent="0.25">
      <c r="A846" s="225" t="str">
        <f>Database!A860</f>
        <v>17REF250</v>
      </c>
      <c r="B846" s="34" t="str">
        <f>Database!E860</f>
        <v>NEUROSERVICE</v>
      </c>
      <c r="C846" s="34" t="str">
        <f>Database!F860</f>
        <v>N-Acetyl-L-Cysteine (NAC)</v>
      </c>
      <c r="D846" s="34">
        <f>Database!K860</f>
        <v>163.19</v>
      </c>
      <c r="E846" s="34" t="str">
        <f>Database!P860</f>
        <v>50 g</v>
      </c>
      <c r="F846" s="34" t="str">
        <f>Database!Q860</f>
        <v>H2O mQ to 100mg/mL (with heating)</v>
      </c>
      <c r="G846" s="462">
        <f>Database!R860</f>
        <v>0.99</v>
      </c>
      <c r="H846" s="35">
        <f>Database!N860</f>
        <v>43090</v>
      </c>
    </row>
    <row r="847" spans="1:8" ht="90" x14ac:dyDescent="0.25">
      <c r="A847" s="225" t="str">
        <f>Database!A861</f>
        <v>17SAM251</v>
      </c>
      <c r="B847" s="34" t="str">
        <f>Database!E861</f>
        <v>Emergent</v>
      </c>
      <c r="C847" s="34" t="str">
        <f>Database!F861</f>
        <v>GC-205</v>
      </c>
      <c r="D847" s="34">
        <f>Database!K861</f>
        <v>389.81</v>
      </c>
      <c r="E847" s="34" t="str">
        <f>Database!P861</f>
        <v>43.8 mg</v>
      </c>
      <c r="F847" s="34" t="str">
        <f>Database!Q861</f>
        <v>up to 30 mM in DMSO (instructions in CHF 17PR0042)</v>
      </c>
      <c r="G847" s="462">
        <f>Database!R861</f>
        <v>0.99219999999999997</v>
      </c>
      <c r="H847" s="35">
        <f>Database!N861</f>
        <v>43109</v>
      </c>
    </row>
    <row r="848" spans="1:8" ht="90" x14ac:dyDescent="0.25">
      <c r="A848" s="225" t="str">
        <f>Database!A862</f>
        <v>17SAM252</v>
      </c>
      <c r="B848" s="34" t="str">
        <f>Database!E862</f>
        <v>Emergent</v>
      </c>
      <c r="C848" s="34" t="str">
        <f>Database!F862</f>
        <v>GC-72K</v>
      </c>
      <c r="D848" s="34">
        <f>Database!K862</f>
        <v>408.44</v>
      </c>
      <c r="E848" s="34" t="str">
        <f>Database!P862</f>
        <v>42.7 mg</v>
      </c>
      <c r="F848" s="34" t="str">
        <f>Database!Q862</f>
        <v>up to 30 mM in DMSO (instructions in CHF 17PR0042)</v>
      </c>
      <c r="G848" s="462">
        <f>Database!R862</f>
        <v>0.998</v>
      </c>
      <c r="H848" s="35">
        <f>Database!N862</f>
        <v>43109</v>
      </c>
    </row>
    <row r="849" spans="1:8" ht="60" x14ac:dyDescent="0.25">
      <c r="A849" s="225" t="str">
        <f>Database!A864</f>
        <v>18REF001</v>
      </c>
      <c r="B849" s="34" t="str">
        <f>Database!E864</f>
        <v>Neuroservice</v>
      </c>
      <c r="C849" s="34" t="str">
        <f>Database!F864</f>
        <v>Guanosine 5'-triphosphate sodium</v>
      </c>
      <c r="D849" s="34">
        <f>Database!K864</f>
        <v>523.17999999999995</v>
      </c>
      <c r="E849" s="34" t="str">
        <f>Database!P864</f>
        <v>25 mg</v>
      </c>
      <c r="F849" s="34">
        <f>Database!Q864</f>
        <v>0</v>
      </c>
      <c r="G849" s="462" t="str">
        <f>Database!R864</f>
        <v>&gt;95 %</v>
      </c>
      <c r="H849" s="35">
        <f>Database!N864</f>
        <v>43118</v>
      </c>
    </row>
    <row r="850" spans="1:8" ht="60" x14ac:dyDescent="0.25">
      <c r="A850" s="225" t="str">
        <f>Database!A865</f>
        <v>18REF002</v>
      </c>
      <c r="B850" s="34" t="str">
        <f>Database!E865</f>
        <v>Neuroservice</v>
      </c>
      <c r="C850" s="34" t="str">
        <f>Database!F865</f>
        <v>Guanosine 5'-triphosphate sodium</v>
      </c>
      <c r="D850" s="34">
        <f>Database!K865</f>
        <v>523.17999999999995</v>
      </c>
      <c r="E850" s="34" t="str">
        <f>Database!P865</f>
        <v>25 mg</v>
      </c>
      <c r="F850" s="34">
        <f>Database!Q865</f>
        <v>0</v>
      </c>
      <c r="G850" s="462" t="str">
        <f>Database!R865</f>
        <v>&gt;95 %</v>
      </c>
      <c r="H850" s="35">
        <f>Database!N865</f>
        <v>43118</v>
      </c>
    </row>
    <row r="851" spans="1:8" ht="30" x14ac:dyDescent="0.25">
      <c r="A851" s="225" t="str">
        <f>Database!A866</f>
        <v>18REF003</v>
      </c>
      <c r="B851" s="34" t="str">
        <f>Database!E866</f>
        <v>Neuroservice</v>
      </c>
      <c r="C851" s="34" t="str">
        <f>Database!F866</f>
        <v>Bicuculline methiodide</v>
      </c>
      <c r="D851" s="34">
        <f>Database!K866</f>
        <v>509.29</v>
      </c>
      <c r="E851" s="34" t="str">
        <f>Database!P866</f>
        <v>50 mg</v>
      </c>
      <c r="F851" s="34">
        <f>Database!Q866</f>
        <v>0</v>
      </c>
      <c r="G851" s="462" t="str">
        <f>Database!R866</f>
        <v>&gt; 95%</v>
      </c>
      <c r="H851" s="35">
        <f>Database!N866</f>
        <v>43118</v>
      </c>
    </row>
    <row r="852" spans="1:8" ht="30" x14ac:dyDescent="0.25">
      <c r="A852" s="225" t="str">
        <f>Database!A867</f>
        <v>18REF004</v>
      </c>
      <c r="B852" s="34" t="str">
        <f>Database!E867</f>
        <v>Neuroservice</v>
      </c>
      <c r="C852" s="34" t="str">
        <f>Database!F867</f>
        <v>Capsaicin</v>
      </c>
      <c r="D852" s="34">
        <f>Database!K867</f>
        <v>305.41000000000003</v>
      </c>
      <c r="E852" s="34" t="str">
        <f>Database!P867</f>
        <v>50 mg</v>
      </c>
      <c r="F852" s="34">
        <f>Database!Q867</f>
        <v>0</v>
      </c>
      <c r="G852" s="462" t="str">
        <f>Database!R867</f>
        <v>&gt; 95%</v>
      </c>
      <c r="H852" s="35">
        <f>Database!N867</f>
        <v>43118</v>
      </c>
    </row>
    <row r="853" spans="1:8" ht="30" x14ac:dyDescent="0.25">
      <c r="A853" s="225" t="str">
        <f>Database!A868</f>
        <v>18REF005</v>
      </c>
      <c r="B853" s="34" t="str">
        <f>Database!E868</f>
        <v>Neuroservice</v>
      </c>
      <c r="C853" s="34" t="str">
        <f>Database!F868</f>
        <v>Cesium fluoride</v>
      </c>
      <c r="D853" s="34">
        <f>Database!K868</f>
        <v>151.9</v>
      </c>
      <c r="E853" s="34" t="str">
        <f>Database!P868</f>
        <v>25 g</v>
      </c>
      <c r="F853" s="34">
        <f>Database!Q868</f>
        <v>0</v>
      </c>
      <c r="G853" s="462">
        <f>Database!R868</f>
        <v>0.99</v>
      </c>
      <c r="H853" s="35">
        <f>Database!N868</f>
        <v>43118</v>
      </c>
    </row>
    <row r="854" spans="1:8" ht="45" x14ac:dyDescent="0.25">
      <c r="A854" s="225" t="str">
        <f>Database!A869</f>
        <v>18REF006</v>
      </c>
      <c r="B854" s="34" t="str">
        <f>Database!E869</f>
        <v>Neuroservice</v>
      </c>
      <c r="C854" s="34" t="str">
        <f>Database!F869</f>
        <v>Cesium methanesulfonate</v>
      </c>
      <c r="D854" s="34">
        <f>Database!K869</f>
        <v>228</v>
      </c>
      <c r="E854" s="34" t="str">
        <f>Database!P869</f>
        <v>5 g</v>
      </c>
      <c r="F854" s="34">
        <f>Database!Q869</f>
        <v>0</v>
      </c>
      <c r="G854" s="462">
        <f>Database!R869</f>
        <v>0</v>
      </c>
      <c r="H854" s="35">
        <f>Database!N869</f>
        <v>43118</v>
      </c>
    </row>
    <row r="855" spans="1:8" ht="45" x14ac:dyDescent="0.25">
      <c r="A855" s="225" t="str">
        <f>Database!A870</f>
        <v>18REF007</v>
      </c>
      <c r="B855" s="34" t="str">
        <f>Database!E870</f>
        <v>Neuroservice</v>
      </c>
      <c r="C855" s="34" t="str">
        <f>Database!F870</f>
        <v>Cesium methanesulfonate</v>
      </c>
      <c r="D855" s="34">
        <f>Database!K870</f>
        <v>228</v>
      </c>
      <c r="E855" s="34" t="str">
        <f>Database!P870</f>
        <v>5 g</v>
      </c>
      <c r="F855" s="34">
        <f>Database!Q870</f>
        <v>0</v>
      </c>
      <c r="G855" s="462">
        <f>Database!R870</f>
        <v>0</v>
      </c>
      <c r="H855" s="35">
        <f>Database!N870</f>
        <v>43118</v>
      </c>
    </row>
    <row r="856" spans="1:8" ht="45" x14ac:dyDescent="0.25">
      <c r="A856" s="225" t="str">
        <f>Database!A871</f>
        <v>18REF008</v>
      </c>
      <c r="B856" s="34" t="str">
        <f>Database!E871</f>
        <v>Neuroservice</v>
      </c>
      <c r="C856" s="34" t="str">
        <f>Database!F871</f>
        <v>Potassium phosphate monobasic</v>
      </c>
      <c r="D856" s="34">
        <f>Database!K871</f>
        <v>136.09</v>
      </c>
      <c r="E856" s="34" t="str">
        <f>Database!P871</f>
        <v>100 g</v>
      </c>
      <c r="F856" s="34" t="str">
        <f>Database!Q871</f>
        <v>100 mg/mL in H2O mQ</v>
      </c>
      <c r="G856" s="462">
        <f>Database!R871</f>
        <v>1</v>
      </c>
      <c r="H856" s="35">
        <f>Database!N871</f>
        <v>43118</v>
      </c>
    </row>
    <row r="857" spans="1:8" ht="30" x14ac:dyDescent="0.25">
      <c r="A857" s="225" t="str">
        <f>Database!A872</f>
        <v>18REF009</v>
      </c>
      <c r="B857" s="34" t="str">
        <f>Database!E872</f>
        <v>Neuroservice</v>
      </c>
      <c r="C857" s="34" t="str">
        <f>Database!F872</f>
        <v>HEPES</v>
      </c>
      <c r="D857" s="34">
        <f>Database!K872</f>
        <v>238.3</v>
      </c>
      <c r="E857" s="34" t="str">
        <f>Database!P872</f>
        <v>25 g</v>
      </c>
      <c r="F857" s="34" t="str">
        <f>Database!Q872</f>
        <v>H2O mQ to 500mg/mL</v>
      </c>
      <c r="G857" s="462" t="str">
        <f>Database!R872</f>
        <v>&gt; 99.5%</v>
      </c>
      <c r="H857" s="35">
        <f>Database!N872</f>
        <v>43118</v>
      </c>
    </row>
    <row r="858" spans="1:8" ht="30" x14ac:dyDescent="0.25">
      <c r="A858" s="225" t="str">
        <f>Database!A873</f>
        <v>18REF010</v>
      </c>
      <c r="B858" s="34" t="str">
        <f>Database!E873</f>
        <v>Neuroservice</v>
      </c>
      <c r="C858" s="34" t="str">
        <f>Database!F873</f>
        <v>HEPES</v>
      </c>
      <c r="D858" s="34">
        <f>Database!K873</f>
        <v>238.3</v>
      </c>
      <c r="E858" s="34" t="str">
        <f>Database!P873</f>
        <v>25 g</v>
      </c>
      <c r="F858" s="34" t="str">
        <f>Database!Q873</f>
        <v>H2O mQ to 500mg/mL</v>
      </c>
      <c r="G858" s="462" t="str">
        <f>Database!R873</f>
        <v>&gt; 99.5%</v>
      </c>
      <c r="H858" s="35">
        <f>Database!N873</f>
        <v>43118</v>
      </c>
    </row>
    <row r="859" spans="1:8" ht="45" x14ac:dyDescent="0.25">
      <c r="A859" s="225" t="str">
        <f>Database!A874</f>
        <v>18REF011</v>
      </c>
      <c r="B859" s="34" t="str">
        <f>Database!E874</f>
        <v>Neuroservice</v>
      </c>
      <c r="C859" s="34" t="str">
        <f>Database!F874</f>
        <v>N-Methyl-D-glucamine (NMDG)</v>
      </c>
      <c r="D859" s="34">
        <f>Database!K874</f>
        <v>195.21</v>
      </c>
      <c r="E859" s="34" t="str">
        <f>Database!P874</f>
        <v>500 g</v>
      </c>
      <c r="F859" s="34">
        <f>Database!Q874</f>
        <v>0</v>
      </c>
      <c r="G859" s="462">
        <f>Database!R874</f>
        <v>1</v>
      </c>
      <c r="H859" s="35">
        <f>Database!N874</f>
        <v>43118</v>
      </c>
    </row>
    <row r="860" spans="1:8" ht="45" x14ac:dyDescent="0.25">
      <c r="A860" s="225" t="str">
        <f>Database!A875</f>
        <v>18REF012</v>
      </c>
      <c r="B860" s="34" t="str">
        <f>Database!E875</f>
        <v>Neuroservice</v>
      </c>
      <c r="C860" s="34" t="str">
        <f>Database!F875</f>
        <v>N-Methyl-D-glucamine (NMDG)</v>
      </c>
      <c r="D860" s="34">
        <f>Database!K875</f>
        <v>195.21</v>
      </c>
      <c r="E860" s="34" t="str">
        <f>Database!P875</f>
        <v>500 g</v>
      </c>
      <c r="F860" s="34">
        <f>Database!Q875</f>
        <v>0</v>
      </c>
      <c r="G860" s="462">
        <f>Database!R875</f>
        <v>1</v>
      </c>
      <c r="H860" s="35">
        <f>Database!N875</f>
        <v>43118</v>
      </c>
    </row>
    <row r="861" spans="1:8" ht="30" x14ac:dyDescent="0.25">
      <c r="A861" s="225" t="str">
        <f>Database!A876</f>
        <v>18REF013</v>
      </c>
      <c r="B861" s="34" t="str">
        <f>Database!E876</f>
        <v>Neuroservice</v>
      </c>
      <c r="C861" s="34" t="str">
        <f>Database!F876</f>
        <v>Sodium pyruvate</v>
      </c>
      <c r="D861" s="34">
        <f>Database!K876</f>
        <v>110.04</v>
      </c>
      <c r="E861" s="34" t="str">
        <f>Database!P876</f>
        <v>25 g</v>
      </c>
      <c r="F861" s="34">
        <f>Database!Q876</f>
        <v>0</v>
      </c>
      <c r="G861" s="462" t="str">
        <f>Database!R876</f>
        <v>&gt; 99%</v>
      </c>
      <c r="H861" s="35">
        <f>Database!N876</f>
        <v>43119</v>
      </c>
    </row>
    <row r="862" spans="1:8" ht="60" x14ac:dyDescent="0.25">
      <c r="A862" s="225" t="str">
        <f>Database!A877</f>
        <v>18REF014</v>
      </c>
      <c r="B862" s="34" t="str">
        <f>Database!E877</f>
        <v>Neuroservice</v>
      </c>
      <c r="C862" s="34" t="str">
        <f>Database!F877</f>
        <v>Buprenorphine hydrochloride</v>
      </c>
      <c r="D862" s="34">
        <f>Database!K877</f>
        <v>504.1</v>
      </c>
      <c r="E862" s="34" t="str">
        <f>Database!P877</f>
        <v>50 mg</v>
      </c>
      <c r="F862" s="34">
        <f>Database!Q877</f>
        <v>0</v>
      </c>
      <c r="G862" s="462">
        <f>Database!R877</f>
        <v>0</v>
      </c>
      <c r="H862" s="35">
        <f>Database!N877</f>
        <v>43119</v>
      </c>
    </row>
    <row r="863" spans="1:8" ht="45" x14ac:dyDescent="0.25">
      <c r="A863" s="225" t="str">
        <f>Database!A878</f>
        <v>18REF015</v>
      </c>
      <c r="B863" s="34" t="str">
        <f>Database!E878</f>
        <v>Neuroservice</v>
      </c>
      <c r="C863" s="34" t="str">
        <f>Database!F878</f>
        <v>Oxycodone hydrochloride</v>
      </c>
      <c r="D863" s="34">
        <f>Database!K878</f>
        <v>351.82</v>
      </c>
      <c r="E863" s="34" t="str">
        <f>Database!P878</f>
        <v>500 mg</v>
      </c>
      <c r="F863" s="34">
        <f>Database!Q878</f>
        <v>0</v>
      </c>
      <c r="G863" s="462">
        <f>Database!R878</f>
        <v>0</v>
      </c>
      <c r="H863" s="35">
        <f>Database!N878</f>
        <v>43119</v>
      </c>
    </row>
    <row r="864" spans="1:8" ht="30" x14ac:dyDescent="0.25">
      <c r="A864" s="225" t="str">
        <f>Database!A879</f>
        <v>18REF016</v>
      </c>
      <c r="B864" s="34" t="str">
        <f>Database!E879</f>
        <v>Neuroservice</v>
      </c>
      <c r="C864" s="34" t="str">
        <f>Database!F879</f>
        <v>Fentanyl citrate salt</v>
      </c>
      <c r="D864" s="34">
        <f>Database!K879</f>
        <v>528.59</v>
      </c>
      <c r="E864" s="34" t="str">
        <f>Database!P879</f>
        <v>25 mg</v>
      </c>
      <c r="F864" s="34">
        <f>Database!Q879</f>
        <v>0</v>
      </c>
      <c r="G864" s="462">
        <f>Database!R879</f>
        <v>0</v>
      </c>
      <c r="H864" s="35">
        <f>Database!N879</f>
        <v>43119</v>
      </c>
    </row>
    <row r="865" spans="1:8" ht="23.25" x14ac:dyDescent="0.25">
      <c r="A865" s="225" t="str">
        <f>Database!A880</f>
        <v>18SAM017</v>
      </c>
      <c r="B865" s="34" t="str">
        <f>Database!E880</f>
        <v>Emergent</v>
      </c>
      <c r="C865" s="34" t="str">
        <f>Database!F880</f>
        <v>GC-205</v>
      </c>
      <c r="D865" s="34">
        <f>Database!K880</f>
        <v>389.81</v>
      </c>
      <c r="E865" s="34" t="str">
        <f>Database!P880</f>
        <v>43 mg</v>
      </c>
      <c r="F865" s="34">
        <f>Database!Q880</f>
        <v>0</v>
      </c>
      <c r="G865" s="462">
        <f>Database!R880</f>
        <v>0.99219999999999997</v>
      </c>
      <c r="H865" s="35">
        <f>Database!N880</f>
        <v>43122</v>
      </c>
    </row>
    <row r="866" spans="1:8" ht="23.25" x14ac:dyDescent="0.25">
      <c r="A866" s="225" t="str">
        <f>Database!A881</f>
        <v>18SAM018</v>
      </c>
      <c r="B866" s="34" t="str">
        <f>Database!E881</f>
        <v>Emergent</v>
      </c>
      <c r="C866" s="34" t="str">
        <f>Database!F881</f>
        <v>GC-72K</v>
      </c>
      <c r="D866" s="34">
        <f>Database!K881</f>
        <v>408.44</v>
      </c>
      <c r="E866" s="34" t="str">
        <f>Database!P881</f>
        <v>40.3 mg</v>
      </c>
      <c r="F866" s="34">
        <f>Database!Q881</f>
        <v>0</v>
      </c>
      <c r="G866" s="462">
        <f>Database!R881</f>
        <v>0.998</v>
      </c>
      <c r="H866" s="35">
        <f>Database!N881</f>
        <v>43122</v>
      </c>
    </row>
    <row r="867" spans="1:8" ht="45" x14ac:dyDescent="0.25">
      <c r="A867" s="225" t="str">
        <f>Database!A882</f>
        <v>18REF019</v>
      </c>
      <c r="B867" s="34" t="str">
        <f>Database!E882</f>
        <v>Neuroservice</v>
      </c>
      <c r="C867" s="34" t="str">
        <f>Database!F882</f>
        <v>Choline bicarbonate</v>
      </c>
      <c r="D867" s="34">
        <f>Database!K882</f>
        <v>165.19</v>
      </c>
      <c r="E867" s="34" t="str">
        <f>Database!P882</f>
        <v>250 ml</v>
      </c>
      <c r="F867" s="34">
        <f>Database!Q882</f>
        <v>0</v>
      </c>
      <c r="G867" s="462">
        <f>Database!R882</f>
        <v>0.98</v>
      </c>
      <c r="H867" s="35">
        <f>Database!N882</f>
        <v>43110</v>
      </c>
    </row>
    <row r="868" spans="1:8" ht="30" x14ac:dyDescent="0.25">
      <c r="A868" s="225" t="str">
        <f>Database!A883</f>
        <v>18REF020</v>
      </c>
      <c r="B868" s="34" t="str">
        <f>Database!E883</f>
        <v>Neuroservice</v>
      </c>
      <c r="C868" s="34" t="str">
        <f>Database!F883</f>
        <v>Ethyl pyruvate</v>
      </c>
      <c r="D868" s="34">
        <f>Database!K883</f>
        <v>116.12</v>
      </c>
      <c r="E868" s="34" t="str">
        <f>Database!P883</f>
        <v>100 g</v>
      </c>
      <c r="F868" s="34">
        <f>Database!Q883</f>
        <v>0</v>
      </c>
      <c r="G868" s="462">
        <f>Database!R883</f>
        <v>0.98</v>
      </c>
      <c r="H868" s="35">
        <f>Database!N883</f>
        <v>43110</v>
      </c>
    </row>
    <row r="869" spans="1:8" ht="30" x14ac:dyDescent="0.25">
      <c r="A869" s="225" t="str">
        <f>Database!A884</f>
        <v>18REF021</v>
      </c>
      <c r="B869" s="34" t="str">
        <f>Database!E884</f>
        <v>Neuroservice</v>
      </c>
      <c r="C869" s="34" t="str">
        <f>Database!F884</f>
        <v>Poly(ethylene glycol)</v>
      </c>
      <c r="D869" s="34">
        <f>Database!K884</f>
        <v>0</v>
      </c>
      <c r="E869" s="34" t="str">
        <f>Database!P884</f>
        <v>500 g</v>
      </c>
      <c r="F869" s="34">
        <f>Database!Q884</f>
        <v>0</v>
      </c>
      <c r="G869" s="462">
        <f>Database!R884</f>
        <v>0</v>
      </c>
      <c r="H869" s="35">
        <f>Database!N884</f>
        <v>43110</v>
      </c>
    </row>
    <row r="870" spans="1:8" ht="60" x14ac:dyDescent="0.25">
      <c r="A870" s="225" t="str">
        <f>Database!A885</f>
        <v>18REF022</v>
      </c>
      <c r="B870" s="34" t="str">
        <f>Database!E885</f>
        <v>Neuroservice</v>
      </c>
      <c r="C870" s="34" t="str">
        <f>Database!F885</f>
        <v>Terg-a-zyme enzyme detergent</v>
      </c>
      <c r="D870" s="34" t="str">
        <f>Database!K885</f>
        <v>-</v>
      </c>
      <c r="E870" s="34" t="str">
        <f>Database!P885</f>
        <v>1.8 kg</v>
      </c>
      <c r="F870" s="34">
        <f>Database!Q885</f>
        <v>0</v>
      </c>
      <c r="G870" s="462">
        <f>Database!R885</f>
        <v>0</v>
      </c>
      <c r="H870" s="35">
        <f>Database!N885</f>
        <v>43124</v>
      </c>
    </row>
    <row r="871" spans="1:8" ht="30" x14ac:dyDescent="0.25">
      <c r="A871" s="225" t="str">
        <f>Database!A886</f>
        <v>18REF023</v>
      </c>
      <c r="B871" s="34" t="str">
        <f>Database!E886</f>
        <v>Neuroservice</v>
      </c>
      <c r="C871" s="34" t="str">
        <f>Database!F886</f>
        <v>Neurobasal medium</v>
      </c>
      <c r="D871" s="34" t="str">
        <f>Database!K886</f>
        <v>-</v>
      </c>
      <c r="E871" s="34" t="str">
        <f>Database!P886</f>
        <v>500 ml</v>
      </c>
      <c r="F871" s="34">
        <f>Database!Q886</f>
        <v>0</v>
      </c>
      <c r="G871" s="462">
        <f>Database!R886</f>
        <v>0</v>
      </c>
      <c r="H871" s="35">
        <f>Database!N886</f>
        <v>43130</v>
      </c>
    </row>
    <row r="872" spans="1:8" ht="30" x14ac:dyDescent="0.25">
      <c r="A872" s="225" t="str">
        <f>Database!A887</f>
        <v>18REF024</v>
      </c>
      <c r="B872" s="34" t="str">
        <f>Database!E887</f>
        <v>Neuroservice</v>
      </c>
      <c r="C872" s="34" t="str">
        <f>Database!F887</f>
        <v>Neurobasal medium</v>
      </c>
      <c r="D872" s="34" t="str">
        <f>Database!K887</f>
        <v>-</v>
      </c>
      <c r="E872" s="34" t="str">
        <f>Database!P887</f>
        <v>500 ml</v>
      </c>
      <c r="F872" s="34">
        <f>Database!Q887</f>
        <v>0</v>
      </c>
      <c r="G872" s="462">
        <f>Database!R887</f>
        <v>0</v>
      </c>
      <c r="H872" s="35">
        <f>Database!N887</f>
        <v>43130</v>
      </c>
    </row>
    <row r="873" spans="1:8" ht="30" x14ac:dyDescent="0.25">
      <c r="A873" s="225" t="str">
        <f>Database!A888</f>
        <v>18REF025</v>
      </c>
      <c r="B873" s="34" t="str">
        <f>Database!E888</f>
        <v>Neuroservice</v>
      </c>
      <c r="C873" s="34" t="str">
        <f>Database!F888</f>
        <v>Neurobasal medium</v>
      </c>
      <c r="D873" s="34" t="str">
        <f>Database!K888</f>
        <v>-</v>
      </c>
      <c r="E873" s="34" t="str">
        <f>Database!P888</f>
        <v>500 ml</v>
      </c>
      <c r="F873" s="34">
        <f>Database!Q888</f>
        <v>0</v>
      </c>
      <c r="G873" s="462">
        <f>Database!R888</f>
        <v>0</v>
      </c>
      <c r="H873" s="35">
        <f>Database!N888</f>
        <v>43130</v>
      </c>
    </row>
    <row r="874" spans="1:8" ht="60" x14ac:dyDescent="0.25">
      <c r="A874" s="225" t="str">
        <f>Database!A889</f>
        <v>18REF026</v>
      </c>
      <c r="B874" s="34" t="str">
        <f>Database!E889</f>
        <v>Neuroservice</v>
      </c>
      <c r="C874" s="34" t="str">
        <f>Database!F889</f>
        <v>Penicillin streptomycin (10 000 U/mL)</v>
      </c>
      <c r="D874" s="34" t="str">
        <f>Database!K889</f>
        <v>-</v>
      </c>
      <c r="E874" s="34" t="str">
        <f>Database!P889</f>
        <v>20 ml</v>
      </c>
      <c r="F874" s="34">
        <f>Database!Q889</f>
        <v>0</v>
      </c>
      <c r="G874" s="462">
        <f>Database!R889</f>
        <v>0</v>
      </c>
      <c r="H874" s="35">
        <f>Database!N889</f>
        <v>43130</v>
      </c>
    </row>
    <row r="875" spans="1:8" ht="60" x14ac:dyDescent="0.25">
      <c r="A875" s="225" t="str">
        <f>Database!A890</f>
        <v>18REF027</v>
      </c>
      <c r="B875" s="34" t="str">
        <f>Database!E890</f>
        <v>Neuroservice</v>
      </c>
      <c r="C875" s="34" t="str">
        <f>Database!F890</f>
        <v>B-27 supplement, minus insulin</v>
      </c>
      <c r="D875" s="34" t="str">
        <f>Database!K890</f>
        <v>-</v>
      </c>
      <c r="E875" s="34" t="str">
        <f>Database!P890</f>
        <v>10 ml</v>
      </c>
      <c r="F875" s="34">
        <f>Database!Q890</f>
        <v>0</v>
      </c>
      <c r="G875" s="462">
        <f>Database!R890</f>
        <v>0</v>
      </c>
      <c r="H875" s="35">
        <f>Database!N890</f>
        <v>43130</v>
      </c>
    </row>
    <row r="876" spans="1:8" ht="30" x14ac:dyDescent="0.25">
      <c r="A876" s="225" t="str">
        <f>Database!A891</f>
        <v>18REF028</v>
      </c>
      <c r="B876" s="34" t="str">
        <f>Database!E891</f>
        <v>Neuroservice</v>
      </c>
      <c r="C876" s="34" t="str">
        <f>Database!F891</f>
        <v>Hepes buffer</v>
      </c>
      <c r="D876" s="34" t="str">
        <f>Database!K891</f>
        <v>-</v>
      </c>
      <c r="E876" s="34" t="str">
        <f>Database!P891</f>
        <v>100 ml</v>
      </c>
      <c r="F876" s="34">
        <f>Database!Q891</f>
        <v>0</v>
      </c>
      <c r="G876" s="462">
        <f>Database!R891</f>
        <v>0</v>
      </c>
      <c r="H876" s="35">
        <f>Database!N891</f>
        <v>43130</v>
      </c>
    </row>
    <row r="877" spans="1:8" ht="30" x14ac:dyDescent="0.25">
      <c r="A877" s="225" t="str">
        <f>Database!A892</f>
        <v>18REF029</v>
      </c>
      <c r="B877" s="34" t="str">
        <f>Database!E892</f>
        <v>Neuroservice</v>
      </c>
      <c r="C877" s="34" t="str">
        <f>Database!F892</f>
        <v>Trypsin (2.5%)</v>
      </c>
      <c r="D877" s="34" t="str">
        <f>Database!K892</f>
        <v>-</v>
      </c>
      <c r="E877" s="34" t="str">
        <f>Database!P892</f>
        <v>100 ml</v>
      </c>
      <c r="F877" s="34">
        <f>Database!Q892</f>
        <v>0</v>
      </c>
      <c r="G877" s="462">
        <f>Database!R892</f>
        <v>0</v>
      </c>
      <c r="H877" s="35">
        <f>Database!N892</f>
        <v>43130</v>
      </c>
    </row>
    <row r="878" spans="1:8" ht="45" x14ac:dyDescent="0.25">
      <c r="A878" s="225" t="str">
        <f>Database!A893</f>
        <v>18REF030</v>
      </c>
      <c r="B878" s="34" t="str">
        <f>Database!E893</f>
        <v>Neuroservice</v>
      </c>
      <c r="C878" s="34" t="str">
        <f>Database!F893</f>
        <v>Sodium pyruvate (100 mM)</v>
      </c>
      <c r="D878" s="34" t="str">
        <f>Database!K893</f>
        <v>-</v>
      </c>
      <c r="E878" s="34" t="str">
        <f>Database!P893</f>
        <v>100 ml</v>
      </c>
      <c r="F878" s="34">
        <f>Database!Q893</f>
        <v>0</v>
      </c>
      <c r="G878" s="462">
        <f>Database!R893</f>
        <v>0</v>
      </c>
      <c r="H878" s="35">
        <f>Database!N893</f>
        <v>43130</v>
      </c>
    </row>
    <row r="879" spans="1:8" ht="30" x14ac:dyDescent="0.25">
      <c r="A879" s="225" t="str">
        <f>Database!A894</f>
        <v>18SAM031</v>
      </c>
      <c r="B879" s="34" t="str">
        <f>Database!E894</f>
        <v>Sage</v>
      </c>
      <c r="C879" s="34" t="str">
        <f>Database!F894</f>
        <v>SGE-02817-02-A</v>
      </c>
      <c r="D879" s="34">
        <f>Database!K894</f>
        <v>526.75</v>
      </c>
      <c r="E879" s="34" t="str">
        <f>Database!P894</f>
        <v>10.1 mg</v>
      </c>
      <c r="F879" s="34" t="str">
        <f>Database!Q894</f>
        <v>10 mM in DMSO</v>
      </c>
      <c r="G879" s="462" t="str">
        <f>Database!R894</f>
        <v>NC</v>
      </c>
      <c r="H879" s="35">
        <f>Database!N894</f>
        <v>43132</v>
      </c>
    </row>
    <row r="880" spans="1:8" ht="30" x14ac:dyDescent="0.25">
      <c r="A880" s="225" t="str">
        <f>Database!A895</f>
        <v>18SAM032</v>
      </c>
      <c r="B880" s="34" t="str">
        <f>Database!E895</f>
        <v>Sage</v>
      </c>
      <c r="C880" s="34" t="str">
        <f>Database!F895</f>
        <v>SGE-03152-04-A</v>
      </c>
      <c r="D880" s="34">
        <f>Database!K895</f>
        <v>428.57</v>
      </c>
      <c r="E880" s="34" t="str">
        <f>Database!P895</f>
        <v>20 mg</v>
      </c>
      <c r="F880" s="34" t="str">
        <f>Database!Q895</f>
        <v>10 mM in DMSO</v>
      </c>
      <c r="G880" s="462" t="str">
        <f>Database!R895</f>
        <v>NC</v>
      </c>
      <c r="H880" s="35">
        <f>Database!N895</f>
        <v>43132</v>
      </c>
    </row>
    <row r="881" spans="1:8" ht="30" x14ac:dyDescent="0.25">
      <c r="A881" s="225" t="str">
        <f>Database!A896</f>
        <v>18REF033</v>
      </c>
      <c r="B881" s="34" t="str">
        <f>Database!E896</f>
        <v>Neuroservice</v>
      </c>
      <c r="C881" s="34" t="str">
        <f>Database!F896</f>
        <v>Neurobasal medium</v>
      </c>
      <c r="D881" s="34" t="str">
        <f>Database!K896</f>
        <v>-</v>
      </c>
      <c r="E881" s="34" t="str">
        <f>Database!P896</f>
        <v>500 ml</v>
      </c>
      <c r="F881" s="34">
        <f>Database!Q896</f>
        <v>0</v>
      </c>
      <c r="G881" s="462">
        <f>Database!R896</f>
        <v>0</v>
      </c>
      <c r="H881" s="35">
        <f>Database!N896</f>
        <v>43136</v>
      </c>
    </row>
    <row r="882" spans="1:8" ht="30" x14ac:dyDescent="0.25">
      <c r="A882" s="225" t="str">
        <f>Database!A897</f>
        <v>18REF034</v>
      </c>
      <c r="B882" s="34" t="str">
        <f>Database!E897</f>
        <v>Neuroservice</v>
      </c>
      <c r="C882" s="34" t="str">
        <f>Database!F897</f>
        <v>Neurobasal medium</v>
      </c>
      <c r="D882" s="34" t="str">
        <f>Database!K897</f>
        <v>-</v>
      </c>
      <c r="E882" s="34" t="str">
        <f>Database!P897</f>
        <v>500 ml</v>
      </c>
      <c r="F882" s="34">
        <f>Database!Q897</f>
        <v>0</v>
      </c>
      <c r="G882" s="462">
        <f>Database!R897</f>
        <v>0</v>
      </c>
      <c r="H882" s="35">
        <f>Database!N897</f>
        <v>43136</v>
      </c>
    </row>
    <row r="883" spans="1:8" ht="30" x14ac:dyDescent="0.25">
      <c r="A883" s="225" t="str">
        <f>Database!A898</f>
        <v>18REF035</v>
      </c>
      <c r="B883" s="34" t="str">
        <f>Database!E898</f>
        <v>Neuroservice</v>
      </c>
      <c r="C883" s="34" t="str">
        <f>Database!F898</f>
        <v>Neurobasal medium</v>
      </c>
      <c r="D883" s="34" t="str">
        <f>Database!K898</f>
        <v>-</v>
      </c>
      <c r="E883" s="34" t="str">
        <f>Database!P898</f>
        <v>500 ml</v>
      </c>
      <c r="F883" s="34">
        <f>Database!Q898</f>
        <v>0</v>
      </c>
      <c r="G883" s="462">
        <f>Database!R898</f>
        <v>0</v>
      </c>
      <c r="H883" s="35">
        <f>Database!N898</f>
        <v>43136</v>
      </c>
    </row>
    <row r="884" spans="1:8" ht="30" x14ac:dyDescent="0.25">
      <c r="A884" s="225" t="str">
        <f>Database!A899</f>
        <v>18REF036</v>
      </c>
      <c r="B884" s="34" t="str">
        <f>Database!E899</f>
        <v>Neuroservice</v>
      </c>
      <c r="C884" s="34" t="str">
        <f>Database!F899</f>
        <v>Collagenase</v>
      </c>
      <c r="D884" s="34" t="str">
        <f>Database!K899</f>
        <v>-</v>
      </c>
      <c r="E884" s="34" t="str">
        <f>Database!P899</f>
        <v>1 g</v>
      </c>
      <c r="F884" s="34">
        <f>Database!Q899</f>
        <v>0</v>
      </c>
      <c r="G884" s="462">
        <f>Database!R899</f>
        <v>0</v>
      </c>
      <c r="H884" s="35">
        <f>Database!N899</f>
        <v>43136</v>
      </c>
    </row>
    <row r="885" spans="1:8" ht="30" x14ac:dyDescent="0.25">
      <c r="A885" s="225" t="str">
        <f>Database!A900</f>
        <v>18REF037</v>
      </c>
      <c r="B885" s="34" t="str">
        <f>Database!E900</f>
        <v>Neuroservice</v>
      </c>
      <c r="C885" s="34" t="str">
        <f>Database!F900</f>
        <v>Dispase</v>
      </c>
      <c r="D885" s="34" t="str">
        <f>Database!K900</f>
        <v>-</v>
      </c>
      <c r="E885" s="34" t="str">
        <f>Database!P900</f>
        <v>5g</v>
      </c>
      <c r="F885" s="34">
        <f>Database!Q900</f>
        <v>0</v>
      </c>
      <c r="G885" s="462">
        <f>Database!R900</f>
        <v>0</v>
      </c>
      <c r="H885" s="35">
        <f>Database!N900</f>
        <v>43136</v>
      </c>
    </row>
    <row r="886" spans="1:8" ht="30" x14ac:dyDescent="0.25">
      <c r="A886" s="225" t="str">
        <f>Database!A901</f>
        <v>18REF038</v>
      </c>
      <c r="B886" s="34" t="str">
        <f>Database!E901</f>
        <v>Neuroservice</v>
      </c>
      <c r="C886" s="34" t="str">
        <f>Database!F901</f>
        <v>L-15 medium</v>
      </c>
      <c r="D886" s="34" t="str">
        <f>Database!K901</f>
        <v>-</v>
      </c>
      <c r="E886" s="34" t="str">
        <f>Database!P901</f>
        <v>500 ml</v>
      </c>
      <c r="F886" s="34">
        <f>Database!Q901</f>
        <v>0</v>
      </c>
      <c r="G886" s="462">
        <f>Database!R901</f>
        <v>0</v>
      </c>
      <c r="H886" s="35">
        <f>Database!N901</f>
        <v>43136</v>
      </c>
    </row>
    <row r="887" spans="1:8" ht="30" x14ac:dyDescent="0.25">
      <c r="A887" s="225" t="str">
        <f>Database!A902</f>
        <v>18REF039</v>
      </c>
      <c r="B887" s="34" t="str">
        <f>Database!E902</f>
        <v>Neuroservice</v>
      </c>
      <c r="C887" s="34" t="str">
        <f>Database!F902</f>
        <v>HBSS (10X)</v>
      </c>
      <c r="D887" s="34" t="str">
        <f>Database!K902</f>
        <v>-</v>
      </c>
      <c r="E887" s="34" t="str">
        <f>Database!P902</f>
        <v>500 ml</v>
      </c>
      <c r="F887" s="34">
        <f>Database!Q902</f>
        <v>0</v>
      </c>
      <c r="G887" s="462">
        <f>Database!R902</f>
        <v>0</v>
      </c>
      <c r="H887" s="35">
        <f>Database!N902</f>
        <v>43136</v>
      </c>
    </row>
    <row r="888" spans="1:8" ht="60" x14ac:dyDescent="0.25">
      <c r="A888" s="225" t="str">
        <f>Database!A903</f>
        <v>18REF040</v>
      </c>
      <c r="B888" s="34" t="str">
        <f>Database!E903</f>
        <v>Neuroservice</v>
      </c>
      <c r="C888" s="34" t="str">
        <f>Database!F903</f>
        <v>Laminin</v>
      </c>
      <c r="D888" s="34" t="str">
        <f>Database!K903</f>
        <v>-</v>
      </c>
      <c r="E888" s="34" t="str">
        <f>Database!P903</f>
        <v>1 mg</v>
      </c>
      <c r="F888" s="34" t="str">
        <f>Database!Q903</f>
        <v>1 mg/mL in tris buffered NaCl</v>
      </c>
      <c r="G888" s="462" t="str">
        <f>Database!R903</f>
        <v>-</v>
      </c>
      <c r="H888" s="35">
        <f>Database!N903</f>
        <v>43139</v>
      </c>
    </row>
    <row r="889" spans="1:8" ht="30" x14ac:dyDescent="0.25">
      <c r="A889" s="225" t="str">
        <f>Database!A904</f>
        <v>18REF041</v>
      </c>
      <c r="B889" s="34" t="str">
        <f>Database!E904</f>
        <v>Neuroservice</v>
      </c>
      <c r="C889" s="34" t="str">
        <f>Database!F904</f>
        <v>Deoxyribonuclease</v>
      </c>
      <c r="D889" s="34" t="str">
        <f>Database!K904</f>
        <v>-</v>
      </c>
      <c r="E889" s="34" t="str">
        <f>Database!P904</f>
        <v>10 mg</v>
      </c>
      <c r="F889" s="34">
        <f>Database!Q904</f>
        <v>0</v>
      </c>
      <c r="G889" s="462">
        <f>Database!R904</f>
        <v>0</v>
      </c>
      <c r="H889" s="35">
        <f>Database!N904</f>
        <v>43139</v>
      </c>
    </row>
    <row r="890" spans="1:8" ht="45" x14ac:dyDescent="0.25">
      <c r="A890" s="225" t="str">
        <f>Database!A905</f>
        <v>18REF042</v>
      </c>
      <c r="B890" s="34" t="str">
        <f>Database!E905</f>
        <v>Neuroservice</v>
      </c>
      <c r="C890" s="34" t="str">
        <f>Database!F905</f>
        <v>N-Acetyl-L-Cysteine (NAC)</v>
      </c>
      <c r="D890" s="34">
        <f>Database!K905</f>
        <v>163.19</v>
      </c>
      <c r="E890" s="34" t="str">
        <f>Database!P905</f>
        <v>50 g</v>
      </c>
      <c r="F890" s="34">
        <f>Database!Q905</f>
        <v>0</v>
      </c>
      <c r="G890" s="462">
        <f>Database!R905</f>
        <v>0.99</v>
      </c>
      <c r="H890" s="35">
        <f>Database!N905</f>
        <v>43139</v>
      </c>
    </row>
    <row r="891" spans="1:8" ht="75" x14ac:dyDescent="0.25">
      <c r="A891" s="225" t="str">
        <f>Database!A906</f>
        <v>18REF043</v>
      </c>
      <c r="B891" s="34" t="str">
        <f>Database!E906</f>
        <v>Neuroservice</v>
      </c>
      <c r="C891" s="34" t="str">
        <f>Database!F906</f>
        <v>Adenosine 5''-Triphosphate magnesium</v>
      </c>
      <c r="D891" s="34">
        <f>Database!K906</f>
        <v>507.18</v>
      </c>
      <c r="E891" s="34" t="str">
        <f>Database!P906</f>
        <v>500 mg</v>
      </c>
      <c r="F891" s="34">
        <f>Database!Q906</f>
        <v>0</v>
      </c>
      <c r="G891" s="462">
        <f>Database!R906</f>
        <v>0.95</v>
      </c>
      <c r="H891" s="35">
        <f>Database!N906</f>
        <v>43139</v>
      </c>
    </row>
    <row r="892" spans="1:8" ht="30" x14ac:dyDescent="0.25">
      <c r="A892" s="225" t="str">
        <f>Database!A907</f>
        <v>18REF044</v>
      </c>
      <c r="B892" s="34" t="str">
        <f>Database!E907</f>
        <v>Neuroservice</v>
      </c>
      <c r="C892" s="34" t="str">
        <f>Database!F907</f>
        <v>Choline chloride</v>
      </c>
      <c r="D892" s="34">
        <f>Database!K907</f>
        <v>139.62</v>
      </c>
      <c r="E892" s="34" t="str">
        <f>Database!P907</f>
        <v>500 g</v>
      </c>
      <c r="F892" s="34">
        <f>Database!Q907</f>
        <v>0</v>
      </c>
      <c r="G892" s="462">
        <f>Database!R907</f>
        <v>0.98</v>
      </c>
      <c r="H892" s="35">
        <f>Database!N907</f>
        <v>43139</v>
      </c>
    </row>
    <row r="893" spans="1:8" ht="60" x14ac:dyDescent="0.25">
      <c r="A893" s="225" t="str">
        <f>Database!A908</f>
        <v>18REF045</v>
      </c>
      <c r="B893" s="34" t="str">
        <f>Database!E908</f>
        <v>Neuroservice</v>
      </c>
      <c r="C893" s="34" t="str">
        <f>Database!F908</f>
        <v>Poly-D-Lysine Hydrobromide</v>
      </c>
      <c r="D893" s="34" t="str">
        <f>Database!K908</f>
        <v>-</v>
      </c>
      <c r="E893" s="34" t="str">
        <f>Database!P908</f>
        <v>5 mg</v>
      </c>
      <c r="F893" s="34">
        <f>Database!Q908</f>
        <v>0</v>
      </c>
      <c r="G893" s="462">
        <f>Database!R908</f>
        <v>0</v>
      </c>
      <c r="H893" s="35">
        <f>Database!N908</f>
        <v>43139</v>
      </c>
    </row>
    <row r="894" spans="1:8" ht="45" x14ac:dyDescent="0.25">
      <c r="A894" s="225" t="str">
        <f>Database!A909</f>
        <v>18REF046</v>
      </c>
      <c r="B894" s="34" t="str">
        <f>Database!E909</f>
        <v>Neuroservice</v>
      </c>
      <c r="C894" s="34" t="str">
        <f>Database!F909</f>
        <v>B27 supplement</v>
      </c>
      <c r="D894" s="34" t="str">
        <f>Database!K909</f>
        <v>-</v>
      </c>
      <c r="E894" s="34" t="str">
        <f>Database!P909</f>
        <v>10 ml</v>
      </c>
      <c r="F894" s="34">
        <f>Database!Q909</f>
        <v>0</v>
      </c>
      <c r="G894" s="462">
        <f>Database!R909</f>
        <v>0</v>
      </c>
      <c r="H894" s="35">
        <f>Database!N909</f>
        <v>43139</v>
      </c>
    </row>
    <row r="895" spans="1:8" ht="45" x14ac:dyDescent="0.25">
      <c r="A895" s="225" t="str">
        <f>Database!A910</f>
        <v>18REF047</v>
      </c>
      <c r="B895" s="34" t="str">
        <f>Database!E910</f>
        <v>Neuroservice</v>
      </c>
      <c r="C895" s="34" t="str">
        <f>Database!F910</f>
        <v>B27 supplement</v>
      </c>
      <c r="D895" s="34" t="str">
        <f>Database!K910</f>
        <v>-</v>
      </c>
      <c r="E895" s="34" t="str">
        <f>Database!P910</f>
        <v>10 ml</v>
      </c>
      <c r="F895" s="34">
        <f>Database!Q910</f>
        <v>0</v>
      </c>
      <c r="G895" s="462">
        <f>Database!R910</f>
        <v>0</v>
      </c>
      <c r="H895" s="35">
        <f>Database!N910</f>
        <v>43139</v>
      </c>
    </row>
    <row r="896" spans="1:8" ht="45" x14ac:dyDescent="0.25">
      <c r="A896" s="225" t="str">
        <f>Database!A911</f>
        <v>18REF048</v>
      </c>
      <c r="B896" s="34" t="str">
        <f>Database!E911</f>
        <v>Neuroservice</v>
      </c>
      <c r="C896" s="34" t="str">
        <f>Database!F911</f>
        <v>B27 supplement</v>
      </c>
      <c r="D896" s="34" t="str">
        <f>Database!K911</f>
        <v>-</v>
      </c>
      <c r="E896" s="34" t="str">
        <f>Database!P911</f>
        <v>10 ml</v>
      </c>
      <c r="F896" s="34">
        <f>Database!Q911</f>
        <v>0</v>
      </c>
      <c r="G896" s="462">
        <f>Database!R911</f>
        <v>0</v>
      </c>
      <c r="H896" s="35">
        <f>Database!N911</f>
        <v>43139</v>
      </c>
    </row>
    <row r="897" spans="1:8" ht="30" x14ac:dyDescent="0.25">
      <c r="A897" s="225" t="str">
        <f>Database!A912</f>
        <v>18REF049</v>
      </c>
      <c r="B897" s="34" t="str">
        <f>Database!E912</f>
        <v>Neuroservice</v>
      </c>
      <c r="C897" s="34" t="str">
        <f>Database!F912</f>
        <v>A 803467</v>
      </c>
      <c r="D897" s="34">
        <f>Database!K912</f>
        <v>357.79</v>
      </c>
      <c r="E897" s="34" t="str">
        <f>Database!P912</f>
        <v>10 mg</v>
      </c>
      <c r="F897" s="34" t="str">
        <f>Database!Q912</f>
        <v>up to 100 mM DMSO</v>
      </c>
      <c r="G897" s="462">
        <f>Database!R912</f>
        <v>0.99</v>
      </c>
      <c r="H897" s="35">
        <f>Database!N912</f>
        <v>43140</v>
      </c>
    </row>
    <row r="898" spans="1:8" ht="45" x14ac:dyDescent="0.25">
      <c r="A898" s="225" t="str">
        <f>Database!A913</f>
        <v>18REF050</v>
      </c>
      <c r="B898" s="34" t="str">
        <f>Database!E913</f>
        <v>Neuroservice</v>
      </c>
      <c r="C898" s="34" t="str">
        <f>Database!F913</f>
        <v>Kynurenic acid sodium salt</v>
      </c>
      <c r="D898" s="34">
        <f>Database!K913</f>
        <v>211.15</v>
      </c>
      <c r="E898" s="34" t="str">
        <f>Database!P913</f>
        <v>1 g</v>
      </c>
      <c r="F898" s="34" t="str">
        <f>Database!Q913</f>
        <v>up to 100 mM H2O</v>
      </c>
      <c r="G898" s="462">
        <f>Database!R913</f>
        <v>0.996</v>
      </c>
      <c r="H898" s="35">
        <f>Database!N913</f>
        <v>43140</v>
      </c>
    </row>
    <row r="899" spans="1:8" ht="45" x14ac:dyDescent="0.25">
      <c r="A899" s="225" t="str">
        <f>Database!A914</f>
        <v>18REF051</v>
      </c>
      <c r="B899" s="34" t="str">
        <f>Database!E914</f>
        <v>Neuroservice</v>
      </c>
      <c r="C899" s="34" t="str">
        <f>Database!F914</f>
        <v>CNQX disodium salt</v>
      </c>
      <c r="D899" s="34">
        <f>Database!K914</f>
        <v>276.12</v>
      </c>
      <c r="E899" s="34" t="str">
        <f>Database!P914</f>
        <v>50 mg</v>
      </c>
      <c r="F899" s="34" t="str">
        <f>Database!Q914</f>
        <v>20 mM in H2O Mq</v>
      </c>
      <c r="G899" s="462">
        <f>Database!R914</f>
        <v>1</v>
      </c>
      <c r="H899" s="35">
        <f>Database!N914</f>
        <v>43140</v>
      </c>
    </row>
    <row r="900" spans="1:8" ht="45" x14ac:dyDescent="0.25">
      <c r="A900" s="225" t="str">
        <f>Database!A915</f>
        <v>18REF052</v>
      </c>
      <c r="B900" s="34" t="str">
        <f>Database!E915</f>
        <v>Neuroservice</v>
      </c>
      <c r="C900" s="34" t="str">
        <f>Database!F915</f>
        <v>NBQX</v>
      </c>
      <c r="D900" s="34">
        <f>Database!K915</f>
        <v>340.78</v>
      </c>
      <c r="E900" s="34" t="str">
        <f>Database!P915</f>
        <v>50 mg</v>
      </c>
      <c r="F900" s="34" t="str">
        <f>Database!Q915</f>
        <v>up to 100 mM in DMSO</v>
      </c>
      <c r="G900" s="462">
        <f>Database!R915</f>
        <v>0.99</v>
      </c>
      <c r="H900" s="35">
        <f>Database!N915</f>
        <v>43144</v>
      </c>
    </row>
    <row r="901" spans="1:8" ht="45" x14ac:dyDescent="0.25">
      <c r="A901" s="225" t="str">
        <f>Database!A916</f>
        <v>18REF053</v>
      </c>
      <c r="B901" s="34" t="str">
        <f>Database!E916</f>
        <v>Neuroservice</v>
      </c>
      <c r="C901" s="34" t="str">
        <f>Database!F916</f>
        <v>D-AP5</v>
      </c>
      <c r="D901" s="34">
        <f>Database!K916</f>
        <v>197.1</v>
      </c>
      <c r="E901" s="34" t="str">
        <f>Database!P916</f>
        <v>10 mg</v>
      </c>
      <c r="F901" s="34" t="str">
        <f>Database!Q916</f>
        <v>up to 100 mM H2O mQ</v>
      </c>
      <c r="G901" s="462">
        <f>Database!R916</f>
        <v>0.99299999999999999</v>
      </c>
      <c r="H901" s="35">
        <f>Database!N916</f>
        <v>43144</v>
      </c>
    </row>
    <row r="902" spans="1:8" ht="30" x14ac:dyDescent="0.25">
      <c r="A902" s="225" t="str">
        <f>Database!A917</f>
        <v>18REF054</v>
      </c>
      <c r="B902" s="34" t="str">
        <f>Database!E917</f>
        <v>Neuroservice</v>
      </c>
      <c r="C902" s="34" t="str">
        <f>Database!F917</f>
        <v>Kynurenic acid</v>
      </c>
      <c r="D902" s="34">
        <f>Database!K917</f>
        <v>189.17</v>
      </c>
      <c r="E902" s="34" t="str">
        <f>Database!P917</f>
        <v>5 g</v>
      </c>
      <c r="F902" s="34">
        <f>Database!Q917</f>
        <v>0</v>
      </c>
      <c r="G902" s="462">
        <f>Database!R917</f>
        <v>1</v>
      </c>
      <c r="H902" s="35">
        <f>Database!N917</f>
        <v>43144</v>
      </c>
    </row>
    <row r="903" spans="1:8" ht="30" x14ac:dyDescent="0.25">
      <c r="A903" s="225" t="str">
        <f>Database!A918</f>
        <v>18REF055</v>
      </c>
      <c r="B903" s="34" t="str">
        <f>Database!E918</f>
        <v>Neuroservice</v>
      </c>
      <c r="C903" s="34" t="str">
        <f>Database!F918</f>
        <v>Kynurenic acid</v>
      </c>
      <c r="D903" s="34">
        <f>Database!K918</f>
        <v>189.17</v>
      </c>
      <c r="E903" s="34" t="str">
        <f>Database!P918</f>
        <v>5 g</v>
      </c>
      <c r="F903" s="34">
        <f>Database!Q918</f>
        <v>0</v>
      </c>
      <c r="G903" s="462">
        <f>Database!R918</f>
        <v>1</v>
      </c>
      <c r="H903" s="35">
        <f>Database!N918</f>
        <v>43144</v>
      </c>
    </row>
    <row r="904" spans="1:8" ht="30" x14ac:dyDescent="0.25">
      <c r="A904" s="225" t="str">
        <f>Database!A919</f>
        <v>18SAM056</v>
      </c>
      <c r="B904" s="34" t="str">
        <f>Database!E919</f>
        <v>Sage</v>
      </c>
      <c r="C904" s="34" t="str">
        <f>Database!F919</f>
        <v>SGE-02817-02-A</v>
      </c>
      <c r="D904" s="34">
        <f>Database!K919</f>
        <v>526.75</v>
      </c>
      <c r="E904" s="34" t="str">
        <f>Database!P919</f>
        <v>10 mg</v>
      </c>
      <c r="F904" s="34" t="str">
        <f>Database!Q919</f>
        <v>10 mM in DMSO</v>
      </c>
      <c r="G904" s="462" t="str">
        <f>Database!R919</f>
        <v>NC</v>
      </c>
      <c r="H904" s="35">
        <f>Database!N919</f>
        <v>43150</v>
      </c>
    </row>
    <row r="905" spans="1:8" ht="30" x14ac:dyDescent="0.25">
      <c r="A905" s="225" t="str">
        <f>Database!A920</f>
        <v>18SAM057</v>
      </c>
      <c r="B905" s="34" t="str">
        <f>Database!E920</f>
        <v>Sage</v>
      </c>
      <c r="C905" s="34" t="str">
        <f>Database!F920</f>
        <v>SGE-03152-04-A</v>
      </c>
      <c r="D905" s="34">
        <f>Database!K920</f>
        <v>428.57</v>
      </c>
      <c r="E905" s="34" t="str">
        <f>Database!P920</f>
        <v>20.1 mg</v>
      </c>
      <c r="F905" s="34" t="str">
        <f>Database!Q920</f>
        <v>10 mM in DMSO</v>
      </c>
      <c r="G905" s="462" t="str">
        <f>Database!R920</f>
        <v>NC</v>
      </c>
      <c r="H905" s="35">
        <f>Database!N920</f>
        <v>43150</v>
      </c>
    </row>
    <row r="906" spans="1:8" ht="30" x14ac:dyDescent="0.25">
      <c r="A906" s="225" t="str">
        <f>Database!A921</f>
        <v>18SAM058</v>
      </c>
      <c r="B906" s="34" t="str">
        <f>Database!E921</f>
        <v>Merck</v>
      </c>
      <c r="C906" s="34" t="str">
        <f>Database!F921</f>
        <v>MSD-473667650</v>
      </c>
      <c r="D906" s="34">
        <f>Database!K921</f>
        <v>341.37</v>
      </c>
      <c r="E906" s="34" t="str">
        <f>Database!P921</f>
        <v>5.7 mg</v>
      </c>
      <c r="F906" s="34" t="e">
        <f>Database!#REF!</f>
        <v>#REF!</v>
      </c>
      <c r="G906" s="462">
        <f>Database!R921</f>
        <v>1</v>
      </c>
      <c r="H906" s="35">
        <f>Database!N921</f>
        <v>43150</v>
      </c>
    </row>
    <row r="907" spans="1:8" ht="30" x14ac:dyDescent="0.25">
      <c r="A907" s="225" t="str">
        <f>Database!A922</f>
        <v>18REF059</v>
      </c>
      <c r="B907" s="34" t="str">
        <f>Database!E922</f>
        <v>Neuroservice</v>
      </c>
      <c r="C907" s="34" t="str">
        <f>Database!F922</f>
        <v>Tetrodotoxin (TTX)</v>
      </c>
      <c r="D907" s="34">
        <f>Database!K922</f>
        <v>319.27999999999997</v>
      </c>
      <c r="E907" s="34" t="str">
        <f>Database!P922</f>
        <v>5*1 mg</v>
      </c>
      <c r="F907" s="34" t="str">
        <f>Database!Q921</f>
        <v>10 mM in DMSO</v>
      </c>
      <c r="G907" s="462">
        <f>Database!R922</f>
        <v>0.99</v>
      </c>
      <c r="H907" s="35">
        <f>Database!N922</f>
        <v>43157</v>
      </c>
    </row>
    <row r="908" spans="1:8" ht="30" x14ac:dyDescent="0.25">
      <c r="A908" s="225" t="str">
        <f>Database!A923</f>
        <v>18REF060</v>
      </c>
      <c r="B908" s="34" t="str">
        <f>Database!E923</f>
        <v>Neuroservice</v>
      </c>
      <c r="C908" s="34" t="str">
        <f>Database!F923</f>
        <v>Tetrodotoxin (TTX)</v>
      </c>
      <c r="D908" s="34">
        <f>Database!K923</f>
        <v>319.27999999999997</v>
      </c>
      <c r="E908" s="34" t="str">
        <f>Database!P923</f>
        <v>5*1 mg</v>
      </c>
      <c r="F908" s="34" t="str">
        <f>Database!Q923</f>
        <v>Tampon citatre</v>
      </c>
      <c r="G908" s="462">
        <f>Database!R923</f>
        <v>0.99</v>
      </c>
      <c r="H908" s="35">
        <f>Database!N923</f>
        <v>43157</v>
      </c>
    </row>
    <row r="909" spans="1:8" ht="30" x14ac:dyDescent="0.25">
      <c r="A909" s="225" t="str">
        <f>Database!A924</f>
        <v>18REF061</v>
      </c>
      <c r="B909" s="34" t="str">
        <f>Database!E924</f>
        <v>Neuroservice</v>
      </c>
      <c r="C909" s="34" t="str">
        <f>Database!F924</f>
        <v>Tetrodotoxin (TTX)</v>
      </c>
      <c r="D909" s="34">
        <f>Database!K924</f>
        <v>319.27999999999997</v>
      </c>
      <c r="E909" s="34" t="str">
        <f>Database!P924</f>
        <v>5*1 mg</v>
      </c>
      <c r="F909" s="34" t="str">
        <f>Database!Q924</f>
        <v>Tampon citatre</v>
      </c>
      <c r="G909" s="462">
        <f>Database!R924</f>
        <v>0.99</v>
      </c>
      <c r="H909" s="35">
        <f>Database!N924</f>
        <v>43157</v>
      </c>
    </row>
    <row r="910" spans="1:8" ht="30" x14ac:dyDescent="0.25">
      <c r="A910" s="225" t="str">
        <f>Database!A925</f>
        <v>18SAM062</v>
      </c>
      <c r="B910" s="34" t="str">
        <f>Database!E925</f>
        <v>Biogen</v>
      </c>
      <c r="C910" s="34" t="str">
        <f>Database!F925</f>
        <v>BIO-0877099-02</v>
      </c>
      <c r="D910" s="34">
        <f>Database!K925</f>
        <v>357.79</v>
      </c>
      <c r="E910" s="34" t="str">
        <f>Database!P925</f>
        <v>2.64 mg</v>
      </c>
      <c r="F910" s="34">
        <f>Database!Q925</f>
        <v>0</v>
      </c>
      <c r="G910" s="462">
        <f>Database!R925</f>
        <v>0</v>
      </c>
      <c r="H910" s="35">
        <f>Database!N925</f>
        <v>43164</v>
      </c>
    </row>
    <row r="911" spans="1:8" ht="30" x14ac:dyDescent="0.25">
      <c r="A911" s="225" t="str">
        <f>Database!A926</f>
        <v>18SAM063</v>
      </c>
      <c r="B911" s="34" t="str">
        <f>Database!E926</f>
        <v>Biogen</v>
      </c>
      <c r="C911" s="34" t="str">
        <f>Database!F926</f>
        <v>BIO-1772733-03</v>
      </c>
      <c r="D911" s="34">
        <f>Database!K926</f>
        <v>488.48</v>
      </c>
      <c r="E911" s="34" t="str">
        <f>Database!P926</f>
        <v>3.3 mg</v>
      </c>
      <c r="F911" s="34">
        <f>Database!Q926</f>
        <v>0</v>
      </c>
      <c r="G911" s="462">
        <f>Database!R926</f>
        <v>0</v>
      </c>
      <c r="H911" s="35">
        <f>Database!N926</f>
        <v>43164</v>
      </c>
    </row>
    <row r="912" spans="1:8" ht="30" x14ac:dyDescent="0.25">
      <c r="A912" s="225" t="str">
        <f>Database!A927</f>
        <v>18SAM064</v>
      </c>
      <c r="B912" s="34" t="str">
        <f>Database!E927</f>
        <v>Biogen</v>
      </c>
      <c r="C912" s="34" t="str">
        <f>Database!F927</f>
        <v>BIO-1411318-04</v>
      </c>
      <c r="D912" s="34">
        <f>Database!K927</f>
        <v>350.82</v>
      </c>
      <c r="E912" s="34" t="str">
        <f>Database!P927</f>
        <v>3.72 mg</v>
      </c>
      <c r="F912" s="34">
        <f>Database!Q927</f>
        <v>0</v>
      </c>
      <c r="G912" s="462">
        <f>Database!R927</f>
        <v>0</v>
      </c>
      <c r="H912" s="35">
        <f>Database!N927</f>
        <v>43164</v>
      </c>
    </row>
    <row r="913" spans="1:8" ht="30" x14ac:dyDescent="0.25">
      <c r="A913" s="225" t="str">
        <f>Database!A928</f>
        <v>18SAM065</v>
      </c>
      <c r="B913" s="34" t="str">
        <f>Database!E928</f>
        <v>Biogen</v>
      </c>
      <c r="C913" s="34" t="str">
        <f>Database!F928</f>
        <v>BIO-0102380-07</v>
      </c>
      <c r="D913" s="34">
        <f>Database!K928</f>
        <v>236.27</v>
      </c>
      <c r="E913" s="34" t="str">
        <f>Database!P928</f>
        <v>3.4 mg</v>
      </c>
      <c r="F913" s="34">
        <f>Database!Q928</f>
        <v>0</v>
      </c>
      <c r="G913" s="462">
        <f>Database!R928</f>
        <v>0</v>
      </c>
      <c r="H913" s="35">
        <f>Database!N928</f>
        <v>43164</v>
      </c>
    </row>
    <row r="914" spans="1:8" ht="60" x14ac:dyDescent="0.25">
      <c r="A914" s="225" t="str">
        <f>Database!A929</f>
        <v>18REF066</v>
      </c>
      <c r="B914" s="34" t="str">
        <f>Database!E929</f>
        <v>Neuroservice</v>
      </c>
      <c r="C914" s="34" t="str">
        <f>Database!F929</f>
        <v>N-Acetyl-L-Cysteine (NAC)</v>
      </c>
      <c r="D914" s="34">
        <f>Database!K929</f>
        <v>163.19</v>
      </c>
      <c r="E914" s="34" t="str">
        <f>Database!P929</f>
        <v>50 g</v>
      </c>
      <c r="F914" s="34" t="str">
        <f>Database!Q929</f>
        <v>H2O mQ to 100mg/mL (with heating)</v>
      </c>
      <c r="G914" s="462">
        <f>Database!R929</f>
        <v>1</v>
      </c>
      <c r="H914" s="35">
        <f>Database!N929</f>
        <v>43171</v>
      </c>
    </row>
    <row r="915" spans="1:8" ht="30" x14ac:dyDescent="0.25">
      <c r="A915" s="225" t="str">
        <f>Database!A930</f>
        <v>18REF067</v>
      </c>
      <c r="B915" s="34" t="str">
        <f>Database!E930</f>
        <v>Neuroservice</v>
      </c>
      <c r="C915" s="34" t="str">
        <f>Database!F930</f>
        <v>HEPES</v>
      </c>
      <c r="D915" s="34">
        <f>Database!K930</f>
        <v>238.3</v>
      </c>
      <c r="E915" s="34" t="str">
        <f>Database!P930</f>
        <v>250 g</v>
      </c>
      <c r="F915" s="34" t="str">
        <f>Database!Q930</f>
        <v>H2O mQ to 500mg/mL</v>
      </c>
      <c r="G915" s="462">
        <f>Database!R930</f>
        <v>1</v>
      </c>
      <c r="H915" s="35">
        <f>Database!N930</f>
        <v>43171</v>
      </c>
    </row>
    <row r="916" spans="1:8" ht="30" x14ac:dyDescent="0.25">
      <c r="A916" s="225" t="str">
        <f>Database!A931</f>
        <v>18REF068</v>
      </c>
      <c r="B916" s="34" t="str">
        <f>Database!E931</f>
        <v>Neuroservice</v>
      </c>
      <c r="C916" s="34" t="str">
        <f>Database!F931</f>
        <v>HEPES</v>
      </c>
      <c r="D916" s="34">
        <f>Database!K931</f>
        <v>238.3</v>
      </c>
      <c r="E916" s="34" t="str">
        <f>Database!P931</f>
        <v>250 g</v>
      </c>
      <c r="F916" s="34" t="str">
        <f>Database!Q931</f>
        <v>H2O mQ to 500mg/mL</v>
      </c>
      <c r="G916" s="462">
        <f>Database!R931</f>
        <v>1</v>
      </c>
      <c r="H916" s="35">
        <f>Database!N931</f>
        <v>43171</v>
      </c>
    </row>
    <row r="917" spans="1:8" ht="45" x14ac:dyDescent="0.25">
      <c r="A917" s="225" t="str">
        <f>Database!A932</f>
        <v>18REF069</v>
      </c>
      <c r="B917" s="34" t="str">
        <f>Database!E932</f>
        <v>Neuroservice</v>
      </c>
      <c r="C917" s="34" t="str">
        <f>Database!F932</f>
        <v>Cesium methanesulfonate</v>
      </c>
      <c r="D917" s="34">
        <f>Database!K932</f>
        <v>228</v>
      </c>
      <c r="E917" s="34" t="str">
        <f>Database!P932</f>
        <v>5 g</v>
      </c>
      <c r="F917" s="34" t="str">
        <f>Database!Q932</f>
        <v>H2O mQ to 50 mg/mL</v>
      </c>
      <c r="G917" s="462">
        <f>Database!R932</f>
        <v>1</v>
      </c>
      <c r="H917" s="35">
        <f>Database!N932</f>
        <v>43171</v>
      </c>
    </row>
    <row r="918" spans="1:8" ht="60" x14ac:dyDescent="0.25">
      <c r="A918" s="225" t="str">
        <f>Database!A933</f>
        <v>18REF070</v>
      </c>
      <c r="B918" s="34" t="str">
        <f>Database!E933</f>
        <v>Neuroservice</v>
      </c>
      <c r="C918" s="34" t="str">
        <f>Database!F933</f>
        <v>Agarose low gelling temperature</v>
      </c>
      <c r="D918" s="34" t="str">
        <f>Database!K933</f>
        <v>-</v>
      </c>
      <c r="E918" s="34" t="str">
        <f>Database!P933</f>
        <v>25 g</v>
      </c>
      <c r="F918" s="34" t="str">
        <f>Database!Q933</f>
        <v xml:space="preserve">H2O mQ to 100mg/mL </v>
      </c>
      <c r="G918" s="462" t="str">
        <f>Database!R933</f>
        <v>-</v>
      </c>
      <c r="H918" s="35">
        <f>Database!N933</f>
        <v>43171</v>
      </c>
    </row>
    <row r="919" spans="1:8" ht="45" x14ac:dyDescent="0.25">
      <c r="A919" s="225" t="str">
        <f>Database!A934</f>
        <v>18REF071</v>
      </c>
      <c r="B919" s="34" t="str">
        <f>Database!E934</f>
        <v>Neuroservice</v>
      </c>
      <c r="C919" s="34" t="str">
        <f>Database!F934</f>
        <v>Lidocaine N-ethyl chloride</v>
      </c>
      <c r="D919" s="34">
        <f>Database!K934</f>
        <v>298.85000000000002</v>
      </c>
      <c r="E919" s="34" t="str">
        <f>Database!P934</f>
        <v>500 mg</v>
      </c>
      <c r="F919" s="34" t="str">
        <f>Database!Q934</f>
        <v>H2O mQ to 50 mg/mL</v>
      </c>
      <c r="G919" s="462">
        <f>Database!R934</f>
        <v>0.99</v>
      </c>
      <c r="H919" s="35">
        <f>Database!N934</f>
        <v>43172</v>
      </c>
    </row>
    <row r="920" spans="1:8" ht="60" x14ac:dyDescent="0.25">
      <c r="A920" s="225" t="str">
        <f>Database!A935</f>
        <v>18REF072</v>
      </c>
      <c r="B920" s="34" t="str">
        <f>Database!E935</f>
        <v>Neuroservice</v>
      </c>
      <c r="C920" s="34" t="str">
        <f>Database!F935</f>
        <v>Guanosine 5'-triphosphate sodium</v>
      </c>
      <c r="D920" s="34">
        <f>Database!K935</f>
        <v>523.79999999999995</v>
      </c>
      <c r="E920" s="34" t="str">
        <f>Database!P935</f>
        <v>100 mg</v>
      </c>
      <c r="F920" s="34" t="str">
        <f>Database!Q935</f>
        <v>H2O mQ to 50 mg/mL</v>
      </c>
      <c r="G920" s="462">
        <f>Database!R935</f>
        <v>0.97</v>
      </c>
      <c r="H920" s="35">
        <f>Database!N935</f>
        <v>43172</v>
      </c>
    </row>
    <row r="921" spans="1:8" ht="60" x14ac:dyDescent="0.25">
      <c r="A921" s="225" t="str">
        <f>Database!A936</f>
        <v>18REF073</v>
      </c>
      <c r="B921" s="34" t="str">
        <f>Database!E936</f>
        <v>Neuroservice</v>
      </c>
      <c r="C921" s="34" t="str">
        <f>Database!F936</f>
        <v>Guanosine 5'-triphosphate sodium</v>
      </c>
      <c r="D921" s="34">
        <f>Database!K936</f>
        <v>523.79999999999995</v>
      </c>
      <c r="E921" s="34" t="str">
        <f>Database!P936</f>
        <v>100 mg</v>
      </c>
      <c r="F921" s="34" t="str">
        <f>Database!Q936</f>
        <v>H2O mQ to 50 mg/mL</v>
      </c>
      <c r="G921" s="462">
        <f>Database!R936</f>
        <v>0.97</v>
      </c>
      <c r="H921" s="35">
        <f>Database!N936</f>
        <v>43172</v>
      </c>
    </row>
    <row r="922" spans="1:8" ht="30" x14ac:dyDescent="0.25">
      <c r="A922" s="225" t="str">
        <f>Database!A937</f>
        <v>18SAM074</v>
      </c>
      <c r="B922" s="34" t="str">
        <f>Database!E937</f>
        <v>Biogen</v>
      </c>
      <c r="C922" s="34" t="str">
        <f>Database!F937</f>
        <v>BIO-0102380-07</v>
      </c>
      <c r="D922" s="34">
        <f>Database!K937</f>
        <v>236.27</v>
      </c>
      <c r="E922" s="34" t="str">
        <f>Database!P937</f>
        <v>7.16 mg</v>
      </c>
      <c r="F922" s="34">
        <f>Database!Q937</f>
        <v>0</v>
      </c>
      <c r="G922" s="462">
        <f>Database!R937</f>
        <v>1</v>
      </c>
      <c r="H922" s="35">
        <f>Database!N937</f>
        <v>43174</v>
      </c>
    </row>
    <row r="923" spans="1:8" ht="30" x14ac:dyDescent="0.25">
      <c r="A923" s="225" t="str">
        <f>Database!A938</f>
        <v>18SAM075</v>
      </c>
      <c r="B923" s="34" t="str">
        <f>Database!E938</f>
        <v>Sage</v>
      </c>
      <c r="C923" s="34" t="str">
        <f>Database!F938</f>
        <v>SGE-03152-03-A</v>
      </c>
      <c r="D923" s="34">
        <f>Database!K938</f>
        <v>428.57</v>
      </c>
      <c r="E923" s="34" t="str">
        <f>Database!P938</f>
        <v>20 mg</v>
      </c>
      <c r="F923" s="34" t="str">
        <f>Database!Q938</f>
        <v>3 mM in DMSO</v>
      </c>
      <c r="G923" s="462" t="str">
        <f>Database!R938</f>
        <v>NC</v>
      </c>
      <c r="H923" s="35">
        <f>Database!N938</f>
        <v>43174</v>
      </c>
    </row>
    <row r="924" spans="1:8" ht="45" x14ac:dyDescent="0.25">
      <c r="A924" s="225" t="str">
        <f>Database!A939</f>
        <v>18REF076</v>
      </c>
      <c r="B924" s="34" t="str">
        <f>Database!E939</f>
        <v>Neuroservice</v>
      </c>
      <c r="C924" s="34" t="str">
        <f>Database!F939</f>
        <v>D-AP5</v>
      </c>
      <c r="D924" s="34">
        <f>Database!K939</f>
        <v>197.1</v>
      </c>
      <c r="E924" s="34" t="str">
        <f>Database!P939</f>
        <v>10 mg</v>
      </c>
      <c r="F924" s="34" t="str">
        <f>Database!Q939</f>
        <v>up to 100 mM H2O mQ</v>
      </c>
      <c r="G924" s="462">
        <f>Database!R939</f>
        <v>0.99299999999999999</v>
      </c>
      <c r="H924" s="35">
        <f>Database!N939</f>
        <v>43180</v>
      </c>
    </row>
    <row r="925" spans="1:8" ht="45" x14ac:dyDescent="0.25">
      <c r="A925" s="225" t="str">
        <f>Database!A940</f>
        <v>18REF077</v>
      </c>
      <c r="B925" s="34" t="str">
        <f>Database!E940</f>
        <v>Neuroservice</v>
      </c>
      <c r="C925" s="34" t="str">
        <f>Database!F940</f>
        <v>NBQX</v>
      </c>
      <c r="D925" s="34">
        <f>Database!K940</f>
        <v>336.28</v>
      </c>
      <c r="E925" s="34" t="str">
        <f>Database!P940</f>
        <v>50 mg</v>
      </c>
      <c r="F925" s="34" t="str">
        <f>Database!Q940</f>
        <v>up to 100 mM in DMSO</v>
      </c>
      <c r="G925" s="462">
        <f>Database!R940</f>
        <v>0.99</v>
      </c>
      <c r="H925" s="35">
        <f>Database!N940</f>
        <v>43180</v>
      </c>
    </row>
    <row r="926" spans="1:8" ht="45" x14ac:dyDescent="0.25">
      <c r="A926" s="225" t="str">
        <f>Database!A941</f>
        <v>18REF078</v>
      </c>
      <c r="B926" s="34" t="str">
        <f>Database!E941</f>
        <v>Neuroservice</v>
      </c>
      <c r="C926" s="34" t="str">
        <f>Database!F941</f>
        <v>NBQX</v>
      </c>
      <c r="D926" s="34">
        <f>Database!K941</f>
        <v>336.28</v>
      </c>
      <c r="E926" s="34" t="str">
        <f>Database!P941</f>
        <v>50 mg</v>
      </c>
      <c r="F926" s="34" t="str">
        <f>Database!Q941</f>
        <v>up to 100 mM in DMSO</v>
      </c>
      <c r="G926" s="462">
        <f>Database!R941</f>
        <v>0.99</v>
      </c>
      <c r="H926" s="35">
        <f>Database!N941</f>
        <v>43180</v>
      </c>
    </row>
    <row r="927" spans="1:8" ht="60" x14ac:dyDescent="0.25">
      <c r="A927" s="225" t="str">
        <f>Database!A942</f>
        <v>18REF079</v>
      </c>
      <c r="B927" s="34" t="str">
        <f>Database!E942</f>
        <v>Neuroservice</v>
      </c>
      <c r="C927" s="34" t="str">
        <f>Database!F942</f>
        <v>Tetraethylammonium chloride (TEA-Cl)</v>
      </c>
      <c r="D927" s="34">
        <f>Database!K942</f>
        <v>165.7</v>
      </c>
      <c r="E927" s="34" t="str">
        <f>Database!P942</f>
        <v>100 g</v>
      </c>
      <c r="F927" s="34" t="str">
        <f>Database!Q942</f>
        <v>50 mg/mL in H2O mQ</v>
      </c>
      <c r="G927" s="462">
        <f>Database!R942</f>
        <v>0.99199999999999999</v>
      </c>
      <c r="H927" s="35">
        <f>Database!N942</f>
        <v>43180</v>
      </c>
    </row>
    <row r="928" spans="1:8" ht="60" x14ac:dyDescent="0.25">
      <c r="A928" s="225" t="str">
        <f>Database!A943</f>
        <v>18REF080</v>
      </c>
      <c r="B928" s="34" t="str">
        <f>Database!E943</f>
        <v>Neuroservice</v>
      </c>
      <c r="C928" s="34" t="str">
        <f>Database!F943</f>
        <v>Tetraethylammonium chloride (TEA-Cl)</v>
      </c>
      <c r="D928" s="34">
        <f>Database!K943</f>
        <v>165.7</v>
      </c>
      <c r="E928" s="34" t="str">
        <f>Database!P943</f>
        <v>100 g</v>
      </c>
      <c r="F928" s="34" t="str">
        <f>Database!Q943</f>
        <v>50 mg/mL in H2O mQ</v>
      </c>
      <c r="G928" s="462">
        <f>Database!R943</f>
        <v>0.99199999999999999</v>
      </c>
      <c r="H928" s="35">
        <f>Database!N943</f>
        <v>43180</v>
      </c>
    </row>
    <row r="929" spans="1:8" ht="30" x14ac:dyDescent="0.25">
      <c r="A929" s="225" t="str">
        <f>Database!A944</f>
        <v>18SAM081</v>
      </c>
      <c r="B929" s="34" t="str">
        <f>Database!E944</f>
        <v>Brinj</v>
      </c>
      <c r="C929" s="34" t="str">
        <f>Database!F944</f>
        <v>Aβ 1-40</v>
      </c>
      <c r="D929" s="34">
        <f>Database!K944</f>
        <v>4329.8599999999997</v>
      </c>
      <c r="E929" s="34" t="str">
        <f>Database!P944</f>
        <v>0.1 mg</v>
      </c>
      <c r="F929" s="34" t="str">
        <f>Database!Q944</f>
        <v>1 mg/mL in DMSO</v>
      </c>
      <c r="G929" s="462" t="str">
        <f>Database!R944</f>
        <v>-</v>
      </c>
      <c r="H929" s="35">
        <f>Database!N944</f>
        <v>43181</v>
      </c>
    </row>
    <row r="930" spans="1:8" ht="30" x14ac:dyDescent="0.25">
      <c r="A930" s="225" t="str">
        <f>Database!A945</f>
        <v>18SAM082</v>
      </c>
      <c r="B930" s="34" t="str">
        <f>Database!E945</f>
        <v>Brinj</v>
      </c>
      <c r="C930" s="34" t="str">
        <f>Database!F945</f>
        <v>Peptide 20-40</v>
      </c>
      <c r="D930" s="34">
        <f>Database!K945</f>
        <v>2033.36</v>
      </c>
      <c r="E930" s="34" t="str">
        <f>Database!P945</f>
        <v>0.8 mg</v>
      </c>
      <c r="F930" s="34" t="str">
        <f>Database!Q945</f>
        <v>1 mg/mL in H2O mQ</v>
      </c>
      <c r="G930" s="462">
        <f>Database!R945</f>
        <v>95.4</v>
      </c>
      <c r="H930" s="35">
        <f>Database!N945</f>
        <v>43181</v>
      </c>
    </row>
    <row r="931" spans="1:8" ht="30" x14ac:dyDescent="0.25">
      <c r="A931" s="225" t="str">
        <f>Database!A946</f>
        <v>18SAM083</v>
      </c>
      <c r="B931" s="34" t="str">
        <f>Database!E946</f>
        <v>Brinj</v>
      </c>
      <c r="C931" s="34" t="str">
        <f>Database!F946</f>
        <v xml:space="preserve">Peptide 1-19 </v>
      </c>
      <c r="D931" s="34">
        <f>Database!K946</f>
        <v>2314.48</v>
      </c>
      <c r="E931" s="34" t="str">
        <f>Database!P946</f>
        <v>0.82 mg</v>
      </c>
      <c r="F931" s="34" t="str">
        <f>Database!Q946</f>
        <v>1 mg/mL in H2O mQ</v>
      </c>
      <c r="G931" s="462">
        <f>Database!R946</f>
        <v>97.9</v>
      </c>
      <c r="H931" s="35">
        <f>Database!N946</f>
        <v>43181</v>
      </c>
    </row>
    <row r="932" spans="1:8" ht="60" x14ac:dyDescent="0.25">
      <c r="A932" s="225" t="str">
        <f>Database!A947</f>
        <v>18SAM084</v>
      </c>
      <c r="B932" s="34" t="str">
        <f>Database!E947</f>
        <v>Vertex</v>
      </c>
      <c r="C932" s="34" t="str">
        <f>Database!F947</f>
        <v>Orexin A (humain, rate, mouse)</v>
      </c>
      <c r="D932" s="34">
        <f>Database!K947</f>
        <v>3561.12</v>
      </c>
      <c r="E932" s="34" t="str">
        <f>Database!P947</f>
        <v>500 µg</v>
      </c>
      <c r="F932" s="34" t="str">
        <f>Database!Q947</f>
        <v>1 mg/mL in H2O mQ</v>
      </c>
      <c r="G932" s="462">
        <f>Database!R947</f>
        <v>0.96499999999999997</v>
      </c>
      <c r="H932" s="35">
        <f>Database!N947</f>
        <v>43187</v>
      </c>
    </row>
    <row r="933" spans="1:8" ht="60" x14ac:dyDescent="0.25">
      <c r="A933" s="225" t="str">
        <f>Database!A948</f>
        <v>18SAM085</v>
      </c>
      <c r="B933" s="34" t="str">
        <f>Database!E948</f>
        <v>Vertex</v>
      </c>
      <c r="C933" s="34" t="str">
        <f>Database!F948</f>
        <v>Orexin A (humain, rate, mouse)</v>
      </c>
      <c r="D933" s="34">
        <f>Database!K948</f>
        <v>3561.12</v>
      </c>
      <c r="E933" s="34" t="str">
        <f>Database!P948</f>
        <v>500 µg</v>
      </c>
      <c r="F933" s="34" t="str">
        <f>Database!Q948</f>
        <v>1 mg/mL in H2O mQ</v>
      </c>
      <c r="G933" s="462">
        <f>Database!R948</f>
        <v>0.96499999999999997</v>
      </c>
      <c r="H933" s="35">
        <f>Database!N948</f>
        <v>43187</v>
      </c>
    </row>
    <row r="934" spans="1:8" ht="60" x14ac:dyDescent="0.25">
      <c r="A934" s="225" t="str">
        <f>Database!A949</f>
        <v>18SAM086</v>
      </c>
      <c r="B934" s="34" t="str">
        <f>Database!E949</f>
        <v>Vertex</v>
      </c>
      <c r="C934" s="34" t="str">
        <f>Database!F949</f>
        <v>Orexin A (humain, rate, mouse)</v>
      </c>
      <c r="D934" s="34">
        <f>Database!K949</f>
        <v>3561.12</v>
      </c>
      <c r="E934" s="34" t="str">
        <f>Database!P949</f>
        <v>500 µg</v>
      </c>
      <c r="F934" s="34" t="str">
        <f>Database!Q949</f>
        <v>1 mg/mL in H2O mQ</v>
      </c>
      <c r="G934" s="462">
        <f>Database!R949</f>
        <v>0.96499999999999997</v>
      </c>
      <c r="H934" s="35">
        <f>Database!N949</f>
        <v>43187</v>
      </c>
    </row>
    <row r="935" spans="1:8" ht="30" x14ac:dyDescent="0.25">
      <c r="A935" s="225" t="str">
        <f>Database!A950</f>
        <v>18SAM087</v>
      </c>
      <c r="B935" s="34" t="str">
        <f>Database!E950</f>
        <v>Vertex</v>
      </c>
      <c r="C935" s="34" t="str">
        <f>Database!F950</f>
        <v>Orexin B (humain)</v>
      </c>
      <c r="D935" s="34">
        <f>Database!K950</f>
        <v>2899.36</v>
      </c>
      <c r="E935" s="34" t="str">
        <f>Database!P950</f>
        <v>500 µg</v>
      </c>
      <c r="F935" s="34" t="str">
        <f>Database!Q950</f>
        <v>1 mg/mL in H2O mQ</v>
      </c>
      <c r="G935" s="462">
        <f>Database!R950</f>
        <v>0.93100000000000005</v>
      </c>
      <c r="H935" s="35">
        <f>Database!N950</f>
        <v>43187</v>
      </c>
    </row>
    <row r="936" spans="1:8" ht="30" x14ac:dyDescent="0.25">
      <c r="A936" s="225" t="str">
        <f>Database!A951</f>
        <v>18SAM088</v>
      </c>
      <c r="B936" s="34" t="str">
        <f>Database!E951</f>
        <v>Vertex</v>
      </c>
      <c r="C936" s="34" t="str">
        <f>Database!F951</f>
        <v>Orexin B (humain)</v>
      </c>
      <c r="D936" s="34">
        <f>Database!K951</f>
        <v>2899.36</v>
      </c>
      <c r="E936" s="34" t="str">
        <f>Database!P951</f>
        <v>500 µg</v>
      </c>
      <c r="F936" s="34" t="str">
        <f>Database!Q951</f>
        <v>1 mg/mL in H2O mQ</v>
      </c>
      <c r="G936" s="462">
        <f>Database!R951</f>
        <v>0.96099999999999997</v>
      </c>
      <c r="H936" s="35">
        <f>Database!N951</f>
        <v>43187</v>
      </c>
    </row>
    <row r="937" spans="1:8" ht="30" x14ac:dyDescent="0.25">
      <c r="A937" s="225" t="str">
        <f>Database!A952</f>
        <v>18SAM089</v>
      </c>
      <c r="B937" s="34" t="str">
        <f>Database!E952</f>
        <v>Astellas</v>
      </c>
      <c r="C937" s="34" t="str">
        <f>Database!F952</f>
        <v>ARIA-01</v>
      </c>
      <c r="D937" s="34">
        <f>Database!K952</f>
        <v>424.45</v>
      </c>
      <c r="E937" s="34" t="str">
        <f>Database!P952</f>
        <v>5.01 mg</v>
      </c>
      <c r="F937" s="34" t="str">
        <f>Database!Q952</f>
        <v>10 mM in DMSO</v>
      </c>
      <c r="G937" s="462">
        <f>Database!R952</f>
        <v>1</v>
      </c>
      <c r="H937" s="35">
        <f>Database!N952</f>
        <v>43187</v>
      </c>
    </row>
    <row r="938" spans="1:8" ht="30" x14ac:dyDescent="0.25">
      <c r="A938" s="225" t="str">
        <f>Database!A953</f>
        <v>18SAM090</v>
      </c>
      <c r="B938" s="34" t="str">
        <f>Database!E953</f>
        <v>Astellas</v>
      </c>
      <c r="C938" s="34" t="str">
        <f>Database!F953</f>
        <v>ARIA-02</v>
      </c>
      <c r="D938" s="34">
        <f>Database!K953</f>
        <v>410.47</v>
      </c>
      <c r="E938" s="34" t="str">
        <f>Database!P953</f>
        <v>2.46 mg</v>
      </c>
      <c r="F938" s="34" t="str">
        <f>Database!Q953</f>
        <v>10 mM in DMSO</v>
      </c>
      <c r="G938" s="462">
        <f>Database!R953</f>
        <v>1</v>
      </c>
      <c r="H938" s="35">
        <f>Database!N953</f>
        <v>43187</v>
      </c>
    </row>
    <row r="939" spans="1:8" ht="30" x14ac:dyDescent="0.25">
      <c r="A939" s="225" t="str">
        <f>Database!A954</f>
        <v>18SAM091</v>
      </c>
      <c r="B939" s="34" t="str">
        <f>Database!E954</f>
        <v>Vertex</v>
      </c>
      <c r="C939" s="34" t="str">
        <f>Database!F954</f>
        <v>Orexin B (humain)</v>
      </c>
      <c r="D939" s="34">
        <f>Database!K954</f>
        <v>2899.36</v>
      </c>
      <c r="E939" s="34" t="str">
        <f>Database!P954</f>
        <v>500 µg</v>
      </c>
      <c r="F939" s="34" t="str">
        <f>Database!Q954</f>
        <v>1 mg/mL in H2O mQ</v>
      </c>
      <c r="G939" s="462">
        <f>Database!R954</f>
        <v>0.96799999999999997</v>
      </c>
      <c r="H939" s="35">
        <f>Database!N954</f>
        <v>43188</v>
      </c>
    </row>
    <row r="940" spans="1:8" ht="30" x14ac:dyDescent="0.25">
      <c r="A940" s="225" t="str">
        <f>Database!A955</f>
        <v>18SAM092</v>
      </c>
      <c r="B940" s="34" t="str">
        <f>Database!E955</f>
        <v>ALKERMES</v>
      </c>
      <c r="C940" s="34" t="str">
        <f>Database!F955</f>
        <v>RDC-58603-01-03</v>
      </c>
      <c r="D940" s="34">
        <f>Database!K955</f>
        <v>322.87700000000001</v>
      </c>
      <c r="E940" s="34" t="str">
        <f>Database!P955</f>
        <v>30.21 mg</v>
      </c>
      <c r="F940" s="34" t="str">
        <f>Database!Q955</f>
        <v>10 mM in H2O mQ</v>
      </c>
      <c r="G940" s="462">
        <f>Database!R955</f>
        <v>1</v>
      </c>
      <c r="H940" s="35">
        <f>Database!N955</f>
        <v>43196</v>
      </c>
    </row>
    <row r="941" spans="1:8" ht="30" x14ac:dyDescent="0.25">
      <c r="A941" s="225" t="str">
        <f>Database!A956</f>
        <v>18SAM093</v>
      </c>
      <c r="B941" s="34" t="str">
        <f>Database!E956</f>
        <v>ALKERMES</v>
      </c>
      <c r="C941" s="34" t="str">
        <f>Database!F956</f>
        <v>RDC-10291-01-05</v>
      </c>
      <c r="D941" s="34">
        <f>Database!K956</f>
        <v>409.96</v>
      </c>
      <c r="E941" s="34" t="str">
        <f>Database!P956</f>
        <v>30.17 mg</v>
      </c>
      <c r="F941" s="34" t="str">
        <f>Database!Q956</f>
        <v>10 mM in H2O mQ</v>
      </c>
      <c r="G941" s="462">
        <f>Database!R956</f>
        <v>1</v>
      </c>
      <c r="H941" s="35">
        <f>Database!N956</f>
        <v>43196</v>
      </c>
    </row>
    <row r="942" spans="1:8" ht="30" x14ac:dyDescent="0.25">
      <c r="A942" s="225" t="str">
        <f>Database!A957</f>
        <v>18SAM094</v>
      </c>
      <c r="B942" s="34" t="str">
        <f>Database!E957</f>
        <v>ALKERMES</v>
      </c>
      <c r="C942" s="34" t="str">
        <f>Database!F957</f>
        <v>RDC-58669-08-02</v>
      </c>
      <c r="D942" s="34">
        <f>Database!K957</f>
        <v>366.26</v>
      </c>
      <c r="E942" s="34" t="str">
        <f>Database!P957</f>
        <v>30.14 mg</v>
      </c>
      <c r="F942" s="34" t="str">
        <f>Database!Q957</f>
        <v>10 mM in H2O mQ</v>
      </c>
      <c r="G942" s="462">
        <f>Database!R957</f>
        <v>1</v>
      </c>
      <c r="H942" s="35">
        <f>Database!N957</f>
        <v>43196</v>
      </c>
    </row>
    <row r="943" spans="1:8" ht="30" x14ac:dyDescent="0.25">
      <c r="A943" s="225" t="str">
        <f>Database!A958</f>
        <v>18SAM095</v>
      </c>
      <c r="B943" s="34" t="str">
        <f>Database!E958</f>
        <v>ALKERMES</v>
      </c>
      <c r="C943" s="34" t="str">
        <f>Database!F958</f>
        <v>RDC-10003-08-03</v>
      </c>
      <c r="D943" s="34">
        <f>Database!K958</f>
        <v>348.27</v>
      </c>
      <c r="E943" s="34" t="str">
        <f>Database!P958</f>
        <v>30.08 mg</v>
      </c>
      <c r="F943" s="34" t="str">
        <f>Database!Q958</f>
        <v>10 mM in H2O mQ</v>
      </c>
      <c r="G943" s="462">
        <f>Database!R958</f>
        <v>1</v>
      </c>
      <c r="H943" s="35">
        <f>Database!N958</f>
        <v>43196</v>
      </c>
    </row>
    <row r="944" spans="1:8" ht="23.25" x14ac:dyDescent="0.25">
      <c r="A944" s="225" t="str">
        <f>Database!A959</f>
        <v>18SAM096</v>
      </c>
      <c r="B944" s="34" t="str">
        <f>Database!E959</f>
        <v>AMGEN</v>
      </c>
      <c r="C944" s="34" t="str">
        <f>Database!F959</f>
        <v>3384355#2</v>
      </c>
      <c r="D944" s="34">
        <f>Database!K959</f>
        <v>393.50200000000001</v>
      </c>
      <c r="E944" s="34" t="str">
        <f>Database!P959</f>
        <v>10.6 mg</v>
      </c>
      <c r="F944" s="34" t="str">
        <f>Database!Q959</f>
        <v>DMSO</v>
      </c>
      <c r="G944" s="462" t="str">
        <f>Database!R959</f>
        <v>NC</v>
      </c>
      <c r="H944" s="35">
        <f>Database!N959</f>
        <v>43200</v>
      </c>
    </row>
    <row r="945" spans="1:8" ht="23.25" x14ac:dyDescent="0.25">
      <c r="A945" s="225" t="str">
        <f>Database!A960</f>
        <v>18SAM097</v>
      </c>
      <c r="B945" s="34" t="str">
        <f>Database!E960</f>
        <v>AMGEN</v>
      </c>
      <c r="C945" s="34" t="str">
        <f>Database!F960</f>
        <v>3141488#4</v>
      </c>
      <c r="D945" s="34">
        <f>Database!K960</f>
        <v>383.42599999999999</v>
      </c>
      <c r="E945" s="34" t="str">
        <f>Database!P960</f>
        <v>2.28 mg</v>
      </c>
      <c r="F945" s="34" t="str">
        <f>Database!Q960</f>
        <v>DMSO</v>
      </c>
      <c r="G945" s="462" t="str">
        <f>Database!R960</f>
        <v>NC</v>
      </c>
      <c r="H945" s="35">
        <f>Database!N960</f>
        <v>43200</v>
      </c>
    </row>
    <row r="946" spans="1:8" ht="30" x14ac:dyDescent="0.25">
      <c r="A946" s="225" t="str">
        <f>Database!A961</f>
        <v>18SAM098</v>
      </c>
      <c r="B946" s="34" t="str">
        <f>Database!E961</f>
        <v>Sage</v>
      </c>
      <c r="C946" s="34" t="str">
        <f>Database!F961</f>
        <v>SGE-00112-08-A</v>
      </c>
      <c r="D946" s="34">
        <f>Database!K961</f>
        <v>353.83</v>
      </c>
      <c r="E946" s="34" t="str">
        <f>Database!P961</f>
        <v>20 mg</v>
      </c>
      <c r="F946" s="34" t="str">
        <f>Database!Q961</f>
        <v>10 mM in DMSO</v>
      </c>
      <c r="G946" s="462" t="str">
        <f>Database!R961</f>
        <v>NC</v>
      </c>
      <c r="H946" s="35">
        <f>Database!N961</f>
        <v>43203</v>
      </c>
    </row>
    <row r="947" spans="1:8" ht="90" x14ac:dyDescent="0.25">
      <c r="A947" s="225" t="str">
        <f>Database!A962</f>
        <v>18SAM099</v>
      </c>
      <c r="B947" s="34" t="str">
        <f>Database!E962</f>
        <v>Sage</v>
      </c>
      <c r="C947" s="34" t="str">
        <f>Database!F962</f>
        <v>SGE-03171-02-A</v>
      </c>
      <c r="D947" s="34">
        <f>Database!K962</f>
        <v>430.59</v>
      </c>
      <c r="E947" s="34" t="str">
        <f>Database!P962</f>
        <v>7.8 mg</v>
      </c>
      <c r="F947" s="34" t="str">
        <f>Database!Q962</f>
        <v>10 mM in DMSO (avec chauffage BM et sonication)</v>
      </c>
      <c r="G947" s="462" t="str">
        <f>Database!R962</f>
        <v>NC</v>
      </c>
      <c r="H947" s="35">
        <f>Database!N962</f>
        <v>43209</v>
      </c>
    </row>
    <row r="948" spans="1:8" ht="105" x14ac:dyDescent="0.25">
      <c r="A948" s="225" t="str">
        <f>Database!A963</f>
        <v>18SAM100</v>
      </c>
      <c r="B948" s="34" t="str">
        <f>Database!E963</f>
        <v>Sage</v>
      </c>
      <c r="C948" s="34" t="str">
        <f>Database!F963</f>
        <v>SGE-02765-03-A</v>
      </c>
      <c r="D948" s="34">
        <f>Database!K963</f>
        <v>418.7</v>
      </c>
      <c r="E948" s="34" t="str">
        <f>Database!P963</f>
        <v>10 mg</v>
      </c>
      <c r="F948" s="34" t="str">
        <f>Database!Q963</f>
        <v>Problème de dissution: 2 mM après chauffage (45°C) et sonication</v>
      </c>
      <c r="G948" s="462" t="str">
        <f>Database!R963</f>
        <v>NC</v>
      </c>
      <c r="H948" s="35">
        <f>Database!N963</f>
        <v>43209</v>
      </c>
    </row>
    <row r="949" spans="1:8" ht="30" x14ac:dyDescent="0.25">
      <c r="A949" s="225" t="str">
        <f>Database!A964</f>
        <v>18REF101</v>
      </c>
      <c r="B949" s="34" t="str">
        <f>Database!E964</f>
        <v>Neuroservice</v>
      </c>
      <c r="C949" s="34" t="str">
        <f>Database!F964</f>
        <v>NNC 711</v>
      </c>
      <c r="D949" s="34">
        <f>Database!K964</f>
        <v>386.88</v>
      </c>
      <c r="E949" s="34" t="str">
        <f>Database!P964</f>
        <v>50 mg</v>
      </c>
      <c r="F949" s="34" t="str">
        <f>Database!Q964</f>
        <v>H2O mQ to 10 mM</v>
      </c>
      <c r="G949" s="462">
        <f>Database!R964</f>
        <v>1</v>
      </c>
      <c r="H949" s="35">
        <f>Database!N964</f>
        <v>43209</v>
      </c>
    </row>
    <row r="950" spans="1:8" ht="30" x14ac:dyDescent="0.25">
      <c r="A950" s="225" t="str">
        <f>Database!A965</f>
        <v>18REF102</v>
      </c>
      <c r="B950" s="34" t="str">
        <f>Database!E965</f>
        <v>Neuroservice</v>
      </c>
      <c r="C950" s="34" t="str">
        <f>Database!F965</f>
        <v>NNC 711</v>
      </c>
      <c r="D950" s="34">
        <f>Database!K965</f>
        <v>386.88</v>
      </c>
      <c r="E950" s="34" t="str">
        <f>Database!P965</f>
        <v>50 mg</v>
      </c>
      <c r="F950" s="34" t="str">
        <f>Database!Q965</f>
        <v>H2O mQ to 10 mM</v>
      </c>
      <c r="G950" s="462">
        <f>Database!R965</f>
        <v>1</v>
      </c>
      <c r="H950" s="35">
        <f>Database!N965</f>
        <v>43209</v>
      </c>
    </row>
    <row r="951" spans="1:8" ht="30" x14ac:dyDescent="0.25">
      <c r="A951" s="225" t="str">
        <f>Database!A966</f>
        <v>18SAM103</v>
      </c>
      <c r="B951" s="34" t="str">
        <f>Database!E966</f>
        <v>Biogen</v>
      </c>
      <c r="C951" s="34" t="str">
        <f>Database!F966</f>
        <v>BIO-0102380-07</v>
      </c>
      <c r="D951" s="34">
        <f>Database!K966</f>
        <v>236.27</v>
      </c>
      <c r="E951" s="34" t="str">
        <f>Database!P966</f>
        <v>15.45  mg</v>
      </c>
      <c r="F951" s="34">
        <f>Database!Q966</f>
        <v>0</v>
      </c>
      <c r="G951" s="462" t="str">
        <f>Database!R966</f>
        <v>NC</v>
      </c>
      <c r="H951" s="35">
        <f>Database!N966</f>
        <v>43220</v>
      </c>
    </row>
    <row r="952" spans="1:8" ht="30" x14ac:dyDescent="0.25">
      <c r="A952" s="225" t="str">
        <f>Database!A967</f>
        <v>18SAM104</v>
      </c>
      <c r="B952" s="34" t="str">
        <f>Database!E967</f>
        <v>Biogen</v>
      </c>
      <c r="C952" s="34" t="str">
        <f>Database!F967</f>
        <v>BIO-1411318-04</v>
      </c>
      <c r="D952" s="34">
        <f>Database!K967</f>
        <v>350.82</v>
      </c>
      <c r="E952" s="34" t="str">
        <f>Database!P967</f>
        <v>21.74 mg</v>
      </c>
      <c r="F952" s="34">
        <f>Database!Q967</f>
        <v>0</v>
      </c>
      <c r="G952" s="462" t="str">
        <f>Database!R967</f>
        <v>NC</v>
      </c>
      <c r="H952" s="35">
        <f>Database!N967</f>
        <v>43220</v>
      </c>
    </row>
    <row r="953" spans="1:8" ht="30" x14ac:dyDescent="0.25">
      <c r="A953" s="225" t="str">
        <f>Database!A968</f>
        <v>18SAM105</v>
      </c>
      <c r="B953" s="34" t="str">
        <f>Database!E968</f>
        <v>Biogen</v>
      </c>
      <c r="C953" s="34" t="str">
        <f>Database!F968</f>
        <v>BIO-1772733-03</v>
      </c>
      <c r="D953" s="34">
        <f>Database!K968</f>
        <v>488.48</v>
      </c>
      <c r="E953" s="34" t="str">
        <f>Database!P968</f>
        <v>21.36 mg</v>
      </c>
      <c r="F953" s="34">
        <f>Database!Q968</f>
        <v>0</v>
      </c>
      <c r="G953" s="462" t="str">
        <f>Database!R968</f>
        <v>NC</v>
      </c>
      <c r="H953" s="35">
        <f>Database!N968</f>
        <v>43220</v>
      </c>
    </row>
    <row r="954" spans="1:8" ht="30" x14ac:dyDescent="0.25">
      <c r="A954" s="225" t="str">
        <f>Database!A969</f>
        <v>18SAM106</v>
      </c>
      <c r="B954" s="34" t="str">
        <f>Database!E969</f>
        <v>Servier</v>
      </c>
      <c r="C954" s="34" t="str">
        <f>Database!F969</f>
        <v>Epothilone D</v>
      </c>
      <c r="D954" s="34">
        <f>Database!K969</f>
        <v>491.68299999999999</v>
      </c>
      <c r="E954" s="34" t="str">
        <f>Database!P969</f>
        <v>150 mg</v>
      </c>
      <c r="F954" s="34">
        <f>Database!Q969</f>
        <v>0</v>
      </c>
      <c r="G954" s="462" t="str">
        <f>Database!R969</f>
        <v>NC</v>
      </c>
      <c r="H954" s="35">
        <f>Database!N969</f>
        <v>43223</v>
      </c>
    </row>
    <row r="955" spans="1:8" ht="60" x14ac:dyDescent="0.25">
      <c r="A955" s="225" t="str">
        <f>Database!A970</f>
        <v>18SAM107</v>
      </c>
      <c r="B955" s="34" t="str">
        <f>Database!E970</f>
        <v>Vertex</v>
      </c>
      <c r="C955" s="34" t="str">
        <f>Database!F970</f>
        <v>Orexin A (humain, rate, mouse)</v>
      </c>
      <c r="D955" s="34">
        <f>Database!K970</f>
        <v>3561.12</v>
      </c>
      <c r="E955" s="34" t="str">
        <f>Database!P970</f>
        <v>500 µg</v>
      </c>
      <c r="F955" s="34" t="str">
        <f>Database!Q970</f>
        <v>1 mg/mL in H2O mQ</v>
      </c>
      <c r="G955" s="462">
        <f>Database!R970</f>
        <v>0.96499999999999997</v>
      </c>
      <c r="H955" s="35">
        <f>Database!N970</f>
        <v>43234</v>
      </c>
    </row>
    <row r="956" spans="1:8" ht="60" x14ac:dyDescent="0.25">
      <c r="A956" s="225" t="str">
        <f>Database!A971</f>
        <v>18SAM108</v>
      </c>
      <c r="B956" s="34" t="str">
        <f>Database!E971</f>
        <v>Vertex</v>
      </c>
      <c r="C956" s="34" t="str">
        <f>Database!F971</f>
        <v>Orexin A (humain, rate, mouse)</v>
      </c>
      <c r="D956" s="34">
        <f>Database!K971</f>
        <v>3561.12</v>
      </c>
      <c r="E956" s="34" t="str">
        <f>Database!P971</f>
        <v>500 µg</v>
      </c>
      <c r="F956" s="34" t="str">
        <f>Database!Q971</f>
        <v>1 mg/mL in H2O mQ</v>
      </c>
      <c r="G956" s="462">
        <f>Database!R971</f>
        <v>0.96499999999999997</v>
      </c>
      <c r="H956" s="35">
        <f>Database!N971</f>
        <v>43234</v>
      </c>
    </row>
    <row r="957" spans="1:8" ht="60" x14ac:dyDescent="0.25">
      <c r="A957" s="225" t="str">
        <f>Database!A972</f>
        <v>18SAM109</v>
      </c>
      <c r="B957" s="34" t="str">
        <f>Database!E972</f>
        <v>Vertex</v>
      </c>
      <c r="C957" s="34" t="str">
        <f>Database!F972</f>
        <v>Orexin A (humain, rate, mouse)</v>
      </c>
      <c r="D957" s="34">
        <f>Database!K972</f>
        <v>3561.12</v>
      </c>
      <c r="E957" s="34" t="str">
        <f>Database!P972</f>
        <v>500 µg</v>
      </c>
      <c r="F957" s="34" t="str">
        <f>Database!Q972</f>
        <v>1 mg/mL in H2O mQ</v>
      </c>
      <c r="G957" s="462">
        <f>Database!R972</f>
        <v>0.96499999999999997</v>
      </c>
      <c r="H957" s="35">
        <f>Database!N972</f>
        <v>43234</v>
      </c>
    </row>
    <row r="958" spans="1:8" ht="60" x14ac:dyDescent="0.25">
      <c r="A958" s="225" t="str">
        <f>Database!A973</f>
        <v>18SAM110</v>
      </c>
      <c r="B958" s="34" t="str">
        <f>Database!E973</f>
        <v>Vertex</v>
      </c>
      <c r="C958" s="34" t="str">
        <f>Database!F973</f>
        <v>Orexin A (humain, rate, mouse)</v>
      </c>
      <c r="D958" s="34">
        <f>Database!K973</f>
        <v>3561.12</v>
      </c>
      <c r="E958" s="34" t="str">
        <f>Database!P973</f>
        <v>500 µg</v>
      </c>
      <c r="F958" s="34" t="str">
        <f>Database!Q973</f>
        <v>1 mg/mL in H2O mQ</v>
      </c>
      <c r="G958" s="462">
        <f>Database!R973</f>
        <v>0.96499999999999997</v>
      </c>
      <c r="H958" s="35">
        <f>Database!N973</f>
        <v>43234</v>
      </c>
    </row>
    <row r="959" spans="1:8" ht="60" x14ac:dyDescent="0.25">
      <c r="A959" s="225" t="str">
        <f>Database!A974</f>
        <v>18SAM111</v>
      </c>
      <c r="B959" s="34" t="str">
        <f>Database!E974</f>
        <v>Vertex</v>
      </c>
      <c r="C959" s="34" t="str">
        <f>Database!F974</f>
        <v>Orexin A (humain, rate, mouse)</v>
      </c>
      <c r="D959" s="34">
        <f>Database!K974</f>
        <v>3561.12</v>
      </c>
      <c r="E959" s="34" t="str">
        <f>Database!P974</f>
        <v>500 µg</v>
      </c>
      <c r="F959" s="34" t="str">
        <f>Database!Q974</f>
        <v>1 mg/mL in H2O mQ</v>
      </c>
      <c r="G959" s="462">
        <f>Database!R974</f>
        <v>0.96499999999999997</v>
      </c>
      <c r="H959" s="35">
        <f>Database!N974</f>
        <v>43234</v>
      </c>
    </row>
    <row r="960" spans="1:8" ht="60" x14ac:dyDescent="0.25">
      <c r="A960" s="225" t="str">
        <f>Database!A975</f>
        <v>18SAM112</v>
      </c>
      <c r="B960" s="34" t="str">
        <f>Database!E975</f>
        <v>Vertex</v>
      </c>
      <c r="C960" s="34" t="str">
        <f>Database!F975</f>
        <v>Orexin A (humain, rate, mouse)</v>
      </c>
      <c r="D960" s="34">
        <f>Database!K975</f>
        <v>3561.12</v>
      </c>
      <c r="E960" s="34" t="str">
        <f>Database!P975</f>
        <v>500 µg</v>
      </c>
      <c r="F960" s="34" t="str">
        <f>Database!Q975</f>
        <v>1 mg/mL in H2O mQ</v>
      </c>
      <c r="G960" s="462">
        <f>Database!R975</f>
        <v>0.96499999999999997</v>
      </c>
      <c r="H960" s="35">
        <f>Database!N975</f>
        <v>43234</v>
      </c>
    </row>
    <row r="961" spans="1:8" ht="60" x14ac:dyDescent="0.25">
      <c r="A961" s="225" t="str">
        <f>Database!A976</f>
        <v>18SAM113</v>
      </c>
      <c r="B961" s="34" t="str">
        <f>Database!E976</f>
        <v>Vertex</v>
      </c>
      <c r="C961" s="34" t="str">
        <f>Database!F976</f>
        <v>Orexin A (humain, rate, mouse)</v>
      </c>
      <c r="D961" s="34">
        <f>Database!K976</f>
        <v>3561.12</v>
      </c>
      <c r="E961" s="34" t="str">
        <f>Database!P976</f>
        <v>500 µg</v>
      </c>
      <c r="F961" s="34" t="str">
        <f>Database!Q976</f>
        <v>1 mg/mL in H2O mQ</v>
      </c>
      <c r="G961" s="462">
        <f>Database!R976</f>
        <v>0.96499999999999997</v>
      </c>
      <c r="H961" s="35">
        <f>Database!N976</f>
        <v>43234</v>
      </c>
    </row>
    <row r="962" spans="1:8" ht="60" x14ac:dyDescent="0.25">
      <c r="A962" s="225" t="str">
        <f>Database!A977</f>
        <v>18SAM114</v>
      </c>
      <c r="B962" s="34" t="str">
        <f>Database!E977</f>
        <v>Vertex</v>
      </c>
      <c r="C962" s="34" t="str">
        <f>Database!F977</f>
        <v>Orexin A (humain, rate, mouse)</v>
      </c>
      <c r="D962" s="34">
        <f>Database!K977</f>
        <v>3561.12</v>
      </c>
      <c r="E962" s="34" t="str">
        <f>Database!P977</f>
        <v>500 µg</v>
      </c>
      <c r="F962" s="34" t="str">
        <f>Database!Q977</f>
        <v>1 mg/mL in H2O mQ</v>
      </c>
      <c r="G962" s="462">
        <f>Database!R977</f>
        <v>0.96499999999999997</v>
      </c>
      <c r="H962" s="35">
        <f>Database!N977</f>
        <v>43236</v>
      </c>
    </row>
    <row r="963" spans="1:8" ht="60" x14ac:dyDescent="0.25">
      <c r="A963" s="225" t="str">
        <f>Database!A978</f>
        <v>18SAM115</v>
      </c>
      <c r="B963" s="34" t="str">
        <f>Database!E978</f>
        <v>Vertex</v>
      </c>
      <c r="C963" s="34" t="str">
        <f>Database!F978</f>
        <v>Orexin A (humain, rate, mouse)</v>
      </c>
      <c r="D963" s="34">
        <f>Database!K978</f>
        <v>3561.12</v>
      </c>
      <c r="E963" s="34" t="str">
        <f>Database!P978</f>
        <v>500 µg</v>
      </c>
      <c r="F963" s="34" t="str">
        <f>Database!Q978</f>
        <v>1 mg/mL in H2O mQ</v>
      </c>
      <c r="G963" s="462">
        <f>Database!R978</f>
        <v>0.96499999999999997</v>
      </c>
      <c r="H963" s="35">
        <f>Database!N978</f>
        <v>43236</v>
      </c>
    </row>
    <row r="964" spans="1:8" ht="60" x14ac:dyDescent="0.25">
      <c r="A964" s="225" t="str">
        <f>Database!A979</f>
        <v>18SAM116</v>
      </c>
      <c r="B964" s="34" t="str">
        <f>Database!E979</f>
        <v>Vertex</v>
      </c>
      <c r="C964" s="34" t="str">
        <f>Database!F979</f>
        <v>Orexin A (humain, rate, mouse)</v>
      </c>
      <c r="D964" s="34">
        <f>Database!K979</f>
        <v>3561.12</v>
      </c>
      <c r="E964" s="34" t="str">
        <f>Database!P979</f>
        <v>500 µg</v>
      </c>
      <c r="F964" s="34" t="str">
        <f>Database!Q979</f>
        <v>1 mg/mL in H2O mQ</v>
      </c>
      <c r="G964" s="462">
        <f>Database!R979</f>
        <v>0.96499999999999997</v>
      </c>
      <c r="H964" s="35">
        <f>Database!N979</f>
        <v>43236</v>
      </c>
    </row>
    <row r="965" spans="1:8" ht="23.25" x14ac:dyDescent="0.25">
      <c r="A965" s="225" t="str">
        <f>Database!A980</f>
        <v>18SAM117</v>
      </c>
      <c r="B965" s="34" t="str">
        <f>Database!E980</f>
        <v>AMGEN</v>
      </c>
      <c r="C965" s="34" t="str">
        <f>Database!F980</f>
        <v>3387782#1</v>
      </c>
      <c r="D965" s="34">
        <f>Database!K980</f>
        <v>407.529</v>
      </c>
      <c r="E965" s="34" t="str">
        <f>Database!P980</f>
        <v>13.49 mg</v>
      </c>
      <c r="F965" s="34">
        <f>Database!Q980</f>
        <v>0</v>
      </c>
      <c r="G965" s="462" t="str">
        <f>Database!R980</f>
        <v>NC</v>
      </c>
      <c r="H965" s="35">
        <f>Database!N980</f>
        <v>43235</v>
      </c>
    </row>
    <row r="966" spans="1:8" ht="23.25" x14ac:dyDescent="0.25">
      <c r="A966" s="225" t="str">
        <f>Database!A981</f>
        <v>18SAM118</v>
      </c>
      <c r="B966" s="34" t="str">
        <f>Database!E981</f>
        <v>AMGEN</v>
      </c>
      <c r="C966" s="34" t="str">
        <f>Database!F981</f>
        <v>3386645#2</v>
      </c>
      <c r="D966" s="34">
        <f>Database!K981</f>
        <v>406.786</v>
      </c>
      <c r="E966" s="34" t="str">
        <f>Database!P981</f>
        <v>9.7 mg</v>
      </c>
      <c r="F966" s="34">
        <f>Database!Q981</f>
        <v>0</v>
      </c>
      <c r="G966" s="462" t="str">
        <f>Database!R981</f>
        <v>NC</v>
      </c>
      <c r="H966" s="35">
        <f>Database!N981</f>
        <v>43235</v>
      </c>
    </row>
    <row r="967" spans="1:8" ht="75" x14ac:dyDescent="0.25">
      <c r="A967" s="225" t="str">
        <f>Database!A982</f>
        <v>18REF119</v>
      </c>
      <c r="B967" s="34" t="str">
        <f>Database!E982</f>
        <v>Neuroservice</v>
      </c>
      <c r="C967" s="34" t="str">
        <f>Database!F982</f>
        <v>Kainate</v>
      </c>
      <c r="D967" s="34">
        <f>Database!K982</f>
        <v>213.23</v>
      </c>
      <c r="E967" s="34" t="str">
        <f>Database!P982</f>
        <v>10 mg</v>
      </c>
      <c r="F967" s="34" t="str">
        <f>Database!Q982</f>
        <v>H2O mQ to 25 mM (chauffez légèrement)</v>
      </c>
      <c r="G967" s="462">
        <f>Database!R982</f>
        <v>1</v>
      </c>
      <c r="H967" s="35">
        <f>Database!N982</f>
        <v>43242</v>
      </c>
    </row>
    <row r="968" spans="1:8" ht="60" x14ac:dyDescent="0.25">
      <c r="A968" s="225" t="str">
        <f>Database!A983</f>
        <v>18REF120</v>
      </c>
      <c r="B968" s="34" t="str">
        <f>Database!E983</f>
        <v>Neuroservice</v>
      </c>
      <c r="C968" s="34" t="str">
        <f>Database!F983</f>
        <v>Bicuculline methiodide</v>
      </c>
      <c r="D968" s="34">
        <f>Database!K983</f>
        <v>509.3</v>
      </c>
      <c r="E968" s="34" t="str">
        <f>Database!P983</f>
        <v>50 mg</v>
      </c>
      <c r="F968" s="34" t="str">
        <f>Database!Q983</f>
        <v>20 mM in H2O mQ or 50 mM in DMSO</v>
      </c>
      <c r="G968" s="462">
        <f>Database!R983</f>
        <v>0.99199999999999999</v>
      </c>
      <c r="H968" s="35">
        <f>Database!N983</f>
        <v>43242</v>
      </c>
    </row>
    <row r="969" spans="1:8" ht="60" x14ac:dyDescent="0.25">
      <c r="A969" s="225" t="str">
        <f>Database!A984</f>
        <v>18REF121</v>
      </c>
      <c r="B969" s="34" t="str">
        <f>Database!E984</f>
        <v>Neuroservice</v>
      </c>
      <c r="C969" s="34" t="str">
        <f>Database!F984</f>
        <v>Bicuculline methiodide</v>
      </c>
      <c r="D969" s="34">
        <f>Database!K984</f>
        <v>509.3</v>
      </c>
      <c r="E969" s="34" t="str">
        <f>Database!P984</f>
        <v>50 mg</v>
      </c>
      <c r="F969" s="34" t="str">
        <f>Database!Q984</f>
        <v>20 mM in H2O mQ or 50 mM in DMSO</v>
      </c>
      <c r="G969" s="462">
        <f>Database!R984</f>
        <v>0.99199999999999999</v>
      </c>
      <c r="H969" s="35">
        <f>Database!N984</f>
        <v>43242</v>
      </c>
    </row>
    <row r="970" spans="1:8" ht="45" x14ac:dyDescent="0.25">
      <c r="A970" s="225" t="str">
        <f>Database!A985</f>
        <v>18REF122</v>
      </c>
      <c r="B970" s="34" t="str">
        <f>Database!E985</f>
        <v>Neuroservice</v>
      </c>
      <c r="C970" s="34" t="str">
        <f>Database!F985</f>
        <v>NBQX</v>
      </c>
      <c r="D970" s="34">
        <f>Database!K985</f>
        <v>336.28</v>
      </c>
      <c r="E970" s="34" t="str">
        <f>Database!P985</f>
        <v>50 mg</v>
      </c>
      <c r="F970" s="34" t="str">
        <f>Database!Q985</f>
        <v>up to 100 mM in DMSO</v>
      </c>
      <c r="G970" s="462">
        <f>Database!R985</f>
        <v>0.99</v>
      </c>
      <c r="H970" s="35">
        <f>Database!N985</f>
        <v>43242</v>
      </c>
    </row>
    <row r="971" spans="1:8" ht="45" x14ac:dyDescent="0.25">
      <c r="A971" s="225" t="str">
        <f>Database!A986</f>
        <v>18REF123</v>
      </c>
      <c r="B971" s="34" t="str">
        <f>Database!E986</f>
        <v>Neuroservice</v>
      </c>
      <c r="C971" s="34" t="str">
        <f>Database!F986</f>
        <v>NBQX</v>
      </c>
      <c r="D971" s="34">
        <f>Database!K986</f>
        <v>336.28</v>
      </c>
      <c r="E971" s="34" t="str">
        <f>Database!P986</f>
        <v>50 mg</v>
      </c>
      <c r="F971" s="34" t="str">
        <f>Database!Q986</f>
        <v>up to 100 mM in DMSO</v>
      </c>
      <c r="G971" s="462">
        <f>Database!R986</f>
        <v>0.99</v>
      </c>
      <c r="H971" s="35">
        <f>Database!N986</f>
        <v>43242</v>
      </c>
    </row>
    <row r="972" spans="1:8" ht="45" x14ac:dyDescent="0.25">
      <c r="A972" s="225" t="str">
        <f>Database!A987</f>
        <v>18SAM124</v>
      </c>
      <c r="B972" s="34" t="str">
        <f>Database!E987</f>
        <v>Vertex</v>
      </c>
      <c r="C972" s="34" t="str">
        <f>Database!F987</f>
        <v>suvorexant (code Bar: 850502125)</v>
      </c>
      <c r="D972" s="34">
        <f>Database!K987</f>
        <v>450.92</v>
      </c>
      <c r="E972" s="34" t="str">
        <f>Database!P987</f>
        <v>20.05 mg</v>
      </c>
      <c r="F972" s="34" t="str">
        <f>Database!Q987</f>
        <v>DMSO</v>
      </c>
      <c r="G972" s="462" t="str">
        <f>Database!R987</f>
        <v>NC</v>
      </c>
      <c r="H972" s="35">
        <f>Database!N987</f>
        <v>43242</v>
      </c>
    </row>
    <row r="973" spans="1:8" ht="60" x14ac:dyDescent="0.25">
      <c r="A973" s="225" t="str">
        <f>Database!A988</f>
        <v>18SAM125</v>
      </c>
      <c r="B973" s="34" t="str">
        <f>Database!E988</f>
        <v>Vertex</v>
      </c>
      <c r="C973" s="34" t="str">
        <f>Database!F988</f>
        <v>molecule 1 (code Bar:850469368)</v>
      </c>
      <c r="D973" s="34">
        <f>Database!K988</f>
        <v>424</v>
      </c>
      <c r="E973" s="34" t="str">
        <f>Database!P988</f>
        <v>25.8 mg</v>
      </c>
      <c r="F973" s="34" t="str">
        <f>Database!Q988</f>
        <v>DMSO</v>
      </c>
      <c r="G973" s="462" t="str">
        <f>Database!R988</f>
        <v>NC</v>
      </c>
      <c r="H973" s="35">
        <f>Database!N988</f>
        <v>43242</v>
      </c>
    </row>
    <row r="974" spans="1:8" ht="30" x14ac:dyDescent="0.25">
      <c r="A974" s="225" t="str">
        <f>Database!A989</f>
        <v>18SAM126</v>
      </c>
      <c r="B974" s="34" t="str">
        <f>Database!E989</f>
        <v>Sage</v>
      </c>
      <c r="C974" s="34" t="str">
        <f>Database!F989</f>
        <v>SGE-00516-07-A</v>
      </c>
      <c r="D974" s="34">
        <f>Database!K989</f>
        <v>385.54</v>
      </c>
      <c r="E974" s="34" t="str">
        <f>Database!P989</f>
        <v>25 mg</v>
      </c>
      <c r="F974" s="34" t="str">
        <f>Database!Q989</f>
        <v>DMSO</v>
      </c>
      <c r="G974" s="462" t="str">
        <f>Database!R989</f>
        <v>NC</v>
      </c>
      <c r="H974" s="35">
        <f>Database!N989</f>
        <v>43242</v>
      </c>
    </row>
    <row r="975" spans="1:8" ht="45" x14ac:dyDescent="0.25">
      <c r="A975" s="225" t="str">
        <f>Database!A990</f>
        <v>18REF127</v>
      </c>
      <c r="B975" s="34" t="str">
        <f>Database!E990</f>
        <v>Neuroservice</v>
      </c>
      <c r="C975" s="34" t="str">
        <f>Database!F990</f>
        <v>N-Methyl-D-glucamine (NMDG)</v>
      </c>
      <c r="D975" s="34">
        <f>Database!K990</f>
        <v>195.21</v>
      </c>
      <c r="E975" s="34" t="str">
        <f>Database!P990</f>
        <v>500 g</v>
      </c>
      <c r="F975" s="34">
        <f>Database!Q990</f>
        <v>0</v>
      </c>
      <c r="G975" s="462">
        <f>Database!R990</f>
        <v>0.99299999999999999</v>
      </c>
      <c r="H975" s="35">
        <f>Database!N990</f>
        <v>43242</v>
      </c>
    </row>
    <row r="976" spans="1:8" ht="45" x14ac:dyDescent="0.25">
      <c r="A976" s="225" t="str">
        <f>Database!A991</f>
        <v>18REF128</v>
      </c>
      <c r="B976" s="34" t="str">
        <f>Database!E991</f>
        <v>Neuroservice</v>
      </c>
      <c r="C976" s="34" t="str">
        <f>Database!F991</f>
        <v>N-Methyl-D-glucamine (NMDG)</v>
      </c>
      <c r="D976" s="34">
        <f>Database!K991</f>
        <v>195.21</v>
      </c>
      <c r="E976" s="34" t="str">
        <f>Database!P991</f>
        <v>500 g</v>
      </c>
      <c r="F976" s="34">
        <f>Database!Q991</f>
        <v>0</v>
      </c>
      <c r="G976" s="462">
        <f>Database!R991</f>
        <v>0.99299999999999999</v>
      </c>
      <c r="H976" s="35">
        <f>Database!N991</f>
        <v>43242</v>
      </c>
    </row>
    <row r="977" spans="1:8" ht="30" x14ac:dyDescent="0.25">
      <c r="A977" s="225" t="str">
        <f>Database!A992</f>
        <v>18REF129</v>
      </c>
      <c r="B977" s="34" t="str">
        <f>Database!E992</f>
        <v>Neuroservice</v>
      </c>
      <c r="C977" s="34" t="str">
        <f>Database!F992</f>
        <v>HEPES</v>
      </c>
      <c r="D977" s="34">
        <f>Database!K992</f>
        <v>238.3</v>
      </c>
      <c r="E977" s="34" t="str">
        <f>Database!P992</f>
        <v>250 g</v>
      </c>
      <c r="F977" s="34" t="str">
        <f>Database!Q992</f>
        <v>H2O mQ to 500mg/mL</v>
      </c>
      <c r="G977" s="462">
        <f>Database!R992</f>
        <v>1</v>
      </c>
      <c r="H977" s="35">
        <f>Database!N992</f>
        <v>43242</v>
      </c>
    </row>
    <row r="978" spans="1:8" ht="30" x14ac:dyDescent="0.25">
      <c r="A978" s="225" t="str">
        <f>Database!A993</f>
        <v>18REF130</v>
      </c>
      <c r="B978" s="34" t="str">
        <f>Database!E993</f>
        <v>Neuroservice</v>
      </c>
      <c r="C978" s="34" t="str">
        <f>Database!F993</f>
        <v>HEPES</v>
      </c>
      <c r="D978" s="34">
        <f>Database!K993</f>
        <v>238.3</v>
      </c>
      <c r="E978" s="34" t="str">
        <f>Database!P993</f>
        <v>250 g</v>
      </c>
      <c r="F978" s="34" t="str">
        <f>Database!Q993</f>
        <v>H2O mQ to 500mg/mL</v>
      </c>
      <c r="G978" s="462">
        <f>Database!R993</f>
        <v>1</v>
      </c>
      <c r="H978" s="35">
        <f>Database!N993</f>
        <v>43242</v>
      </c>
    </row>
    <row r="979" spans="1:8" ht="30" x14ac:dyDescent="0.25">
      <c r="A979" s="225" t="str">
        <f>Database!A994</f>
        <v>18REF131</v>
      </c>
      <c r="B979" s="34" t="str">
        <f>Database!E994</f>
        <v>Neuroservice</v>
      </c>
      <c r="C979" s="34" t="str">
        <f>Database!F994</f>
        <v>HEPES</v>
      </c>
      <c r="D979" s="34">
        <f>Database!K994</f>
        <v>238.3</v>
      </c>
      <c r="E979" s="34" t="str">
        <f>Database!P994</f>
        <v>250 g</v>
      </c>
      <c r="F979" s="34" t="str">
        <f>Database!Q994</f>
        <v>H2O mQ to 500mg/mL</v>
      </c>
      <c r="G979" s="462">
        <f>Database!R994</f>
        <v>1</v>
      </c>
      <c r="H979" s="35">
        <f>Database!N994</f>
        <v>43242</v>
      </c>
    </row>
    <row r="980" spans="1:8" ht="30" x14ac:dyDescent="0.25">
      <c r="A980" s="225" t="str">
        <f>Database!A995</f>
        <v>18REF132</v>
      </c>
      <c r="B980" s="34" t="str">
        <f>Database!E995</f>
        <v>Neuroservice</v>
      </c>
      <c r="C980" s="34" t="str">
        <f>Database!F995</f>
        <v>Sodium L-Ascorbate</v>
      </c>
      <c r="D980" s="34">
        <f>Database!K995</f>
        <v>198.11</v>
      </c>
      <c r="E980" s="34" t="str">
        <f>Database!P995</f>
        <v>100 g</v>
      </c>
      <c r="F980" s="34">
        <f>Database!Q995</f>
        <v>0</v>
      </c>
      <c r="G980" s="462">
        <f>Database!R995</f>
        <v>1</v>
      </c>
      <c r="H980" s="35">
        <f>Database!N995</f>
        <v>43242</v>
      </c>
    </row>
    <row r="981" spans="1:8" ht="30" x14ac:dyDescent="0.25">
      <c r="A981" s="225" t="str">
        <f>Database!A996</f>
        <v>18REF133</v>
      </c>
      <c r="B981" s="34" t="str">
        <f>Database!E996</f>
        <v>Neuroservice</v>
      </c>
      <c r="C981" s="34" t="str">
        <f>Database!F996</f>
        <v>Urethane</v>
      </c>
      <c r="D981" s="34">
        <f>Database!K996</f>
        <v>89.09</v>
      </c>
      <c r="E981" s="34" t="str">
        <f>Database!P996</f>
        <v>100 g</v>
      </c>
      <c r="F981" s="34" t="str">
        <f>Database!Q996</f>
        <v>H2O mQ</v>
      </c>
      <c r="G981" s="462">
        <f>Database!R996</f>
        <v>0.99</v>
      </c>
      <c r="H981" s="35">
        <f>Database!N996</f>
        <v>43242</v>
      </c>
    </row>
    <row r="982" spans="1:8" ht="30" x14ac:dyDescent="0.25">
      <c r="A982" s="225" t="str">
        <f>Database!A997</f>
        <v>18REF134</v>
      </c>
      <c r="B982" s="34" t="str">
        <f>Database!E997</f>
        <v>Neuroservice</v>
      </c>
      <c r="C982" s="34" t="str">
        <f>Database!F997</f>
        <v>myo-inositol</v>
      </c>
      <c r="D982" s="34">
        <f>Database!K997</f>
        <v>180.16</v>
      </c>
      <c r="E982" s="34" t="str">
        <f>Database!P997</f>
        <v>10 mg</v>
      </c>
      <c r="F982" s="34">
        <f>Database!Q997</f>
        <v>0</v>
      </c>
      <c r="G982" s="462">
        <f>Database!R997</f>
        <v>1</v>
      </c>
      <c r="H982" s="35">
        <f>Database!N997</f>
        <v>43243</v>
      </c>
    </row>
    <row r="983" spans="1:8" ht="30" x14ac:dyDescent="0.25">
      <c r="A983" s="225" t="str">
        <f>Database!A998</f>
        <v>18REF135</v>
      </c>
      <c r="B983" s="34" t="str">
        <f>Database!E998</f>
        <v>Neuroservice</v>
      </c>
      <c r="C983" s="34" t="str">
        <f>Database!F998</f>
        <v>myo-inositol</v>
      </c>
      <c r="D983" s="34">
        <f>Database!K998</f>
        <v>180.16</v>
      </c>
      <c r="E983" s="34" t="str">
        <f>Database!P998</f>
        <v>10 mg</v>
      </c>
      <c r="F983" s="34">
        <f>Database!Q998</f>
        <v>0</v>
      </c>
      <c r="G983" s="462">
        <f>Database!R998</f>
        <v>1</v>
      </c>
      <c r="H983" s="35">
        <f>Database!N998</f>
        <v>43243</v>
      </c>
    </row>
    <row r="984" spans="1:8" ht="30" x14ac:dyDescent="0.25">
      <c r="A984" s="225" t="str">
        <f>Database!A999</f>
        <v>18REF136</v>
      </c>
      <c r="B984" s="34" t="str">
        <f>Database!E999</f>
        <v>Neuroservice</v>
      </c>
      <c r="C984" s="34" t="str">
        <f>Database!F999</f>
        <v>Sodium pyruvate</v>
      </c>
      <c r="D984" s="34">
        <f>Database!K999</f>
        <v>110.04</v>
      </c>
      <c r="E984" s="34" t="str">
        <f>Database!P999</f>
        <v>25 g</v>
      </c>
      <c r="F984" s="34">
        <f>Database!Q999</f>
        <v>0</v>
      </c>
      <c r="G984" s="462">
        <f>Database!R999</f>
        <v>1</v>
      </c>
      <c r="H984" s="35">
        <f>Database!N999</f>
        <v>43242</v>
      </c>
    </row>
    <row r="985" spans="1:8" ht="30" x14ac:dyDescent="0.25">
      <c r="A985" s="225" t="str">
        <f>Database!A1000</f>
        <v>18REF137</v>
      </c>
      <c r="B985" s="34" t="str">
        <f>Database!E1000</f>
        <v>Neuroservice</v>
      </c>
      <c r="C985" s="34" t="str">
        <f>Database!F1000</f>
        <v>Ethyl pyruvate</v>
      </c>
      <c r="D985" s="34">
        <f>Database!K1000</f>
        <v>116.12</v>
      </c>
      <c r="E985" s="34" t="str">
        <f>Database!P1000</f>
        <v>100 g</v>
      </c>
      <c r="F985" s="34">
        <f>Database!Q1000</f>
        <v>0</v>
      </c>
      <c r="G985" s="462">
        <f>Database!R1000</f>
        <v>0.99299999999999999</v>
      </c>
      <c r="H985" s="35">
        <f>Database!N1000</f>
        <v>43243</v>
      </c>
    </row>
    <row r="986" spans="1:8" ht="45" x14ac:dyDescent="0.25">
      <c r="A986" s="225" t="str">
        <f>Database!A1001</f>
        <v>18REF138</v>
      </c>
      <c r="B986" s="34" t="str">
        <f>Database!E1001</f>
        <v>Neuroservice</v>
      </c>
      <c r="C986" s="34" t="str">
        <f>Database!F1001</f>
        <v>Choline bicarbonate</v>
      </c>
      <c r="D986" s="34">
        <f>Database!K1001</f>
        <v>165.19</v>
      </c>
      <c r="E986" s="34" t="str">
        <f>Database!P1001</f>
        <v>250 ml</v>
      </c>
      <c r="F986" s="34">
        <f>Database!Q1001</f>
        <v>0</v>
      </c>
      <c r="G986" s="462" t="str">
        <f>Database!R1001</f>
        <v>&gt; 99%</v>
      </c>
      <c r="H986" s="35">
        <f>Database!N1001</f>
        <v>43243</v>
      </c>
    </row>
    <row r="987" spans="1:8" ht="30" x14ac:dyDescent="0.25">
      <c r="A987" s="225" t="str">
        <f>Database!A1002</f>
        <v>18SAM139</v>
      </c>
      <c r="B987" s="34" t="str">
        <f>Database!E1002</f>
        <v>TREEWAY</v>
      </c>
      <c r="C987" s="34" t="str">
        <f>Database!F1002</f>
        <v>Gabazine (SR95531)</v>
      </c>
      <c r="D987" s="34">
        <f>Database!K1002</f>
        <v>368.23</v>
      </c>
      <c r="E987" s="34" t="str">
        <f>Database!P1002</f>
        <v>50 mg</v>
      </c>
      <c r="F987" s="34" t="str">
        <f>Database!Q1002</f>
        <v>H2O mQ to 25 mM</v>
      </c>
      <c r="G987" s="462">
        <f>Database!R1002</f>
        <v>0.99</v>
      </c>
      <c r="H987" s="35">
        <f>Database!N1002</f>
        <v>43250</v>
      </c>
    </row>
    <row r="988" spans="1:8" ht="30" x14ac:dyDescent="0.25">
      <c r="A988" s="225" t="str">
        <f>Database!A1003</f>
        <v>18SAM140</v>
      </c>
      <c r="B988" s="34" t="str">
        <f>Database!E1003</f>
        <v>TREEWAY</v>
      </c>
      <c r="C988" s="34" t="str">
        <f>Database!F1003</f>
        <v>Gabazine (SR95531)</v>
      </c>
      <c r="D988" s="34">
        <f>Database!K1003</f>
        <v>368.23</v>
      </c>
      <c r="E988" s="34" t="str">
        <f>Database!P1003</f>
        <v>50 mg</v>
      </c>
      <c r="F988" s="34" t="str">
        <f>Database!Q1003</f>
        <v>H2O mQ to 25 mM</v>
      </c>
      <c r="G988" s="462">
        <f>Database!R1003</f>
        <v>0.99</v>
      </c>
      <c r="H988" s="35">
        <f>Database!N1003</f>
        <v>43250</v>
      </c>
    </row>
    <row r="989" spans="1:8" ht="30" x14ac:dyDescent="0.25">
      <c r="A989" s="225" t="str">
        <f>Database!A1004</f>
        <v>18REF141</v>
      </c>
      <c r="B989" s="34" t="str">
        <f>Database!E1004</f>
        <v>Neuroservice</v>
      </c>
      <c r="C989" s="34" t="str">
        <f>Database!F1004</f>
        <v>Kynurenic acid</v>
      </c>
      <c r="D989" s="34">
        <f>Database!K1004</f>
        <v>189.17</v>
      </c>
      <c r="E989" s="34" t="str">
        <f>Database!P1004</f>
        <v>5 g</v>
      </c>
      <c r="F989" s="34" t="str">
        <f>Database!Q1004</f>
        <v>50 mg/mL in H2O mQ</v>
      </c>
      <c r="G989" s="462">
        <f>Database!R1004</f>
        <v>1</v>
      </c>
      <c r="H989" s="35">
        <f>Database!N1004</f>
        <v>43250</v>
      </c>
    </row>
    <row r="990" spans="1:8" ht="30" x14ac:dyDescent="0.25">
      <c r="A990" s="225" t="str">
        <f>Database!A1005</f>
        <v>18REF142</v>
      </c>
      <c r="B990" s="34" t="str">
        <f>Database!E1005</f>
        <v>Neuroservice</v>
      </c>
      <c r="C990" s="34" t="str">
        <f>Database!F1005</f>
        <v>Kynurenic acid</v>
      </c>
      <c r="D990" s="34">
        <f>Database!K1005</f>
        <v>189.17</v>
      </c>
      <c r="E990" s="34" t="str">
        <f>Database!P1005</f>
        <v>5 g</v>
      </c>
      <c r="F990" s="34" t="str">
        <f>Database!Q1005</f>
        <v>50 mg/mL in H2O mQ</v>
      </c>
      <c r="G990" s="462">
        <f>Database!R1005</f>
        <v>1</v>
      </c>
      <c r="H990" s="35">
        <f>Database!N1005</f>
        <v>43250</v>
      </c>
    </row>
    <row r="991" spans="1:8" ht="30" x14ac:dyDescent="0.25">
      <c r="A991" s="225" t="str">
        <f>Database!A1006</f>
        <v>18REF143</v>
      </c>
      <c r="B991" s="34" t="str">
        <f>Database!E1006</f>
        <v>Neuroservice</v>
      </c>
      <c r="C991" s="34" t="str">
        <f>Database!F1006</f>
        <v>Kynurenic acid</v>
      </c>
      <c r="D991" s="34">
        <f>Database!K1006</f>
        <v>189.17</v>
      </c>
      <c r="E991" s="34" t="str">
        <f>Database!P1006</f>
        <v>5 g</v>
      </c>
      <c r="F991" s="34" t="str">
        <f>Database!Q1006</f>
        <v>50 mg/mL in H2O mQ</v>
      </c>
      <c r="G991" s="462">
        <f>Database!R1006</f>
        <v>1</v>
      </c>
      <c r="H991" s="35">
        <f>Database!N1006</f>
        <v>43250</v>
      </c>
    </row>
    <row r="992" spans="1:8" ht="30" x14ac:dyDescent="0.25">
      <c r="A992" s="225" t="str">
        <f>Database!A1007</f>
        <v>18REF144</v>
      </c>
      <c r="B992" s="34" t="str">
        <f>Database!E1007</f>
        <v>Neuroservice</v>
      </c>
      <c r="C992" s="34" t="str">
        <f>Database!F1007</f>
        <v>myo-inositol</v>
      </c>
      <c r="D992" s="34">
        <f>Database!K1007</f>
        <v>180.16</v>
      </c>
      <c r="E992" s="34" t="str">
        <f>Database!P1007</f>
        <v>500 g</v>
      </c>
      <c r="F992" s="34" t="str">
        <f>Database!Q1007</f>
        <v>50 mg/mL in H2O mQ</v>
      </c>
      <c r="G992" s="462">
        <f>Database!R1007</f>
        <v>1</v>
      </c>
      <c r="H992" s="35">
        <f>Database!N1007</f>
        <v>43252</v>
      </c>
    </row>
    <row r="993" spans="1:8" ht="45" x14ac:dyDescent="0.25">
      <c r="A993" s="225" t="str">
        <f>Database!A1008</f>
        <v>18REF145</v>
      </c>
      <c r="B993" s="34" t="str">
        <f>Database!E1008</f>
        <v>Neuroservice</v>
      </c>
      <c r="C993" s="34" t="str">
        <f>Database!F1008</f>
        <v>CNQX disodium salt</v>
      </c>
      <c r="D993" s="34">
        <f>Database!K1008</f>
        <v>276.12</v>
      </c>
      <c r="E993" s="34" t="str">
        <f>Database!P1008</f>
        <v>50 mg</v>
      </c>
      <c r="F993" s="34" t="str">
        <f>Database!Q1008</f>
        <v>20 mM in H2O Mq</v>
      </c>
      <c r="G993" s="462">
        <f>Database!R1008</f>
        <v>1</v>
      </c>
      <c r="H993" s="35">
        <f>Database!N1008</f>
        <v>43252</v>
      </c>
    </row>
    <row r="994" spans="1:8" ht="45" x14ac:dyDescent="0.25">
      <c r="A994" s="225" t="str">
        <f>Database!A1009</f>
        <v>18REF146</v>
      </c>
      <c r="B994" s="34" t="str">
        <f>Database!E1009</f>
        <v>Neuroservice</v>
      </c>
      <c r="C994" s="34" t="str">
        <f>Database!F1009</f>
        <v>CNQX disodium salt</v>
      </c>
      <c r="D994" s="34">
        <f>Database!K1009</f>
        <v>276.12</v>
      </c>
      <c r="E994" s="34" t="str">
        <f>Database!P1009</f>
        <v>50 mg</v>
      </c>
      <c r="F994" s="34" t="str">
        <f>Database!Q1009</f>
        <v>20 mM in H2O Mq</v>
      </c>
      <c r="G994" s="462">
        <f>Database!R1009</f>
        <v>1</v>
      </c>
      <c r="H994" s="35">
        <f>Database!N1009</f>
        <v>43252</v>
      </c>
    </row>
    <row r="995" spans="1:8" ht="45" x14ac:dyDescent="0.25">
      <c r="A995" s="225" t="str">
        <f>Database!A1010</f>
        <v>18REF147</v>
      </c>
      <c r="B995" s="34" t="str">
        <f>Database!E1010</f>
        <v>Neuroservice</v>
      </c>
      <c r="C995" s="34" t="str">
        <f>Database!F1010</f>
        <v>CNQX disodium salt</v>
      </c>
      <c r="D995" s="34">
        <f>Database!K1010</f>
        <v>276.12</v>
      </c>
      <c r="E995" s="34" t="str">
        <f>Database!P1010</f>
        <v>50 mg</v>
      </c>
      <c r="F995" s="34" t="str">
        <f>Database!Q1010</f>
        <v>20 mM in H2O Mq</v>
      </c>
      <c r="G995" s="462">
        <f>Database!R1010</f>
        <v>1</v>
      </c>
      <c r="H995" s="35">
        <f>Database!N1010</f>
        <v>43252</v>
      </c>
    </row>
    <row r="996" spans="1:8" ht="60" x14ac:dyDescent="0.25">
      <c r="A996" s="225" t="str">
        <f>Database!A1011</f>
        <v>18REF148</v>
      </c>
      <c r="B996" s="34" t="str">
        <f>Database!E1011</f>
        <v>Neuroservice</v>
      </c>
      <c r="C996" s="34" t="str">
        <f>Database!F1011</f>
        <v>Bicuculline methiodide</v>
      </c>
      <c r="D996" s="34">
        <f>Database!K1011</f>
        <v>509.3</v>
      </c>
      <c r="E996" s="34" t="str">
        <f>Database!P1011</f>
        <v>50 mg</v>
      </c>
      <c r="F996" s="34" t="str">
        <f>Database!Q1011</f>
        <v>20 mM in H2O mQ or 50 mM in DMSO</v>
      </c>
      <c r="G996" s="462">
        <f>Database!R1011</f>
        <v>0.99199999999999999</v>
      </c>
      <c r="H996" s="35">
        <f>Database!N1011</f>
        <v>43252</v>
      </c>
    </row>
    <row r="997" spans="1:8" ht="30" x14ac:dyDescent="0.25">
      <c r="A997" s="225" t="str">
        <f>Database!A1012</f>
        <v>18SAM149</v>
      </c>
      <c r="B997" s="34" t="str">
        <f>Database!E1012</f>
        <v>Roche</v>
      </c>
      <c r="C997" s="34" t="str">
        <f>Database!F1012</f>
        <v>RO7171680-000-006</v>
      </c>
      <c r="D997" s="34">
        <f>Database!K1012</f>
        <v>387.56799999999998</v>
      </c>
      <c r="E997" s="34" t="str">
        <f>Database!P1012</f>
        <v>10.03 mg</v>
      </c>
      <c r="F997" s="34" t="str">
        <f>Database!Q1012</f>
        <v>1 mM in DMSO</v>
      </c>
      <c r="G997" s="462" t="str">
        <f>Database!R1012</f>
        <v>NC</v>
      </c>
      <c r="H997" s="35">
        <f>Database!N1012</f>
        <v>43259</v>
      </c>
    </row>
    <row r="998" spans="1:8" ht="60" x14ac:dyDescent="0.25">
      <c r="A998" s="225" t="str">
        <f>Database!A1013</f>
        <v>18REF150</v>
      </c>
      <c r="B998" s="34" t="str">
        <f>Database!E1013</f>
        <v>Neuroservice</v>
      </c>
      <c r="C998" s="34" t="str">
        <f>Database!F1013</f>
        <v>Tetraethylammonium chloride (TEA-Cl)</v>
      </c>
      <c r="D998" s="34">
        <f>Database!K1013</f>
        <v>165.7</v>
      </c>
      <c r="E998" s="34" t="str">
        <f>Database!P1013</f>
        <v>100 g</v>
      </c>
      <c r="F998" s="34" t="str">
        <f>Database!Q1013</f>
        <v>50 mg/mL in H2O mQ</v>
      </c>
      <c r="G998" s="462">
        <f>Database!R1013</f>
        <v>0.99199999999999999</v>
      </c>
      <c r="H998" s="35">
        <f>Database!N1013</f>
        <v>43259</v>
      </c>
    </row>
    <row r="999" spans="1:8" ht="60" x14ac:dyDescent="0.25">
      <c r="A999" s="225" t="str">
        <f>Database!A1014</f>
        <v>18REF151</v>
      </c>
      <c r="B999" s="34" t="str">
        <f>Database!E1014</f>
        <v>Neuroservice</v>
      </c>
      <c r="C999" s="34" t="str">
        <f>Database!F1014</f>
        <v>Tetraethylammonium chloride (TEA-Cl)</v>
      </c>
      <c r="D999" s="34">
        <f>Database!K1014</f>
        <v>165.7</v>
      </c>
      <c r="E999" s="34" t="str">
        <f>Database!P1014</f>
        <v>100 g</v>
      </c>
      <c r="F999" s="34" t="str">
        <f>Database!Q1014</f>
        <v>50 mg/mL in H2O mQ</v>
      </c>
      <c r="G999" s="462">
        <f>Database!R1014</f>
        <v>0.99199999999999999</v>
      </c>
      <c r="H999" s="35">
        <f>Database!N1014</f>
        <v>43259</v>
      </c>
    </row>
    <row r="1000" spans="1:8" ht="60" x14ac:dyDescent="0.25">
      <c r="A1000" s="225" t="str">
        <f>Database!A1015</f>
        <v>18REF152</v>
      </c>
      <c r="B1000" s="34" t="str">
        <f>Database!E1015</f>
        <v>Neuroservice</v>
      </c>
      <c r="C1000" s="34" t="str">
        <f>Database!F1015</f>
        <v>Tetraethylammonium chloride (TEA-Cl)</v>
      </c>
      <c r="D1000" s="34">
        <f>Database!K1015</f>
        <v>165.7</v>
      </c>
      <c r="E1000" s="34" t="str">
        <f>Database!P1015</f>
        <v>100 g</v>
      </c>
      <c r="F1000" s="34" t="str">
        <f>Database!Q1015</f>
        <v>50 mg/mL in H2O mQ</v>
      </c>
      <c r="G1000" s="462">
        <f>Database!R1015</f>
        <v>0.99199999999999999</v>
      </c>
      <c r="H1000" s="35">
        <f>Database!N1015</f>
        <v>43259</v>
      </c>
    </row>
    <row r="1001" spans="1:8" ht="60" x14ac:dyDescent="0.25">
      <c r="A1001" s="225" t="str">
        <f>Database!A1016</f>
        <v>18REF153</v>
      </c>
      <c r="B1001" s="34" t="str">
        <f>Database!E1016</f>
        <v>Neuroservice</v>
      </c>
      <c r="C1001" s="34" t="str">
        <f>Database!F1016</f>
        <v>Tetraethylammonium chloride (TEA-Cl)</v>
      </c>
      <c r="D1001" s="34">
        <f>Database!K1016</f>
        <v>165.7</v>
      </c>
      <c r="E1001" s="34" t="str">
        <f>Database!P1016</f>
        <v>100 g</v>
      </c>
      <c r="F1001" s="34" t="str">
        <f>Database!Q1016</f>
        <v>50 mg/mL in H2O mQ</v>
      </c>
      <c r="G1001" s="462">
        <f>Database!R1016</f>
        <v>0.99199999999999999</v>
      </c>
      <c r="H1001" s="35">
        <f>Database!N1016</f>
        <v>43259</v>
      </c>
    </row>
    <row r="1002" spans="1:8" ht="30" x14ac:dyDescent="0.25">
      <c r="A1002" s="225" t="str">
        <f>Database!A1017</f>
        <v>18REF154</v>
      </c>
      <c r="B1002" s="34" t="str">
        <f>Database!E1017</f>
        <v>Neuroservice</v>
      </c>
      <c r="C1002" s="34" t="str">
        <f>Database!F1017</f>
        <v>Ethyl pyruvate</v>
      </c>
      <c r="D1002" s="34">
        <f>Database!K1017</f>
        <v>116.12</v>
      </c>
      <c r="E1002" s="34" t="str">
        <f>Database!P1017</f>
        <v>100 g</v>
      </c>
      <c r="F1002" s="34">
        <f>Database!Q1017</f>
        <v>0</v>
      </c>
      <c r="G1002" s="462">
        <f>Database!R1017</f>
        <v>0.99299999999999999</v>
      </c>
      <c r="H1002" s="35">
        <f>Database!N1017</f>
        <v>43259</v>
      </c>
    </row>
    <row r="1003" spans="1:8" ht="45" x14ac:dyDescent="0.25">
      <c r="A1003" s="225" t="str">
        <f>Database!A1018</f>
        <v>18REF155</v>
      </c>
      <c r="B1003" s="34" t="str">
        <f>Database!E1018</f>
        <v>Neuroservice</v>
      </c>
      <c r="C1003" s="34" t="str">
        <f>Database!F1018</f>
        <v>D-AP5</v>
      </c>
      <c r="D1003" s="34">
        <f>Database!K1018</f>
        <v>197.13</v>
      </c>
      <c r="E1003" s="34" t="str">
        <f>Database!P1018</f>
        <v>50 mg</v>
      </c>
      <c r="F1003" s="34" t="str">
        <f>Database!Q1018</f>
        <v>up to 100 mM H2O mQ</v>
      </c>
      <c r="G1003" s="462">
        <f>Database!R1018</f>
        <v>0.99299999999999999</v>
      </c>
      <c r="H1003" s="35">
        <f>Database!N1018</f>
        <v>43266</v>
      </c>
    </row>
    <row r="1004" spans="1:8" ht="75" x14ac:dyDescent="0.25">
      <c r="A1004" s="225" t="str">
        <f>Database!A1019</f>
        <v>18REF156</v>
      </c>
      <c r="B1004" s="34" t="str">
        <f>Database!E1019</f>
        <v>Neuroservice</v>
      </c>
      <c r="C1004" s="34" t="str">
        <f>Database!F1019</f>
        <v>Kainate</v>
      </c>
      <c r="D1004" s="34">
        <f>Database!K1019</f>
        <v>213.23</v>
      </c>
      <c r="E1004" s="34" t="str">
        <f>Database!P1019</f>
        <v>10 mg</v>
      </c>
      <c r="F1004" s="34" t="str">
        <f>Database!Q1019</f>
        <v>H2O mQ to 25 mM (chauffez légèrement)</v>
      </c>
      <c r="G1004" s="462">
        <f>Database!R1019</f>
        <v>1</v>
      </c>
      <c r="H1004" s="35">
        <f>Database!N1019</f>
        <v>43266</v>
      </c>
    </row>
    <row r="1005" spans="1:8" ht="60" x14ac:dyDescent="0.25">
      <c r="A1005" s="225" t="str">
        <f>Database!A1020</f>
        <v>18SAM157</v>
      </c>
      <c r="B1005" s="34" t="str">
        <f>Database!E1020</f>
        <v>Vertex</v>
      </c>
      <c r="C1005" s="34" t="str">
        <f>Database!F1020</f>
        <v>Orexin A (humain, rate, mouse)</v>
      </c>
      <c r="D1005" s="34">
        <f>Database!K1020</f>
        <v>3561.12</v>
      </c>
      <c r="E1005" s="34" t="str">
        <f>Database!P1020</f>
        <v>500 µg</v>
      </c>
      <c r="F1005" s="34" t="str">
        <f>Database!Q1020</f>
        <v>1 mg/mL in H2O mQ</v>
      </c>
      <c r="G1005" s="462">
        <f>Database!R1020</f>
        <v>0.96499999999999997</v>
      </c>
      <c r="H1005" s="35">
        <f>Database!N1020</f>
        <v>43276</v>
      </c>
    </row>
    <row r="1006" spans="1:8" ht="60" x14ac:dyDescent="0.25">
      <c r="A1006" s="225" t="str">
        <f>Database!A1021</f>
        <v>18SAM158</v>
      </c>
      <c r="B1006" s="34" t="str">
        <f>Database!E1021</f>
        <v>Vertex</v>
      </c>
      <c r="C1006" s="34" t="str">
        <f>Database!F1021</f>
        <v>Orexin A (humain, rate, mouse)</v>
      </c>
      <c r="D1006" s="34">
        <f>Database!K1021</f>
        <v>3561.12</v>
      </c>
      <c r="E1006" s="34" t="str">
        <f>Database!P1021</f>
        <v>500 µg</v>
      </c>
      <c r="F1006" s="34" t="str">
        <f>Database!Q1021</f>
        <v>1 mg/mL in H2O mQ</v>
      </c>
      <c r="G1006" s="462">
        <f>Database!R1021</f>
        <v>0.96499999999999997</v>
      </c>
      <c r="H1006" s="35">
        <f>Database!N1021</f>
        <v>43276</v>
      </c>
    </row>
    <row r="1007" spans="1:8" ht="30" x14ac:dyDescent="0.25">
      <c r="A1007" s="225" t="str">
        <f>Database!A1022</f>
        <v>18SAM159</v>
      </c>
      <c r="B1007" s="34" t="str">
        <f>Database!E1022</f>
        <v>Sage</v>
      </c>
      <c r="C1007" s="34" t="str">
        <f>Database!F1022</f>
        <v>SGE-03686-02-A</v>
      </c>
      <c r="D1007" s="34">
        <f>Database!K1022</f>
        <v>404.63</v>
      </c>
      <c r="E1007" s="34" t="str">
        <f>Database!P1022</f>
        <v>15 mg</v>
      </c>
      <c r="F1007" s="34" t="str">
        <f>Database!Q1022</f>
        <v>10 mM in DMSO</v>
      </c>
      <c r="G1007" s="462" t="str">
        <f>Database!R1022</f>
        <v>NC</v>
      </c>
      <c r="H1007" s="35">
        <f>Database!N1022</f>
        <v>43276</v>
      </c>
    </row>
    <row r="1008" spans="1:8" ht="30" x14ac:dyDescent="0.25">
      <c r="A1008" s="225" t="str">
        <f>Database!A1023</f>
        <v>18SAM160</v>
      </c>
      <c r="B1008" s="34" t="str">
        <f>Database!E1023</f>
        <v>Sage</v>
      </c>
      <c r="C1008" s="34" t="str">
        <f>Database!F1023</f>
        <v>SGE-03505-02-A</v>
      </c>
      <c r="D1008" s="34">
        <f>Database!K1023</f>
        <v>444.57</v>
      </c>
      <c r="E1008" s="34" t="str">
        <f>Database!P1023</f>
        <v>15 mg</v>
      </c>
      <c r="F1008" s="34" t="str">
        <f>Database!Q1023</f>
        <v>10 mM in DMSO</v>
      </c>
      <c r="G1008" s="462" t="str">
        <f>Database!R1023</f>
        <v>NC</v>
      </c>
      <c r="H1008" s="35">
        <f>Database!N1023</f>
        <v>43276</v>
      </c>
    </row>
    <row r="1009" spans="1:8" ht="30" x14ac:dyDescent="0.25">
      <c r="A1009" s="225" t="str">
        <f>Database!A1024</f>
        <v>18SAM161</v>
      </c>
      <c r="B1009" s="34" t="str">
        <f>Database!E1024</f>
        <v>Sage</v>
      </c>
      <c r="C1009" s="34" t="str">
        <f>Database!F1024</f>
        <v>SGE-03170-03-A</v>
      </c>
      <c r="D1009" s="34">
        <f>Database!K1024</f>
        <v>430.59</v>
      </c>
      <c r="E1009" s="34" t="str">
        <f>Database!P1024</f>
        <v>15 mg</v>
      </c>
      <c r="F1009" s="34" t="str">
        <f>Database!Q1024</f>
        <v>10 mM in DMSO</v>
      </c>
      <c r="G1009" s="462" t="str">
        <f>Database!R1024</f>
        <v>NC</v>
      </c>
      <c r="H1009" s="35">
        <f>Database!N1024</f>
        <v>43276</v>
      </c>
    </row>
    <row r="1010" spans="1:8" ht="30" x14ac:dyDescent="0.25">
      <c r="A1010" s="225" t="str">
        <f>Database!A1025</f>
        <v>18SAM162</v>
      </c>
      <c r="B1010" s="34" t="str">
        <f>Database!E1025</f>
        <v>Sage</v>
      </c>
      <c r="C1010" s="34" t="str">
        <f>Database!F1025</f>
        <v>SGE-03152-05-A</v>
      </c>
      <c r="D1010" s="34">
        <f>Database!K1025</f>
        <v>428.57</v>
      </c>
      <c r="E1010" s="34" t="str">
        <f>Database!P1025</f>
        <v>15 mg</v>
      </c>
      <c r="F1010" s="34" t="str">
        <f>Database!Q1025</f>
        <v>10 mM in DMSO</v>
      </c>
      <c r="G1010" s="462" t="str">
        <f>Database!R1025</f>
        <v>NC</v>
      </c>
      <c r="H1010" s="35">
        <f>Database!N1025</f>
        <v>43276</v>
      </c>
    </row>
    <row r="1011" spans="1:8" ht="30" x14ac:dyDescent="0.25">
      <c r="A1011" s="225" t="str">
        <f>Database!A1026</f>
        <v>18REF163</v>
      </c>
      <c r="B1011" s="34" t="str">
        <f>Database!E1026</f>
        <v>Neuroservice</v>
      </c>
      <c r="C1011" s="34" t="str">
        <f>Database!F1026</f>
        <v>Levetiracetam</v>
      </c>
      <c r="D1011" s="34">
        <f>Database!K1026</f>
        <v>170.21</v>
      </c>
      <c r="E1011" s="34" t="str">
        <f>Database!P1026</f>
        <v>100 mg</v>
      </c>
      <c r="F1011" s="34" t="str">
        <f>Database!Q1026</f>
        <v>&gt; 5 mg/ml in H2O</v>
      </c>
      <c r="G1011" s="462">
        <f>Database!R1026</f>
        <v>1</v>
      </c>
      <c r="H1011" s="35">
        <f>Database!N1026</f>
        <v>43278</v>
      </c>
    </row>
    <row r="1012" spans="1:8" ht="30" x14ac:dyDescent="0.25">
      <c r="A1012" s="225" t="str">
        <f>Database!A1027</f>
        <v>18REF164</v>
      </c>
      <c r="B1012" s="34" t="str">
        <f>Database!E1027</f>
        <v>Neuroservice</v>
      </c>
      <c r="C1012" s="34" t="str">
        <f>Database!F1027</f>
        <v>BAY-73-6691</v>
      </c>
      <c r="D1012" s="34">
        <f>Database!K1027</f>
        <v>356.73</v>
      </c>
      <c r="E1012" s="34" t="str">
        <f>Database!P1027</f>
        <v>5 mg</v>
      </c>
      <c r="F1012" s="34" t="str">
        <f>Database!Q1027</f>
        <v>&gt; 20 mg/ml DMO</v>
      </c>
      <c r="G1012" s="462">
        <f>Database!R1027</f>
        <v>0.998</v>
      </c>
      <c r="H1012" s="35">
        <f>Database!N1027</f>
        <v>43279</v>
      </c>
    </row>
    <row r="1013" spans="1:8" ht="30" x14ac:dyDescent="0.25">
      <c r="A1013" s="225" t="str">
        <f>Database!A1028</f>
        <v>18SAM165</v>
      </c>
      <c r="B1013" s="34" t="str">
        <f>Database!E1028</f>
        <v>Roche</v>
      </c>
      <c r="C1013" s="34" t="str">
        <f>Database!F1028</f>
        <v>17PR0153A</v>
      </c>
      <c r="D1013" s="34">
        <f>Database!K1028</f>
        <v>303.33100000000002</v>
      </c>
      <c r="E1013" s="34" t="str">
        <f>Database!P1028</f>
        <v>20.39 mg</v>
      </c>
      <c r="F1013" s="34" t="str">
        <f>Database!Q1028</f>
        <v>10 mM DMSO</v>
      </c>
      <c r="G1013" s="462" t="str">
        <f>Database!R1028</f>
        <v>NC</v>
      </c>
      <c r="H1013" s="35">
        <f>Database!N1028</f>
        <v>43291</v>
      </c>
    </row>
    <row r="1014" spans="1:8" ht="105" x14ac:dyDescent="0.25">
      <c r="A1014" s="225" t="str">
        <f>Database!A1029</f>
        <v>18SAM166</v>
      </c>
      <c r="B1014" s="34" t="str">
        <f>Database!E1029</f>
        <v>Roche</v>
      </c>
      <c r="C1014" s="34" t="str">
        <f>Database!F1029</f>
        <v>17PR0153B</v>
      </c>
      <c r="D1014" s="34">
        <f>Database!K1029</f>
        <v>455.44299999999998</v>
      </c>
      <c r="E1014" s="34" t="str">
        <f>Database!P1029</f>
        <v>20.11 mg</v>
      </c>
      <c r="F1014" s="34" t="str">
        <f>Database!Q1029</f>
        <v>10 mM DMSO (possible en H2O pour des concentrations basses)</v>
      </c>
      <c r="G1014" s="462" t="str">
        <f>Database!R1029</f>
        <v>NC</v>
      </c>
      <c r="H1014" s="35">
        <f>Database!N1029</f>
        <v>43291</v>
      </c>
    </row>
    <row r="1015" spans="1:8" ht="30" x14ac:dyDescent="0.25">
      <c r="A1015" s="225" t="str">
        <f>Database!A1030</f>
        <v>18SAM167</v>
      </c>
      <c r="B1015" s="34" t="str">
        <f>Database!E1030</f>
        <v>Roche</v>
      </c>
      <c r="C1015" s="34" t="str">
        <f>Database!F1030</f>
        <v>17PR0153C</v>
      </c>
      <c r="D1015" s="34">
        <f>Database!K1030</f>
        <v>269.63499999999999</v>
      </c>
      <c r="E1015" s="34" t="str">
        <f>Database!P1030</f>
        <v>20.25 mg</v>
      </c>
      <c r="F1015" s="34" t="str">
        <f>Database!Q1030</f>
        <v>10 mM DMSO</v>
      </c>
      <c r="G1015" s="462" t="str">
        <f>Database!R1030</f>
        <v>NC</v>
      </c>
      <c r="H1015" s="35">
        <f>Database!N1030</f>
        <v>43291</v>
      </c>
    </row>
    <row r="1016" spans="1:8" ht="30" x14ac:dyDescent="0.25">
      <c r="A1016" s="225" t="str">
        <f>Database!A1031</f>
        <v>18SAM168</v>
      </c>
      <c r="B1016" s="34" t="str">
        <f>Database!E1031</f>
        <v>Roche</v>
      </c>
      <c r="C1016" s="34" t="str">
        <f>Database!F1031</f>
        <v>17PR0153D</v>
      </c>
      <c r="D1016" s="34">
        <f>Database!K1031</f>
        <v>371.32900000000001</v>
      </c>
      <c r="E1016" s="34" t="str">
        <f>Database!P1031</f>
        <v>17.67 mg</v>
      </c>
      <c r="F1016" s="34" t="str">
        <f>Database!Q1031</f>
        <v>10 mM DMSO</v>
      </c>
      <c r="G1016" s="462" t="str">
        <f>Database!R1031</f>
        <v>NC</v>
      </c>
      <c r="H1016" s="35">
        <f>Database!N1031</f>
        <v>43291</v>
      </c>
    </row>
    <row r="1017" spans="1:8" ht="30" x14ac:dyDescent="0.25">
      <c r="A1017" s="225" t="str">
        <f>Database!A1032</f>
        <v>18SAM169</v>
      </c>
      <c r="B1017" s="34" t="str">
        <f>Database!E1032</f>
        <v>Roche</v>
      </c>
      <c r="C1017" s="34" t="str">
        <f>Database!F1032</f>
        <v>17PR0153D</v>
      </c>
      <c r="D1017" s="34">
        <f>Database!K1032</f>
        <v>371.32900000000001</v>
      </c>
      <c r="E1017" s="34" t="str">
        <f>Database!P1032</f>
        <v>2.68 mg</v>
      </c>
      <c r="F1017" s="34" t="str">
        <f>Database!Q1032</f>
        <v>10 mM DMSO</v>
      </c>
      <c r="G1017" s="462" t="str">
        <f>Database!R1032</f>
        <v>NC</v>
      </c>
      <c r="H1017" s="35">
        <f>Database!N1032</f>
        <v>43291</v>
      </c>
    </row>
    <row r="1018" spans="1:8" ht="30" x14ac:dyDescent="0.25">
      <c r="A1018" s="225" t="str">
        <f>Database!A1033</f>
        <v>18SAM170</v>
      </c>
      <c r="B1018" s="34" t="str">
        <f>Database!E1033</f>
        <v>Roche</v>
      </c>
      <c r="C1018" s="34" t="str">
        <f>Database!F1033</f>
        <v>18PR0002_A</v>
      </c>
      <c r="D1018" s="34">
        <f>Database!K1033</f>
        <v>341.34</v>
      </c>
      <c r="E1018" s="34" t="str">
        <f>Database!P1033</f>
        <v>37.95 mg</v>
      </c>
      <c r="F1018" s="34" t="str">
        <f>Database!Q1033</f>
        <v>10 mM DMSO</v>
      </c>
      <c r="G1018" s="462" t="str">
        <f>Database!R1033</f>
        <v>NC</v>
      </c>
      <c r="H1018" s="35">
        <f>Database!N1033</f>
        <v>43291</v>
      </c>
    </row>
    <row r="1019" spans="1:8" ht="30" x14ac:dyDescent="0.25">
      <c r="A1019" s="225" t="str">
        <f>Database!A1034</f>
        <v>18SAM171</v>
      </c>
      <c r="B1019" s="34" t="str">
        <f>Database!E1034</f>
        <v>Roche</v>
      </c>
      <c r="C1019" s="34" t="str">
        <f>Database!F1034</f>
        <v>18PR0002_B</v>
      </c>
      <c r="D1019" s="34">
        <f>Database!K1034</f>
        <v>372.387</v>
      </c>
      <c r="E1019" s="34" t="str">
        <f>Database!P1034</f>
        <v>30.37 mg</v>
      </c>
      <c r="F1019" s="34" t="str">
        <f>Database!Q1034</f>
        <v>10 mM DMSO</v>
      </c>
      <c r="G1019" s="462" t="str">
        <f>Database!R1034</f>
        <v>NC</v>
      </c>
      <c r="H1019" s="35">
        <f>Database!N1034</f>
        <v>43291</v>
      </c>
    </row>
    <row r="1020" spans="1:8" ht="90" x14ac:dyDescent="0.25">
      <c r="A1020" s="225" t="str">
        <f>Database!A1035</f>
        <v>18SAM172</v>
      </c>
      <c r="B1020" s="34" t="str">
        <f>Database!E1035</f>
        <v>Takeda</v>
      </c>
      <c r="C1020" s="34" t="str">
        <f>Database!F1035</f>
        <v>SYR237041Z</v>
      </c>
      <c r="D1020" s="34">
        <f>Database!K1035</f>
        <v>392.33</v>
      </c>
      <c r="E1020" s="34" t="str">
        <f>Database!P1035</f>
        <v>25.82 mg</v>
      </c>
      <c r="F1020" s="34" t="str">
        <f>Database!Q1035</f>
        <v>SYR237041 Takeda Proposal 56 Compound formulation Infos.xlsx</v>
      </c>
      <c r="G1020" s="462" t="str">
        <f>Database!R1035</f>
        <v>NC</v>
      </c>
      <c r="H1020" s="35">
        <f>Database!N1035</f>
        <v>43291</v>
      </c>
    </row>
    <row r="1021" spans="1:8" ht="90" x14ac:dyDescent="0.25">
      <c r="A1021" s="225" t="str">
        <f>Database!A1036</f>
        <v>18SAM173</v>
      </c>
      <c r="B1021" s="34" t="str">
        <f>Database!E1036</f>
        <v>Takeda</v>
      </c>
      <c r="C1021" s="34" t="str">
        <f>Database!F1036</f>
        <v>SYR237041Z</v>
      </c>
      <c r="D1021" s="34">
        <f>Database!K1036</f>
        <v>392.33</v>
      </c>
      <c r="E1021" s="34" t="str">
        <f>Database!P1036</f>
        <v>25.94 mg</v>
      </c>
      <c r="F1021" s="34" t="str">
        <f>Database!Q1036</f>
        <v>SYR237041 Takeda Proposal 56 Compound formulation Infos.xlsx</v>
      </c>
      <c r="G1021" s="462" t="str">
        <f>Database!R1036</f>
        <v>NC</v>
      </c>
      <c r="H1021" s="35">
        <f>Database!N1036</f>
        <v>43291</v>
      </c>
    </row>
    <row r="1022" spans="1:8" ht="90" x14ac:dyDescent="0.25">
      <c r="A1022" s="225" t="str">
        <f>Database!A1037</f>
        <v>18SAM174</v>
      </c>
      <c r="B1022" s="34" t="str">
        <f>Database!E1037</f>
        <v>Takeda</v>
      </c>
      <c r="C1022" s="34" t="str">
        <f>Database!F1037</f>
        <v>SYR237041Z</v>
      </c>
      <c r="D1022" s="34">
        <f>Database!K1037</f>
        <v>392.33</v>
      </c>
      <c r="E1022" s="34" t="str">
        <f>Database!P1037</f>
        <v>25.44 mg</v>
      </c>
      <c r="F1022" s="34" t="str">
        <f>Database!Q1037</f>
        <v>SYR237041 Takeda Proposal 56 Compound formulation Infos.xlsx</v>
      </c>
      <c r="G1022" s="462" t="str">
        <f>Database!R1037</f>
        <v>NC</v>
      </c>
      <c r="H1022" s="35">
        <f>Database!N1037</f>
        <v>43291</v>
      </c>
    </row>
    <row r="1023" spans="1:8" ht="90" x14ac:dyDescent="0.25">
      <c r="A1023" s="225" t="str">
        <f>Database!A1038</f>
        <v>18SAM175</v>
      </c>
      <c r="B1023" s="34" t="str">
        <f>Database!E1038</f>
        <v>Takeda</v>
      </c>
      <c r="C1023" s="34" t="str">
        <f>Database!F1038</f>
        <v>SYR237041Z</v>
      </c>
      <c r="D1023" s="34">
        <f>Database!K1038</f>
        <v>392.33</v>
      </c>
      <c r="E1023" s="34" t="str">
        <f>Database!P1038</f>
        <v>25.78 mg</v>
      </c>
      <c r="F1023" s="34" t="str">
        <f>Database!Q1038</f>
        <v>SYR237041 Takeda Proposal 56 Compound formulation Infos.xlsx</v>
      </c>
      <c r="G1023" s="462" t="str">
        <f>Database!R1038</f>
        <v>NC</v>
      </c>
      <c r="H1023" s="35">
        <f>Database!N1038</f>
        <v>43291</v>
      </c>
    </row>
    <row r="1024" spans="1:8" ht="45" x14ac:dyDescent="0.25">
      <c r="A1024" s="225" t="str">
        <f>Database!A1039</f>
        <v>18REF176</v>
      </c>
      <c r="B1024" s="34" t="str">
        <f>Database!E1039</f>
        <v>Neuroservice</v>
      </c>
      <c r="C1024" s="34" t="str">
        <f>Database!F1039</f>
        <v>Choline bicarbonate</v>
      </c>
      <c r="D1024" s="34">
        <f>Database!K1039</f>
        <v>165.19</v>
      </c>
      <c r="E1024" s="34" t="str">
        <f>Database!P1039</f>
        <v>250 ml</v>
      </c>
      <c r="F1024" s="34">
        <f>Database!Q1039</f>
        <v>0</v>
      </c>
      <c r="G1024" s="462" t="str">
        <f>Database!R1039</f>
        <v>&gt; 99%</v>
      </c>
      <c r="H1024" s="35">
        <f>Database!N1039</f>
        <v>43291</v>
      </c>
    </row>
    <row r="1025" spans="1:8" ht="60" x14ac:dyDescent="0.25">
      <c r="A1025" s="225" t="str">
        <f>Database!A1040</f>
        <v>18REF177</v>
      </c>
      <c r="B1025" s="34" t="str">
        <f>Database!E1040</f>
        <v>Neuroservice</v>
      </c>
      <c r="C1025" s="34" t="str">
        <f>Database!F1040</f>
        <v>Agarose low gelling temperature</v>
      </c>
      <c r="D1025" s="34" t="str">
        <f>Database!K1040</f>
        <v>-</v>
      </c>
      <c r="E1025" s="34" t="str">
        <f>Database!P1040</f>
        <v>25 g</v>
      </c>
      <c r="F1025" s="34" t="str">
        <f>Database!Q1040</f>
        <v xml:space="preserve">H2O mQ to 100mg/mL </v>
      </c>
      <c r="G1025" s="462" t="str">
        <f>Database!R1040</f>
        <v>-</v>
      </c>
      <c r="H1025" s="35">
        <f>Database!N1040</f>
        <v>43294</v>
      </c>
    </row>
    <row r="1026" spans="1:8" ht="60" x14ac:dyDescent="0.25">
      <c r="A1026" s="225" t="str">
        <f>Database!A1041</f>
        <v>18REF178</v>
      </c>
      <c r="B1026" s="34" t="str">
        <f>Database!E1041</f>
        <v>Neuroservice</v>
      </c>
      <c r="C1026" s="34" t="str">
        <f>Database!F1041</f>
        <v>Agarose low gelling temperature</v>
      </c>
      <c r="D1026" s="34" t="str">
        <f>Database!K1041</f>
        <v>-</v>
      </c>
      <c r="E1026" s="34" t="str">
        <f>Database!P1041</f>
        <v>25 g</v>
      </c>
      <c r="F1026" s="34" t="str">
        <f>Database!Q1041</f>
        <v xml:space="preserve">H2O mQ to 100mg/mL </v>
      </c>
      <c r="G1026" s="462" t="str">
        <f>Database!R1041</f>
        <v>-</v>
      </c>
      <c r="H1026" s="35">
        <f>Database!N1041</f>
        <v>43294</v>
      </c>
    </row>
    <row r="1027" spans="1:8" ht="45" x14ac:dyDescent="0.25">
      <c r="A1027" s="225" t="str">
        <f>Database!A1042</f>
        <v>18REF179</v>
      </c>
      <c r="B1027" s="34" t="str">
        <f>Database!E1042</f>
        <v>Neuroservice</v>
      </c>
      <c r="C1027" s="34" t="str">
        <f>Database!F1042</f>
        <v>Potassium phosphate monobasic</v>
      </c>
      <c r="D1027" s="34">
        <f>Database!K1042</f>
        <v>136.09</v>
      </c>
      <c r="E1027" s="34" t="str">
        <f>Database!P1042</f>
        <v>100 g</v>
      </c>
      <c r="F1027" s="34" t="str">
        <f>Database!Q1042</f>
        <v>100 mg/mL in H2O mQ</v>
      </c>
      <c r="G1027" s="462">
        <f>Database!R1042</f>
        <v>1</v>
      </c>
      <c r="H1027" s="35">
        <f>Database!N1042</f>
        <v>43294</v>
      </c>
    </row>
    <row r="1028" spans="1:8" ht="45" x14ac:dyDescent="0.25">
      <c r="A1028" s="225" t="str">
        <f>Database!A1043</f>
        <v>18REF180</v>
      </c>
      <c r="B1028" s="34" t="str">
        <f>Database!E1043</f>
        <v>Neuroservice</v>
      </c>
      <c r="C1028" s="34" t="str">
        <f>Database!F1043</f>
        <v>Potassium D-gluconate</v>
      </c>
      <c r="D1028" s="34">
        <f>Database!K1043</f>
        <v>234.25</v>
      </c>
      <c r="E1028" s="34" t="str">
        <f>Database!P1043</f>
        <v>100 g</v>
      </c>
      <c r="F1028" s="34" t="str">
        <f>Database!Q1043</f>
        <v>50mg/mL in H2O mQ</v>
      </c>
      <c r="G1028" s="462">
        <f>Database!R1043</f>
        <v>0</v>
      </c>
      <c r="H1028" s="35">
        <f>Database!N1043</f>
        <v>43294</v>
      </c>
    </row>
    <row r="1029" spans="1:8" ht="45" x14ac:dyDescent="0.25">
      <c r="A1029" s="225" t="str">
        <f>Database!A1044</f>
        <v>18REF181</v>
      </c>
      <c r="B1029" s="34" t="str">
        <f>Database!E1044</f>
        <v>Neuroservice</v>
      </c>
      <c r="C1029" s="34" t="str">
        <f>Database!F1044</f>
        <v>N-Methyl-D-glucamine (NMDG)</v>
      </c>
      <c r="D1029" s="34">
        <f>Database!K1044</f>
        <v>195.21</v>
      </c>
      <c r="E1029" s="34" t="str">
        <f>Database!P1044</f>
        <v>500 g</v>
      </c>
      <c r="F1029" s="34">
        <f>Database!Q1044</f>
        <v>0</v>
      </c>
      <c r="G1029" s="462">
        <f>Database!R1044</f>
        <v>0.997</v>
      </c>
      <c r="H1029" s="35">
        <f>Database!N1044</f>
        <v>43294</v>
      </c>
    </row>
    <row r="1030" spans="1:8" ht="45" x14ac:dyDescent="0.25">
      <c r="A1030" s="225" t="str">
        <f>Database!A1045</f>
        <v>18REF182</v>
      </c>
      <c r="B1030" s="34" t="str">
        <f>Database!E1045</f>
        <v>Neuroservice</v>
      </c>
      <c r="C1030" s="34" t="str">
        <f>Database!F1045</f>
        <v>N-Methyl-D-glucamine (NMDG)</v>
      </c>
      <c r="D1030" s="34">
        <f>Database!K1045</f>
        <v>195.21</v>
      </c>
      <c r="E1030" s="34" t="str">
        <f>Database!P1045</f>
        <v>500 g</v>
      </c>
      <c r="F1030" s="34">
        <f>Database!Q1045</f>
        <v>0</v>
      </c>
      <c r="G1030" s="462">
        <f>Database!R1045</f>
        <v>0.997</v>
      </c>
      <c r="H1030" s="35">
        <f>Database!N1045</f>
        <v>43294</v>
      </c>
    </row>
    <row r="1031" spans="1:8" ht="30" x14ac:dyDescent="0.25">
      <c r="A1031" s="225" t="str">
        <f>Database!A1046</f>
        <v>18REF183</v>
      </c>
      <c r="B1031" s="34" t="str">
        <f>Database!E1046</f>
        <v>Neuroservice</v>
      </c>
      <c r="C1031" s="34" t="str">
        <f>Database!F1046</f>
        <v>Sodium L-Ascorbate</v>
      </c>
      <c r="D1031" s="34">
        <f>Database!K1046</f>
        <v>198.11</v>
      </c>
      <c r="E1031" s="34" t="str">
        <f>Database!P1046</f>
        <v>100 g</v>
      </c>
      <c r="F1031" s="34" t="str">
        <f>Database!Q1046</f>
        <v>50mg/mL in H2O mQ</v>
      </c>
      <c r="G1031" s="462">
        <f>Database!R1046</f>
        <v>1</v>
      </c>
      <c r="H1031" s="35">
        <f>Database!N1046</f>
        <v>43294</v>
      </c>
    </row>
    <row r="1032" spans="1:8" ht="30" x14ac:dyDescent="0.25">
      <c r="A1032" s="225" t="str">
        <f>Database!A1047</f>
        <v>18REF184</v>
      </c>
      <c r="B1032" s="34" t="str">
        <f>Database!E1047</f>
        <v>Neuroservice</v>
      </c>
      <c r="C1032" s="34" t="str">
        <f>Database!F1047</f>
        <v>Sodium L-Ascorbate</v>
      </c>
      <c r="D1032" s="34">
        <f>Database!K1047</f>
        <v>198.11</v>
      </c>
      <c r="E1032" s="34" t="str">
        <f>Database!P1047</f>
        <v>100 g</v>
      </c>
      <c r="F1032" s="34" t="str">
        <f>Database!Q1047</f>
        <v>50mg/mL in H2O mQ</v>
      </c>
      <c r="G1032" s="462">
        <f>Database!R1047</f>
        <v>1</v>
      </c>
      <c r="H1032" s="35">
        <f>Database!N1047</f>
        <v>43294</v>
      </c>
    </row>
    <row r="1033" spans="1:8" ht="30" x14ac:dyDescent="0.25">
      <c r="A1033" s="225" t="str">
        <f>Database!A1048</f>
        <v>18REF185</v>
      </c>
      <c r="B1033" s="34" t="str">
        <f>Database!E1048</f>
        <v>Neuroservice</v>
      </c>
      <c r="C1033" s="34" t="str">
        <f>Database!F1048</f>
        <v>Tween 80</v>
      </c>
      <c r="D1033" s="34" t="str">
        <f>Database!K1048</f>
        <v>-</v>
      </c>
      <c r="E1033" s="34" t="str">
        <f>Database!P1048</f>
        <v>500 mL</v>
      </c>
      <c r="F1033" s="34" t="str">
        <f>Database!Q1048</f>
        <v>1 mL in 10 mL H2O</v>
      </c>
      <c r="G1033" s="462" t="str">
        <f>Database!R1048</f>
        <v>-</v>
      </c>
      <c r="H1033" s="35">
        <f>Database!N1048</f>
        <v>43294</v>
      </c>
    </row>
    <row r="1034" spans="1:8" ht="30" x14ac:dyDescent="0.25">
      <c r="A1034" s="225" t="str">
        <f>Database!A1049</f>
        <v>18REF186</v>
      </c>
      <c r="B1034" s="34" t="str">
        <f>Database!E1049</f>
        <v>Neuroservice</v>
      </c>
      <c r="C1034" s="34" t="str">
        <f>Database!F1049</f>
        <v>Cremophor EL</v>
      </c>
      <c r="D1034" s="34" t="str">
        <f>Database!K1049</f>
        <v>-</v>
      </c>
      <c r="E1034" s="34" t="str">
        <f>Database!P1049</f>
        <v>500 g</v>
      </c>
      <c r="F1034" s="34">
        <f>Database!Q1049</f>
        <v>0</v>
      </c>
      <c r="G1034" s="462" t="str">
        <f>Database!R1049</f>
        <v>-</v>
      </c>
      <c r="H1034" s="35">
        <f>Database!N1049</f>
        <v>43294</v>
      </c>
    </row>
    <row r="1035" spans="1:8" ht="60" x14ac:dyDescent="0.25">
      <c r="A1035" s="225" t="str">
        <f>Database!A1050</f>
        <v>18REF187</v>
      </c>
      <c r="B1035" s="34" t="str">
        <f>Database!E1050</f>
        <v>Neuroservice</v>
      </c>
      <c r="C1035" s="34" t="str">
        <f>Database!F1050</f>
        <v>N-Acetyl-L-Cysteine (NAC)</v>
      </c>
      <c r="D1035" s="34">
        <f>Database!K1050</f>
        <v>163.19</v>
      </c>
      <c r="E1035" s="34" t="str">
        <f>Database!P1050</f>
        <v>50 g</v>
      </c>
      <c r="F1035" s="34" t="str">
        <f>Database!Q1050</f>
        <v>H2O mQ to 100mg/mL (with heating)</v>
      </c>
      <c r="G1035" s="462">
        <f>Database!R1050</f>
        <v>1</v>
      </c>
      <c r="H1035" s="35">
        <f>Database!N1050</f>
        <v>43294</v>
      </c>
    </row>
    <row r="1036" spans="1:8" ht="60" x14ac:dyDescent="0.25">
      <c r="A1036" s="225" t="str">
        <f>Database!A1051</f>
        <v>18REF188</v>
      </c>
      <c r="B1036" s="34" t="str">
        <f>Database!E1051</f>
        <v>Neuroservice</v>
      </c>
      <c r="C1036" s="34" t="str">
        <f>Database!F1051</f>
        <v>N-Acetyl-L-Cysteine (NAC)</v>
      </c>
      <c r="D1036" s="34">
        <f>Database!K1051</f>
        <v>163.19</v>
      </c>
      <c r="E1036" s="34" t="str">
        <f>Database!P1051</f>
        <v>50 g</v>
      </c>
      <c r="F1036" s="34" t="str">
        <f>Database!Q1051</f>
        <v>H2O mQ to 100mg/mL (with heating)</v>
      </c>
      <c r="G1036" s="462">
        <f>Database!R1051</f>
        <v>1</v>
      </c>
      <c r="H1036" s="35">
        <f>Database!N1051</f>
        <v>43294</v>
      </c>
    </row>
    <row r="1037" spans="1:8" ht="60" x14ac:dyDescent="0.25">
      <c r="A1037" s="225" t="str">
        <f>Database!A1052</f>
        <v>18REF189</v>
      </c>
      <c r="B1037" s="34" t="str">
        <f>Database!E1052</f>
        <v>Neuroservice</v>
      </c>
      <c r="C1037" s="34" t="str">
        <f>Database!F1052</f>
        <v>Bicuculline methiodide</v>
      </c>
      <c r="D1037" s="34">
        <f>Database!K1052</f>
        <v>509.3</v>
      </c>
      <c r="E1037" s="34" t="str">
        <f>Database!P1052</f>
        <v>50 mg</v>
      </c>
      <c r="F1037" s="34" t="str">
        <f>Database!Q1052</f>
        <v>20 mM in H2O mQ or 50 mM in DMSO</v>
      </c>
      <c r="G1037" s="462">
        <f>Database!R1052</f>
        <v>0.99199999999999999</v>
      </c>
      <c r="H1037" s="35">
        <f>Database!N1052</f>
        <v>43297</v>
      </c>
    </row>
    <row r="1038" spans="1:8" ht="60" x14ac:dyDescent="0.25">
      <c r="A1038" s="225" t="str">
        <f>Database!A1053</f>
        <v>18REF190</v>
      </c>
      <c r="B1038" s="34" t="str">
        <f>Database!E1053</f>
        <v>Neuroservice</v>
      </c>
      <c r="C1038" s="34" t="str">
        <f>Database!F1053</f>
        <v>Bicuculline methiodide</v>
      </c>
      <c r="D1038" s="34">
        <f>Database!K1053</f>
        <v>509.3</v>
      </c>
      <c r="E1038" s="34" t="str">
        <f>Database!P1053</f>
        <v>50 mg</v>
      </c>
      <c r="F1038" s="34" t="str">
        <f>Database!Q1053</f>
        <v>20 mM in H2O mQ or 50 mM in DMSO</v>
      </c>
      <c r="G1038" s="462">
        <f>Database!R1053</f>
        <v>0.99199999999999999</v>
      </c>
      <c r="H1038" s="35">
        <f>Database!N1053</f>
        <v>43297</v>
      </c>
    </row>
    <row r="1039" spans="1:8" ht="60" x14ac:dyDescent="0.25">
      <c r="A1039" s="225" t="str">
        <f>Database!A1054</f>
        <v>18REF191</v>
      </c>
      <c r="B1039" s="34" t="str">
        <f>Database!E1054</f>
        <v>Neuroservice</v>
      </c>
      <c r="C1039" s="34" t="str">
        <f>Database!F1054</f>
        <v>Bicuculline methiodide</v>
      </c>
      <c r="D1039" s="34">
        <f>Database!K1054</f>
        <v>509.3</v>
      </c>
      <c r="E1039" s="34" t="str">
        <f>Database!P1054</f>
        <v>50 mg</v>
      </c>
      <c r="F1039" s="34" t="str">
        <f>Database!Q1054</f>
        <v>20 mM in H2O mQ or 50 mM in DMSO</v>
      </c>
      <c r="G1039" s="462">
        <f>Database!R1054</f>
        <v>0.99199999999999999</v>
      </c>
      <c r="H1039" s="35">
        <f>Database!N1054</f>
        <v>43297</v>
      </c>
    </row>
    <row r="1040" spans="1:8" ht="45" x14ac:dyDescent="0.25">
      <c r="A1040" s="225" t="str">
        <f>Database!A1055</f>
        <v>18REF192</v>
      </c>
      <c r="B1040" s="34" t="str">
        <f>Database!E1055</f>
        <v>Neuroservice</v>
      </c>
      <c r="C1040" s="34" t="str">
        <f>Database!F1055</f>
        <v>CNQX disodium salt</v>
      </c>
      <c r="D1040" s="34">
        <f>Database!K1055</f>
        <v>276.12</v>
      </c>
      <c r="E1040" s="34" t="str">
        <f>Database!P1055</f>
        <v>50 mg</v>
      </c>
      <c r="F1040" s="34" t="str">
        <f>Database!Q1055</f>
        <v>20 mM in H2O Mq</v>
      </c>
      <c r="G1040" s="462">
        <f>Database!R1055</f>
        <v>1</v>
      </c>
      <c r="H1040" s="35">
        <f>Database!N1055</f>
        <v>43297</v>
      </c>
    </row>
    <row r="1041" spans="1:8" ht="45" x14ac:dyDescent="0.25">
      <c r="A1041" s="225" t="str">
        <f>Database!A1056</f>
        <v>18REF193</v>
      </c>
      <c r="B1041" s="34" t="str">
        <f>Database!E1056</f>
        <v>Neuroservice</v>
      </c>
      <c r="C1041" s="34" t="str">
        <f>Database!F1056</f>
        <v>CNQX disodium salt</v>
      </c>
      <c r="D1041" s="34">
        <f>Database!K1056</f>
        <v>276.12</v>
      </c>
      <c r="E1041" s="34" t="str">
        <f>Database!P1056</f>
        <v>50 mg</v>
      </c>
      <c r="F1041" s="34" t="str">
        <f>Database!Q1056</f>
        <v>20 mM in H2O Mq</v>
      </c>
      <c r="G1041" s="462">
        <f>Database!R1056</f>
        <v>1</v>
      </c>
      <c r="H1041" s="35">
        <f>Database!N1056</f>
        <v>43297</v>
      </c>
    </row>
    <row r="1042" spans="1:8" ht="45" x14ac:dyDescent="0.25">
      <c r="A1042" s="225" t="str">
        <f>Database!A1057</f>
        <v>18REF194</v>
      </c>
      <c r="B1042" s="34" t="str">
        <f>Database!E1057</f>
        <v>Neuroservice</v>
      </c>
      <c r="C1042" s="34" t="str">
        <f>Database!F1057</f>
        <v>NBQX</v>
      </c>
      <c r="D1042" s="34">
        <f>Database!K1057</f>
        <v>336.28</v>
      </c>
      <c r="E1042" s="34" t="str">
        <f>Database!P1057</f>
        <v>50 mg</v>
      </c>
      <c r="F1042" s="34" t="str">
        <f>Database!Q1057</f>
        <v>up to 100 mM in DMSO</v>
      </c>
      <c r="G1042" s="462">
        <f>Database!R1057</f>
        <v>0.99</v>
      </c>
      <c r="H1042" s="35">
        <f>Database!N1057</f>
        <v>43297</v>
      </c>
    </row>
    <row r="1043" spans="1:8" ht="45" x14ac:dyDescent="0.25">
      <c r="A1043" s="225" t="str">
        <f>Database!A1058</f>
        <v>18REF195</v>
      </c>
      <c r="B1043" s="34" t="str">
        <f>Database!E1058</f>
        <v>Neuroservice</v>
      </c>
      <c r="C1043" s="34" t="str">
        <f>Database!F1058</f>
        <v>NBQX</v>
      </c>
      <c r="D1043" s="34">
        <f>Database!K1058</f>
        <v>336.28</v>
      </c>
      <c r="E1043" s="34" t="str">
        <f>Database!P1058</f>
        <v>50 mg</v>
      </c>
      <c r="F1043" s="34" t="str">
        <f>Database!Q1058</f>
        <v>up to 100 mM in DMSO</v>
      </c>
      <c r="G1043" s="462">
        <f>Database!R1058</f>
        <v>0.99</v>
      </c>
      <c r="H1043" s="35">
        <f>Database!N1058</f>
        <v>43297</v>
      </c>
    </row>
    <row r="1044" spans="1:8" ht="45" x14ac:dyDescent="0.25">
      <c r="A1044" s="225" t="str">
        <f>Database!A1059</f>
        <v>18REF196</v>
      </c>
      <c r="B1044" s="34" t="str">
        <f>Database!E1059</f>
        <v>Neuroservice</v>
      </c>
      <c r="C1044" s="34" t="str">
        <f>Database!F1059</f>
        <v>NBQX</v>
      </c>
      <c r="D1044" s="34">
        <f>Database!K1059</f>
        <v>336.28</v>
      </c>
      <c r="E1044" s="34" t="str">
        <f>Database!P1059</f>
        <v>50 mg</v>
      </c>
      <c r="F1044" s="34" t="str">
        <f>Database!Q1059</f>
        <v>up to 100 mM in DMSO</v>
      </c>
      <c r="G1044" s="462">
        <f>Database!R1059</f>
        <v>0.99</v>
      </c>
      <c r="H1044" s="35">
        <f>Database!N1059</f>
        <v>43297</v>
      </c>
    </row>
    <row r="1045" spans="1:8" ht="23.25" x14ac:dyDescent="0.25">
      <c r="A1045" s="225" t="str">
        <f>Database!A1060</f>
        <v>18SAM197</v>
      </c>
      <c r="B1045" s="34" t="str">
        <f>Database!E1060</f>
        <v>Takeda</v>
      </c>
      <c r="C1045" s="34" t="str">
        <f>Database!F1060</f>
        <v>SYR300375K</v>
      </c>
      <c r="D1045" s="34">
        <f>Database!K1060</f>
        <v>516.97400000000005</v>
      </c>
      <c r="E1045" s="34" t="str">
        <f>Database!P1060</f>
        <v>75 mg</v>
      </c>
      <c r="F1045" s="34" t="str">
        <f>Database!Q1060</f>
        <v>H2O mQ</v>
      </c>
      <c r="G1045" s="462" t="str">
        <f>Database!R1060</f>
        <v>NC</v>
      </c>
      <c r="H1045" s="35">
        <f>Database!N1060</f>
        <v>43298</v>
      </c>
    </row>
    <row r="1046" spans="1:8" ht="30" x14ac:dyDescent="0.25">
      <c r="A1046" s="225" t="str">
        <f>Database!A1061</f>
        <v>18SAM198</v>
      </c>
      <c r="B1046" s="34" t="str">
        <f>Database!E1061</f>
        <v>Takeda</v>
      </c>
      <c r="C1046" s="34" t="str">
        <f>Database!F1061</f>
        <v>SYR353593Z</v>
      </c>
      <c r="D1046" s="34">
        <f>Database!K1061</f>
        <v>298.30900000000003</v>
      </c>
      <c r="E1046" s="34" t="str">
        <f>Database!P1061</f>
        <v>70.2 mg</v>
      </c>
      <c r="F1046" s="34" t="str">
        <f>Database!Q1061</f>
        <v>DMSO, Water</v>
      </c>
      <c r="G1046" s="462" t="str">
        <f>Database!R1061</f>
        <v>NC</v>
      </c>
      <c r="H1046" s="35">
        <f>Database!N1061</f>
        <v>43298</v>
      </c>
    </row>
    <row r="1047" spans="1:8" ht="60" x14ac:dyDescent="0.25">
      <c r="A1047" s="225" t="str">
        <f>Database!A1062</f>
        <v>18SAM199</v>
      </c>
      <c r="B1047" s="34" t="str">
        <f>Database!E1062</f>
        <v>Sage</v>
      </c>
      <c r="C1047" s="34" t="str">
        <f>Database!F1062</f>
        <v>SGE-02817-02-A</v>
      </c>
      <c r="D1047" s="34">
        <f>Database!K1062</f>
        <v>526.76</v>
      </c>
      <c r="E1047" s="34" t="str">
        <f>Database!P1062</f>
        <v>12.1 mg</v>
      </c>
      <c r="F1047" s="34" t="str">
        <f>Database!Q1062</f>
        <v>10 mM in DMSO &amp; 0.01% cremophor</v>
      </c>
      <c r="G1047" s="462" t="str">
        <f>Database!R1062</f>
        <v>NC</v>
      </c>
      <c r="H1047" s="35">
        <f>Database!N1062</f>
        <v>43299</v>
      </c>
    </row>
    <row r="1048" spans="1:8" ht="60" x14ac:dyDescent="0.25">
      <c r="A1048" s="225" t="str">
        <f>Database!A1063</f>
        <v>18SAM200</v>
      </c>
      <c r="B1048" s="34" t="str">
        <f>Database!E1063</f>
        <v>Sage</v>
      </c>
      <c r="C1048" s="34" t="str">
        <f>Database!F1063</f>
        <v>SGE-03152-03-A</v>
      </c>
      <c r="D1048" s="34">
        <f>Database!K1063</f>
        <v>428.57</v>
      </c>
      <c r="E1048" s="34" t="str">
        <f>Database!P1063</f>
        <v>12.1 mg</v>
      </c>
      <c r="F1048" s="34" t="str">
        <f>Database!Q1063</f>
        <v>10 mM in DMSO &amp; 0.01% cremophor</v>
      </c>
      <c r="G1048" s="462" t="str">
        <f>Database!R1063</f>
        <v>NC</v>
      </c>
      <c r="H1048" s="35">
        <f>Database!N1063</f>
        <v>43299</v>
      </c>
    </row>
    <row r="1049" spans="1:8" ht="75" x14ac:dyDescent="0.25">
      <c r="A1049" s="225" t="str">
        <f>Database!A1064</f>
        <v>18REF201</v>
      </c>
      <c r="B1049" s="34" t="str">
        <f>Database!E1064</f>
        <v>Neuroservice</v>
      </c>
      <c r="C1049" s="34" t="str">
        <f>Database!F1064</f>
        <v>D2HG (D-α-Hydroxyglutaric acid disodium salt)</v>
      </c>
      <c r="D1049" s="34">
        <f>Database!K1064</f>
        <v>192.08</v>
      </c>
      <c r="E1049" s="34" t="str">
        <f>Database!P1064</f>
        <v>100 mg</v>
      </c>
      <c r="F1049" s="34" t="str">
        <f>Database!Q1064</f>
        <v>50mg/mL in H2O mQ</v>
      </c>
      <c r="G1049" s="462">
        <f>Database!R1064</f>
        <v>0.98</v>
      </c>
      <c r="H1049" s="35">
        <f>Database!N1064</f>
        <v>43298</v>
      </c>
    </row>
    <row r="1050" spans="1:8" ht="75" x14ac:dyDescent="0.25">
      <c r="A1050" s="225" t="str">
        <f>Database!A1065</f>
        <v>18REF202</v>
      </c>
      <c r="B1050" s="34" t="str">
        <f>Database!E1065</f>
        <v>Neuroservice</v>
      </c>
      <c r="C1050" s="34" t="str">
        <f>Database!F1065</f>
        <v>D2HG (D-α-Hydroxyglutaric acid disodium salt)</v>
      </c>
      <c r="D1050" s="34">
        <f>Database!K1065</f>
        <v>192.08</v>
      </c>
      <c r="E1050" s="34" t="str">
        <f>Database!P1065</f>
        <v>100 mg</v>
      </c>
      <c r="F1050" s="34" t="str">
        <f>Database!Q1065</f>
        <v>50mg/mL in H2O mQ</v>
      </c>
      <c r="G1050" s="462">
        <f>Database!R1065</f>
        <v>0.98</v>
      </c>
      <c r="H1050" s="35">
        <f>Database!N1065</f>
        <v>43298</v>
      </c>
    </row>
    <row r="1051" spans="1:8" ht="75" x14ac:dyDescent="0.25">
      <c r="A1051" s="225" t="str">
        <f>Database!A1066</f>
        <v>18REF203</v>
      </c>
      <c r="B1051" s="34" t="str">
        <f>Database!E1066</f>
        <v>Neuroservice</v>
      </c>
      <c r="C1051" s="34" t="str">
        <f>Database!F1066</f>
        <v>D2HG (D-α-Hydroxyglutaric acid disodium salt)</v>
      </c>
      <c r="D1051" s="34">
        <f>Database!K1066</f>
        <v>192.08</v>
      </c>
      <c r="E1051" s="34" t="str">
        <f>Database!P1066</f>
        <v>100 mg</v>
      </c>
      <c r="F1051" s="34" t="str">
        <f>Database!Q1066</f>
        <v>50mg/mL in H2O mQ</v>
      </c>
      <c r="G1051" s="462">
        <f>Database!R1066</f>
        <v>0.98</v>
      </c>
      <c r="H1051" s="35">
        <f>Database!N1066</f>
        <v>43298</v>
      </c>
    </row>
    <row r="1052" spans="1:8" ht="75" x14ac:dyDescent="0.25">
      <c r="A1052" s="225" t="str">
        <f>Database!A1067</f>
        <v>18REF204</v>
      </c>
      <c r="B1052" s="34" t="str">
        <f>Database!E1067</f>
        <v>Neuroservice</v>
      </c>
      <c r="C1052" s="34" t="str">
        <f>Database!F1067</f>
        <v>D2HG (D-α-Hydroxyglutaric acid disodium salt)</v>
      </c>
      <c r="D1052" s="34">
        <f>Database!K1067</f>
        <v>192.08</v>
      </c>
      <c r="E1052" s="34" t="str">
        <f>Database!P1067</f>
        <v>100 mg</v>
      </c>
      <c r="F1052" s="34" t="str">
        <f>Database!Q1067</f>
        <v>50mg/mL in H2O mQ</v>
      </c>
      <c r="G1052" s="462">
        <f>Database!R1067</f>
        <v>0.97</v>
      </c>
      <c r="H1052" s="35">
        <f>Database!N1067</f>
        <v>43298</v>
      </c>
    </row>
    <row r="1053" spans="1:8" ht="30" x14ac:dyDescent="0.25">
      <c r="A1053" s="225" t="str">
        <f>Database!A1068</f>
        <v>18REF205</v>
      </c>
      <c r="B1053" s="34" t="str">
        <f>Database!E1068</f>
        <v>Neuroservice</v>
      </c>
      <c r="C1053" s="34" t="str">
        <f>Database!F1068</f>
        <v>Kynurenic acid</v>
      </c>
      <c r="D1053" s="34">
        <f>Database!K1068</f>
        <v>189.17</v>
      </c>
      <c r="E1053" s="34" t="str">
        <f>Database!P1068</f>
        <v>5 g</v>
      </c>
      <c r="F1053" s="34" t="str">
        <f>Database!Q1068</f>
        <v>50 mg/mL in H2O mQ</v>
      </c>
      <c r="G1053" s="462">
        <f>Database!R1068</f>
        <v>1</v>
      </c>
      <c r="H1053" s="35">
        <f>Database!N1068</f>
        <v>43297</v>
      </c>
    </row>
    <row r="1054" spans="1:8" ht="30" x14ac:dyDescent="0.25">
      <c r="A1054" s="225" t="str">
        <f>Database!A1069</f>
        <v>18REF206</v>
      </c>
      <c r="B1054" s="34" t="str">
        <f>Database!E1069</f>
        <v>Neuroservice</v>
      </c>
      <c r="C1054" s="34" t="str">
        <f>Database!F1069</f>
        <v>Kynurenic acid</v>
      </c>
      <c r="D1054" s="34">
        <f>Database!K1069</f>
        <v>189.17</v>
      </c>
      <c r="E1054" s="34" t="str">
        <f>Database!P1069</f>
        <v>5 g</v>
      </c>
      <c r="F1054" s="34" t="str">
        <f>Database!Q1069</f>
        <v>50 mg/mL in H2O mQ</v>
      </c>
      <c r="G1054" s="462">
        <f>Database!R1069</f>
        <v>1</v>
      </c>
      <c r="H1054" s="35">
        <f>Database!N1069</f>
        <v>43297</v>
      </c>
    </row>
    <row r="1055" spans="1:8" ht="30" x14ac:dyDescent="0.25">
      <c r="A1055" s="225" t="str">
        <f>Database!A1070</f>
        <v>18REF207</v>
      </c>
      <c r="B1055" s="34" t="str">
        <f>Database!E1070</f>
        <v>Neuroservice</v>
      </c>
      <c r="C1055" s="34" t="str">
        <f>Database!F1070</f>
        <v>Kynurenic acid</v>
      </c>
      <c r="D1055" s="34">
        <f>Database!K1070</f>
        <v>189.17</v>
      </c>
      <c r="E1055" s="34" t="str">
        <f>Database!P1070</f>
        <v>5 g</v>
      </c>
      <c r="F1055" s="34" t="str">
        <f>Database!Q1070</f>
        <v>50 mg/mL in H2O mQ</v>
      </c>
      <c r="G1055" s="462">
        <f>Database!R1070</f>
        <v>1</v>
      </c>
      <c r="H1055" s="35">
        <f>Database!N1070</f>
        <v>43297</v>
      </c>
    </row>
    <row r="1056" spans="1:8" ht="30" x14ac:dyDescent="0.25">
      <c r="A1056" s="225" t="str">
        <f>Database!A1071</f>
        <v>18SAM208</v>
      </c>
      <c r="B1056" s="34" t="str">
        <f>Database!E1071</f>
        <v>Roche</v>
      </c>
      <c r="C1056" s="34" t="str">
        <f>Database!F1071</f>
        <v>BID_514111</v>
      </c>
      <c r="D1056" s="34">
        <f>Database!K1071</f>
        <v>469.7</v>
      </c>
      <c r="E1056" s="34" t="str">
        <f>Database!P1071</f>
        <v>10.92 mg</v>
      </c>
      <c r="F1056" s="34" t="str">
        <f>Database!Q1071</f>
        <v>10 mM DMSO</v>
      </c>
      <c r="G1056" s="462">
        <f>Database!R1071</f>
        <v>1</v>
      </c>
      <c r="H1056" s="35">
        <f>Database!N1071</f>
        <v>43308</v>
      </c>
    </row>
    <row r="1057" spans="1:8" ht="30" x14ac:dyDescent="0.25">
      <c r="A1057" s="225" t="str">
        <f>Database!A1072</f>
        <v>18SAM209</v>
      </c>
      <c r="B1057" s="34" t="str">
        <f>Database!E1072</f>
        <v>Takeda</v>
      </c>
      <c r="C1057" s="34" t="str">
        <f>Database!F1072</f>
        <v>SYR301234Z</v>
      </c>
      <c r="D1057" s="34">
        <f>Database!K1072</f>
        <v>413.42</v>
      </c>
      <c r="E1057" s="34" t="str">
        <f>Database!P1072</f>
        <v>11 mg</v>
      </c>
      <c r="F1057" s="34" t="str">
        <f>Database!Q1072</f>
        <v>10 mM DMSO</v>
      </c>
      <c r="G1057" s="462">
        <f>Database!R1072</f>
        <v>1</v>
      </c>
      <c r="H1057" s="35">
        <f>Database!N1072</f>
        <v>43311</v>
      </c>
    </row>
    <row r="1058" spans="1:8" ht="30" x14ac:dyDescent="0.25">
      <c r="A1058" s="225" t="str">
        <f>Database!A1073</f>
        <v>18SAM210</v>
      </c>
      <c r="B1058" s="34" t="str">
        <f>Database!E1073</f>
        <v>Takeda</v>
      </c>
      <c r="C1058" s="34" t="str">
        <f>Database!F1073</f>
        <v>SYR237041Z</v>
      </c>
      <c r="D1058" s="34">
        <f>Database!K1073</f>
        <v>392.33</v>
      </c>
      <c r="E1058" s="34" t="str">
        <f>Database!P1073</f>
        <v>10.11 mg</v>
      </c>
      <c r="F1058" s="34" t="str">
        <f>Database!Q1073</f>
        <v>10 mM DMSO</v>
      </c>
      <c r="G1058" s="462">
        <f>Database!R1073</f>
        <v>1</v>
      </c>
      <c r="H1058" s="35">
        <f>Database!N1073</f>
        <v>43311</v>
      </c>
    </row>
    <row r="1059" spans="1:8" ht="60" x14ac:dyDescent="0.25">
      <c r="A1059" s="225" t="str">
        <f>Database!A1074</f>
        <v>18REF211</v>
      </c>
      <c r="B1059" s="34" t="str">
        <f>Database!E1074</f>
        <v>Neuroservice</v>
      </c>
      <c r="C1059" s="34" t="str">
        <f>Database!F1074</f>
        <v>Flumazenil</v>
      </c>
      <c r="D1059" s="34">
        <f>Database!K1074</f>
        <v>303.29000000000002</v>
      </c>
      <c r="E1059" s="34" t="str">
        <f>Database!P1074</f>
        <v>10 mg</v>
      </c>
      <c r="F1059" s="34" t="str">
        <f>Database!Q1074</f>
        <v>25 mM DMSO (with warming)</v>
      </c>
      <c r="G1059" s="462">
        <f>Database!R1074</f>
        <v>1</v>
      </c>
      <c r="H1059" s="35">
        <f>Database!N1074</f>
        <v>43313</v>
      </c>
    </row>
    <row r="1060" spans="1:8" ht="30" x14ac:dyDescent="0.25">
      <c r="A1060" s="225" t="str">
        <f>Database!A1075</f>
        <v>18REF212</v>
      </c>
      <c r="B1060" s="34" t="str">
        <f>Database!E1075</f>
        <v>Neuroservice</v>
      </c>
      <c r="C1060" s="34" t="str">
        <f>Database!F1075</f>
        <v>Cesium chloride</v>
      </c>
      <c r="D1060" s="34">
        <f>Database!K1075</f>
        <v>168.36</v>
      </c>
      <c r="E1060" s="34" t="str">
        <f>Database!P1075</f>
        <v>25 g</v>
      </c>
      <c r="F1060" s="34" t="str">
        <f>Database!Q1075</f>
        <v>up to 1860 g/l</v>
      </c>
      <c r="G1060" s="462">
        <f>Database!R1075</f>
        <v>0.999</v>
      </c>
      <c r="H1060" s="35">
        <f>Database!N1075</f>
        <v>43320</v>
      </c>
    </row>
    <row r="1061" spans="1:8" ht="45" x14ac:dyDescent="0.25">
      <c r="A1061" s="225" t="str">
        <f>Database!A1076</f>
        <v>18REF213</v>
      </c>
      <c r="B1061" s="34" t="str">
        <f>Database!E1076</f>
        <v>Neuroservice</v>
      </c>
      <c r="C1061" s="34" t="str">
        <f>Database!F1076</f>
        <v>XE-991 dihydrochloride</v>
      </c>
      <c r="D1061" s="34">
        <f>Database!K1076</f>
        <v>449.4</v>
      </c>
      <c r="E1061" s="34" t="str">
        <f>Database!P1076</f>
        <v>10 mg</v>
      </c>
      <c r="F1061" s="34" t="str">
        <f>Database!Q1076</f>
        <v>100 mM in H2O mQ</v>
      </c>
      <c r="G1061" s="462">
        <f>Database!R1076</f>
        <v>1</v>
      </c>
      <c r="H1061" s="35">
        <f>Database!N1076</f>
        <v>43321</v>
      </c>
    </row>
    <row r="1062" spans="1:8" ht="23.25" x14ac:dyDescent="0.25">
      <c r="A1062" s="225" t="str">
        <f>Database!A1077</f>
        <v>18SAM214</v>
      </c>
      <c r="B1062" s="34" t="str">
        <f>Database!E1077</f>
        <v>Takeda</v>
      </c>
      <c r="C1062" s="34" t="str">
        <f>Database!F1077</f>
        <v>SYR300375K</v>
      </c>
      <c r="D1062" s="34">
        <f>Database!K1077</f>
        <v>516.97400000000005</v>
      </c>
      <c r="E1062" s="34" t="str">
        <f>Database!P1077</f>
        <v>85 mg</v>
      </c>
      <c r="F1062" s="34" t="str">
        <f>Database!Q1077</f>
        <v>H2O</v>
      </c>
      <c r="G1062" s="462" t="str">
        <f>Database!R1077</f>
        <v>NC</v>
      </c>
      <c r="H1062" s="35">
        <f>Database!N1077</f>
        <v>43325</v>
      </c>
    </row>
    <row r="1063" spans="1:8" ht="45" x14ac:dyDescent="0.25">
      <c r="A1063" s="225" t="str">
        <f>Database!A1078</f>
        <v>18REF215</v>
      </c>
      <c r="B1063" s="34" t="str">
        <f>Database!E1078</f>
        <v>Neuroservice</v>
      </c>
      <c r="C1063" s="34" t="str">
        <f>Database!F1078</f>
        <v>Interleukin 1 beta (rrIL-1β)</v>
      </c>
      <c r="D1063" s="34">
        <f>Database!K1078</f>
        <v>17000</v>
      </c>
      <c r="E1063" s="34" t="str">
        <f>Database!P1078</f>
        <v>50 µg</v>
      </c>
      <c r="F1063" s="34" t="str">
        <f>Database!Q1078</f>
        <v>100 µg/ml in PBS</v>
      </c>
      <c r="G1063" s="462" t="str">
        <f>Database!R1078</f>
        <v>&gt;97%</v>
      </c>
      <c r="H1063" s="35">
        <f>Database!N1078</f>
        <v>43328</v>
      </c>
    </row>
    <row r="1064" spans="1:8" ht="45" x14ac:dyDescent="0.25">
      <c r="A1064" s="225" t="str">
        <f>Database!A1079</f>
        <v>18REF216</v>
      </c>
      <c r="B1064" s="34" t="str">
        <f>Database!E1079</f>
        <v>Neuroservice</v>
      </c>
      <c r="C1064" s="34" t="str">
        <f>Database!F1079</f>
        <v>Interleukin 1 beta (rrIL-1β)</v>
      </c>
      <c r="D1064" s="34">
        <f>Database!K1079</f>
        <v>17000</v>
      </c>
      <c r="E1064" s="34" t="str">
        <f>Database!P1079</f>
        <v>50 µg</v>
      </c>
      <c r="F1064" s="34" t="str">
        <f>Database!Q1079</f>
        <v>100 µg/ml in PBS</v>
      </c>
      <c r="G1064" s="462" t="str">
        <f>Database!R1079</f>
        <v>&gt;97%</v>
      </c>
      <c r="H1064" s="35">
        <f>Database!N1079</f>
        <v>43328</v>
      </c>
    </row>
    <row r="1065" spans="1:8" ht="30" x14ac:dyDescent="0.25">
      <c r="A1065" s="225" t="str">
        <f>Database!A1080</f>
        <v>18REF217</v>
      </c>
      <c r="B1065" s="34" t="str">
        <f>Database!E1080</f>
        <v>Neuroservice</v>
      </c>
      <c r="C1065" s="34" t="str">
        <f>Database!F1080</f>
        <v>Diazepam</v>
      </c>
      <c r="D1065" s="34">
        <f>Database!K1080</f>
        <v>284.74</v>
      </c>
      <c r="E1065" s="34" t="str">
        <f>Database!P1080</f>
        <v>100 mg</v>
      </c>
      <c r="F1065" s="34" t="str">
        <f>Database!Q1080</f>
        <v>H2O</v>
      </c>
      <c r="G1065" s="462" t="str">
        <f>Database!R1080</f>
        <v>NC</v>
      </c>
      <c r="H1065" s="35">
        <f>Database!N1080</f>
        <v>43329</v>
      </c>
    </row>
    <row r="1066" spans="1:8" ht="60" x14ac:dyDescent="0.25">
      <c r="A1066" s="225" t="str">
        <f>Database!A1081</f>
        <v>18REF218</v>
      </c>
      <c r="B1066" s="34" t="str">
        <f>Database!E1081</f>
        <v>Neuroservice</v>
      </c>
      <c r="C1066" s="34" t="str">
        <f>Database!F1081</f>
        <v>Poly-D-Lysine Hydrobromide</v>
      </c>
      <c r="D1066" s="34" t="str">
        <f>Database!K1081</f>
        <v>-</v>
      </c>
      <c r="E1066" s="34" t="str">
        <f>Database!P1081</f>
        <v>5 mg</v>
      </c>
      <c r="F1066" s="34">
        <f>Database!Q1081</f>
        <v>0</v>
      </c>
      <c r="G1066" s="462">
        <f>Database!R1081</f>
        <v>0</v>
      </c>
      <c r="H1066" s="35">
        <f>Database!N1081</f>
        <v>43333</v>
      </c>
    </row>
    <row r="1067" spans="1:8" ht="45" x14ac:dyDescent="0.25">
      <c r="A1067" s="225" t="str">
        <f>Database!A1082</f>
        <v>18REF219</v>
      </c>
      <c r="B1067" s="34" t="str">
        <f>Database!E1082</f>
        <v>Neuroservice</v>
      </c>
      <c r="C1067" s="34" t="str">
        <f>Database!F1082</f>
        <v>Interleukin 1 beta (rrIL-1β)</v>
      </c>
      <c r="D1067" s="34">
        <f>Database!K1082</f>
        <v>17000</v>
      </c>
      <c r="E1067" s="34" t="str">
        <f>Database!P1082</f>
        <v>50 µg</v>
      </c>
      <c r="F1067" s="34" t="str">
        <f>Database!Q1082</f>
        <v>100 µg/ml in PBS</v>
      </c>
      <c r="G1067" s="462" t="str">
        <f>Database!R1082</f>
        <v>&gt;97%</v>
      </c>
      <c r="H1067" s="35">
        <f>Database!N1082</f>
        <v>43341</v>
      </c>
    </row>
    <row r="1068" spans="1:8" ht="45" x14ac:dyDescent="0.25">
      <c r="A1068" s="225" t="str">
        <f>Database!A1083</f>
        <v>18REF220</v>
      </c>
      <c r="B1068" s="34" t="str">
        <f>Database!E1083</f>
        <v>Neuroservice</v>
      </c>
      <c r="C1068" s="34" t="str">
        <f>Database!F1083</f>
        <v>B27 supplement</v>
      </c>
      <c r="D1068" s="34" t="str">
        <f>Database!K1083</f>
        <v>[50X]</v>
      </c>
      <c r="E1068" s="34" t="str">
        <f>Database!P1083</f>
        <v>10 ml</v>
      </c>
      <c r="F1068" s="34">
        <f>Database!Q1083</f>
        <v>0</v>
      </c>
      <c r="G1068" s="462" t="str">
        <f>Database!R1083</f>
        <v>-</v>
      </c>
      <c r="H1068" s="35">
        <f>Database!N1083</f>
        <v>43347</v>
      </c>
    </row>
    <row r="1069" spans="1:8" ht="45" x14ac:dyDescent="0.25">
      <c r="A1069" s="225" t="str">
        <f>Database!A1084</f>
        <v>18REF221</v>
      </c>
      <c r="B1069" s="34" t="str">
        <f>Database!E1084</f>
        <v>Neuroservice</v>
      </c>
      <c r="C1069" s="34" t="str">
        <f>Database!F1084</f>
        <v>B27 supplement</v>
      </c>
      <c r="D1069" s="34" t="str">
        <f>Database!K1084</f>
        <v>[50X]</v>
      </c>
      <c r="E1069" s="34" t="str">
        <f>Database!P1084</f>
        <v>10 ml</v>
      </c>
      <c r="F1069" s="34">
        <f>Database!Q1084</f>
        <v>0</v>
      </c>
      <c r="G1069" s="462" t="str">
        <f>Database!R1084</f>
        <v>-</v>
      </c>
      <c r="H1069" s="35">
        <f>Database!N1084</f>
        <v>43347</v>
      </c>
    </row>
    <row r="1070" spans="1:8" ht="45" x14ac:dyDescent="0.25">
      <c r="A1070" s="225" t="str">
        <f>Database!A1085</f>
        <v>18REF222</v>
      </c>
      <c r="B1070" s="34" t="str">
        <f>Database!E1085</f>
        <v>Neuroservice</v>
      </c>
      <c r="C1070" s="34" t="str">
        <f>Database!F1085</f>
        <v>B27 supplement</v>
      </c>
      <c r="D1070" s="34" t="str">
        <f>Database!K1085</f>
        <v>[50X]</v>
      </c>
      <c r="E1070" s="34" t="str">
        <f>Database!P1085</f>
        <v>10 ml</v>
      </c>
      <c r="F1070" s="34">
        <f>Database!Q1085</f>
        <v>0</v>
      </c>
      <c r="G1070" s="462" t="str">
        <f>Database!R1085</f>
        <v>-</v>
      </c>
      <c r="H1070" s="35">
        <f>Database!N1085</f>
        <v>43347</v>
      </c>
    </row>
    <row r="1071" spans="1:8" ht="45" x14ac:dyDescent="0.25">
      <c r="A1071" s="225" t="str">
        <f>Database!A1086</f>
        <v>18REF223</v>
      </c>
      <c r="B1071" s="34" t="str">
        <f>Database!E1086</f>
        <v>Neuroservice</v>
      </c>
      <c r="C1071" s="34" t="str">
        <f>Database!F1086</f>
        <v>L-glutamine 200 mM</v>
      </c>
      <c r="D1071" s="34" t="str">
        <f>Database!K1086</f>
        <v>[100X]</v>
      </c>
      <c r="E1071" s="34" t="str">
        <f>Database!P1086</f>
        <v>20 mL</v>
      </c>
      <c r="F1071" s="34">
        <f>Database!Q1086</f>
        <v>0</v>
      </c>
      <c r="G1071" s="462" t="str">
        <f>Database!R1086</f>
        <v>-</v>
      </c>
      <c r="H1071" s="35">
        <f>Database!N1086</f>
        <v>43347</v>
      </c>
    </row>
    <row r="1072" spans="1:8" ht="60" x14ac:dyDescent="0.25">
      <c r="A1072" s="225" t="str">
        <f>Database!A1087</f>
        <v>18REF224</v>
      </c>
      <c r="B1072" s="34" t="str">
        <f>Database!E1087</f>
        <v>Neuroservice</v>
      </c>
      <c r="C1072" s="34" t="str">
        <f>Database!F1087</f>
        <v>Penicillin streptomycin (5 000 U/mL)</v>
      </c>
      <c r="D1072" s="34">
        <f>Database!K1087</f>
        <v>0</v>
      </c>
      <c r="E1072" s="34" t="str">
        <f>Database!P1087</f>
        <v>100 mL</v>
      </c>
      <c r="F1072" s="34">
        <f>Database!Q1087</f>
        <v>0</v>
      </c>
      <c r="G1072" s="462" t="str">
        <f>Database!R1087</f>
        <v>-</v>
      </c>
      <c r="H1072" s="35">
        <f>Database!N1087</f>
        <v>43347</v>
      </c>
    </row>
    <row r="1073" spans="1:8" ht="45" x14ac:dyDescent="0.25">
      <c r="A1073" s="225" t="str">
        <f>Database!A1088</f>
        <v>18REF225</v>
      </c>
      <c r="B1073" s="34" t="str">
        <f>Database!E1088</f>
        <v>Neuroservice</v>
      </c>
      <c r="C1073" s="34" t="str">
        <f>Database!F1088</f>
        <v>Neurobasal A medium (1X)</v>
      </c>
      <c r="D1073" s="34">
        <f>Database!K1088</f>
        <v>0</v>
      </c>
      <c r="E1073" s="34" t="str">
        <f>Database!P1088</f>
        <v>500 mL</v>
      </c>
      <c r="F1073" s="34">
        <f>Database!Q1088</f>
        <v>0</v>
      </c>
      <c r="G1073" s="462" t="str">
        <f>Database!R1088</f>
        <v>-</v>
      </c>
      <c r="H1073" s="35">
        <f>Database!N1088</f>
        <v>43347</v>
      </c>
    </row>
    <row r="1074" spans="1:8" ht="60" x14ac:dyDescent="0.25">
      <c r="A1074" s="225" t="str">
        <f>Database!A1089</f>
        <v>18REF226</v>
      </c>
      <c r="B1074" s="34" t="str">
        <f>Database!E1089</f>
        <v>Neuroservice</v>
      </c>
      <c r="C1074" s="34" t="str">
        <f>Database!F1089</f>
        <v>Laminin</v>
      </c>
      <c r="D1074" s="34" t="str">
        <f>Database!K1089</f>
        <v>-</v>
      </c>
      <c r="E1074" s="34" t="str">
        <f>Database!P1089</f>
        <v>1 mg</v>
      </c>
      <c r="F1074" s="34" t="str">
        <f>Database!Q1089</f>
        <v>1 mg/mL in tris buffered NaCl</v>
      </c>
      <c r="G1074" s="462" t="str">
        <f>Database!R1089</f>
        <v>-</v>
      </c>
      <c r="H1074" s="35">
        <f>Database!N1089</f>
        <v>43348</v>
      </c>
    </row>
    <row r="1075" spans="1:8" ht="60" x14ac:dyDescent="0.25">
      <c r="A1075" s="225" t="str">
        <f>Database!A1090</f>
        <v>18REF227</v>
      </c>
      <c r="B1075" s="34" t="str">
        <f>Database!E1090</f>
        <v>Neuroservice</v>
      </c>
      <c r="C1075" s="34" t="str">
        <f>Database!F1090</f>
        <v>Laminin</v>
      </c>
      <c r="D1075" s="34" t="str">
        <f>Database!K1090</f>
        <v>-</v>
      </c>
      <c r="E1075" s="34" t="str">
        <f>Database!P1090</f>
        <v>1 mg</v>
      </c>
      <c r="F1075" s="34" t="str">
        <f>Database!Q1090</f>
        <v>1 mg/mL in tris buffered NaCl</v>
      </c>
      <c r="G1075" s="462" t="str">
        <f>Database!R1090</f>
        <v>-</v>
      </c>
      <c r="H1075" s="35">
        <f>Database!N1090</f>
        <v>43348</v>
      </c>
    </row>
    <row r="1076" spans="1:8" ht="30" x14ac:dyDescent="0.25">
      <c r="A1076" s="225" t="str">
        <f>Database!A1091</f>
        <v>18REF228</v>
      </c>
      <c r="B1076" s="34" t="str">
        <f>Database!E1091</f>
        <v>Neuroservice</v>
      </c>
      <c r="C1076" s="34" t="str">
        <f>Database!F1091</f>
        <v>VX-745</v>
      </c>
      <c r="D1076" s="34">
        <f>Database!K1091</f>
        <v>436.26</v>
      </c>
      <c r="E1076" s="34" t="str">
        <f>Database!P1091</f>
        <v>5 mg</v>
      </c>
      <c r="F1076" s="34" t="str">
        <f>Database!Q1091</f>
        <v>DMSO 10 mg/ml</v>
      </c>
      <c r="G1076" s="462">
        <f>Database!R1091</f>
        <v>99.8</v>
      </c>
      <c r="H1076" s="35">
        <f>Database!N1091</f>
        <v>43348</v>
      </c>
    </row>
    <row r="1077" spans="1:8" ht="45" x14ac:dyDescent="0.25">
      <c r="A1077" s="225" t="str">
        <f>Database!A1092</f>
        <v>18REF229</v>
      </c>
      <c r="B1077" s="34" t="str">
        <f>Database!E1092</f>
        <v>Neuroservice</v>
      </c>
      <c r="C1077" s="34" t="str">
        <f>Database!F1092</f>
        <v>XE-991 dihydrochloride</v>
      </c>
      <c r="D1077" s="34">
        <f>Database!K1092</f>
        <v>449.4</v>
      </c>
      <c r="E1077" s="34" t="str">
        <f>Database!P1092</f>
        <v>10 mg</v>
      </c>
      <c r="F1077" s="34" t="str">
        <f>Database!Q1092</f>
        <v>Soluble in water to 100 mM</v>
      </c>
      <c r="G1077" s="462">
        <f>Database!R1092</f>
        <v>1</v>
      </c>
      <c r="H1077" s="35">
        <f>Database!N1092</f>
        <v>43349</v>
      </c>
    </row>
    <row r="1078" spans="1:8" ht="30" x14ac:dyDescent="0.25">
      <c r="A1078" s="225" t="str">
        <f>Database!A1093</f>
        <v>18SAM230</v>
      </c>
      <c r="B1078" s="34" t="str">
        <f>Database!E1093</f>
        <v>Roche</v>
      </c>
      <c r="C1078" s="34" t="str">
        <f>Database!F1093</f>
        <v>RO7283328-000-001</v>
      </c>
      <c r="D1078" s="34">
        <f>Database!K1093</f>
        <v>351.79</v>
      </c>
      <c r="E1078" s="34" t="str">
        <f>Database!P1093</f>
        <v>4.8 mg</v>
      </c>
      <c r="F1078" s="34">
        <f>Database!Q1093</f>
        <v>0</v>
      </c>
      <c r="G1078" s="462" t="str">
        <f>Database!R1093</f>
        <v>NC</v>
      </c>
      <c r="H1078" s="35">
        <f>Database!N1093</f>
        <v>43356</v>
      </c>
    </row>
    <row r="1079" spans="1:8" ht="60" x14ac:dyDescent="0.25">
      <c r="A1079" s="225" t="str">
        <f>Database!A1094</f>
        <v>18REF231</v>
      </c>
      <c r="B1079" s="34" t="str">
        <f>Database!E1094</f>
        <v>Neuroservice</v>
      </c>
      <c r="C1079" s="34" t="str">
        <f>Database!F1094</f>
        <v>Citrate buffer Solution, 0.09 M</v>
      </c>
      <c r="D1079" s="34" t="str">
        <f>Database!K1094</f>
        <v>-</v>
      </c>
      <c r="E1079" s="34" t="str">
        <f>Database!P1094</f>
        <v>100 mL</v>
      </c>
      <c r="F1079" s="34">
        <f>Database!Q1094</f>
        <v>0</v>
      </c>
      <c r="G1079" s="462" t="str">
        <f>Database!R1094</f>
        <v>-</v>
      </c>
      <c r="H1079" s="35">
        <f>Database!N1094</f>
        <v>43356</v>
      </c>
    </row>
    <row r="1080" spans="1:8" ht="30" x14ac:dyDescent="0.25">
      <c r="A1080" s="225" t="str">
        <f>Database!A1095</f>
        <v>18REF232</v>
      </c>
      <c r="B1080" s="34" t="str">
        <f>Database!E1095</f>
        <v>Neuroservice</v>
      </c>
      <c r="C1080" s="34" t="str">
        <f>Database!F1095</f>
        <v>Urethane</v>
      </c>
      <c r="D1080" s="34">
        <f>Database!K1095</f>
        <v>89.09</v>
      </c>
      <c r="E1080" s="34" t="str">
        <f>Database!P1095</f>
        <v>100 g</v>
      </c>
      <c r="F1080" s="34" t="str">
        <f>Database!Q1095</f>
        <v>H2O mQ</v>
      </c>
      <c r="G1080" s="462">
        <f>Database!R1095</f>
        <v>1</v>
      </c>
      <c r="H1080" s="35">
        <f>Database!N1095</f>
        <v>43356</v>
      </c>
    </row>
    <row r="1081" spans="1:8" ht="75" x14ac:dyDescent="0.25">
      <c r="A1081" s="225" t="str">
        <f>Database!A1096</f>
        <v>18REF233</v>
      </c>
      <c r="B1081" s="34" t="str">
        <f>Database!E1096</f>
        <v>Neuroservice</v>
      </c>
      <c r="C1081" s="34" t="str">
        <f>Database!F1096</f>
        <v>D2HG (D-α-Hydroxyglutaric acid disodium salt)</v>
      </c>
      <c r="D1081" s="34">
        <f>Database!K1096</f>
        <v>192.08</v>
      </c>
      <c r="E1081" s="34" t="str">
        <f>Database!P1096</f>
        <v>250 mg</v>
      </c>
      <c r="F1081" s="34" t="str">
        <f>Database!Q1096</f>
        <v>50mg/mL in H2O mQ</v>
      </c>
      <c r="G1081" s="462">
        <f>Database!R1096</f>
        <v>0.98</v>
      </c>
      <c r="H1081" s="35">
        <f>Database!N1096</f>
        <v>43357</v>
      </c>
    </row>
    <row r="1082" spans="1:8" ht="30" x14ac:dyDescent="0.25">
      <c r="A1082" s="225" t="str">
        <f>Database!A1097</f>
        <v>18REF234</v>
      </c>
      <c r="B1082" s="34" t="str">
        <f>Database!E1097</f>
        <v>Neuroservice</v>
      </c>
      <c r="C1082" s="34" t="str">
        <f>Database!F1097</f>
        <v>Ethyl pyruvate</v>
      </c>
      <c r="D1082" s="34">
        <f>Database!K1097</f>
        <v>116.12</v>
      </c>
      <c r="E1082" s="34" t="str">
        <f>Database!P1097</f>
        <v>100 g</v>
      </c>
      <c r="F1082" s="34">
        <f>Database!Q1097</f>
        <v>0</v>
      </c>
      <c r="G1082" s="462">
        <f>Database!R1097</f>
        <v>0.99299999999999999</v>
      </c>
      <c r="H1082" s="35">
        <f>Database!N1097</f>
        <v>43357</v>
      </c>
    </row>
    <row r="1083" spans="1:8" ht="60" x14ac:dyDescent="0.25">
      <c r="A1083" s="225" t="str">
        <f>Database!A1098</f>
        <v>18REF235</v>
      </c>
      <c r="B1083" s="34" t="str">
        <f>Database!E1098</f>
        <v>Neuroservice</v>
      </c>
      <c r="C1083" s="34" t="str">
        <f>Database!F1098</f>
        <v>Flumazenil</v>
      </c>
      <c r="D1083" s="34">
        <f>Database!K1098</f>
        <v>303.29000000000002</v>
      </c>
      <c r="E1083" s="34" t="str">
        <f>Database!P1098</f>
        <v>10 mg</v>
      </c>
      <c r="F1083" s="34" t="str">
        <f>Database!Q1098</f>
        <v>25 mM DMSO (with warming)</v>
      </c>
      <c r="G1083" s="462">
        <f>Database!R1098</f>
        <v>1</v>
      </c>
      <c r="H1083" s="35">
        <f>Database!N1098</f>
        <v>43360</v>
      </c>
    </row>
    <row r="1084" spans="1:8" ht="45" x14ac:dyDescent="0.25">
      <c r="A1084" s="225" t="str">
        <f>Database!A1099</f>
        <v>18REF236</v>
      </c>
      <c r="B1084" s="34" t="str">
        <f>Database!E1099</f>
        <v>Neuroservice</v>
      </c>
      <c r="C1084" s="34" t="str">
        <f>Database!F1099</f>
        <v>D-AP5</v>
      </c>
      <c r="D1084" s="34">
        <f>Database!K1099</f>
        <v>197.13</v>
      </c>
      <c r="E1084" s="34" t="str">
        <f>Database!P1099</f>
        <v>50 mg</v>
      </c>
      <c r="F1084" s="34" t="str">
        <f>Database!Q1099</f>
        <v>up to 100 mM H2O mQ</v>
      </c>
      <c r="G1084" s="462">
        <f>Database!R1099</f>
        <v>0.99299999999999999</v>
      </c>
      <c r="H1084" s="35">
        <f>Database!N1099</f>
        <v>43360</v>
      </c>
    </row>
    <row r="1085" spans="1:8" ht="45" x14ac:dyDescent="0.25">
      <c r="A1085" s="225" t="str">
        <f>Database!A1100</f>
        <v>18REF237</v>
      </c>
      <c r="B1085" s="34" t="str">
        <f>Database!E1100</f>
        <v>Neuroservice</v>
      </c>
      <c r="C1085" s="34" t="str">
        <f>Database!F1100</f>
        <v>D-AP5</v>
      </c>
      <c r="D1085" s="34">
        <f>Database!K1100</f>
        <v>197.13</v>
      </c>
      <c r="E1085" s="34" t="str">
        <f>Database!P1100</f>
        <v>50 mg</v>
      </c>
      <c r="F1085" s="34" t="str">
        <f>Database!Q1100</f>
        <v>up to 100 mM H2O mQ</v>
      </c>
      <c r="G1085" s="462">
        <f>Database!R1100</f>
        <v>0.99299999999999999</v>
      </c>
      <c r="H1085" s="35">
        <f>Database!N1100</f>
        <v>43362</v>
      </c>
    </row>
    <row r="1086" spans="1:8" ht="45" x14ac:dyDescent="0.25">
      <c r="A1086" s="225" t="str">
        <f>Database!A1101</f>
        <v>18REF238</v>
      </c>
      <c r="B1086" s="34" t="str">
        <f>Database!E1101</f>
        <v>Neuroservice</v>
      </c>
      <c r="C1086" s="34" t="str">
        <f>Database!F1101</f>
        <v>D-AP5</v>
      </c>
      <c r="D1086" s="34">
        <f>Database!K1101</f>
        <v>197.13</v>
      </c>
      <c r="E1086" s="34" t="str">
        <f>Database!P1101</f>
        <v>50 mg</v>
      </c>
      <c r="F1086" s="34" t="str">
        <f>Database!Q1101</f>
        <v>up to 100 mM H2O mQ</v>
      </c>
      <c r="G1086" s="462">
        <f>Database!R1101</f>
        <v>0.99299999999999999</v>
      </c>
      <c r="H1086" s="35">
        <f>Database!N1101</f>
        <v>43362</v>
      </c>
    </row>
    <row r="1087" spans="1:8" ht="45" x14ac:dyDescent="0.25">
      <c r="A1087" s="225" t="str">
        <f>Database!A1102</f>
        <v>18REF239</v>
      </c>
      <c r="B1087" s="34" t="str">
        <f>Database!E1102</f>
        <v>Neuroservice</v>
      </c>
      <c r="C1087" s="34" t="str">
        <f>Database!F1102</f>
        <v>D-AP5</v>
      </c>
      <c r="D1087" s="34">
        <f>Database!K1102</f>
        <v>197.13</v>
      </c>
      <c r="E1087" s="34" t="str">
        <f>Database!P1102</f>
        <v>50 mg</v>
      </c>
      <c r="F1087" s="34" t="str">
        <f>Database!Q1102</f>
        <v>up to 100 mM H2O mQ</v>
      </c>
      <c r="G1087" s="462">
        <f>Database!R1102</f>
        <v>0.99299999999999999</v>
      </c>
      <c r="H1087" s="35">
        <f>Database!N1102</f>
        <v>43362</v>
      </c>
    </row>
    <row r="1088" spans="1:8" ht="45" x14ac:dyDescent="0.25">
      <c r="A1088" s="225" t="str">
        <f>Database!A1103</f>
        <v>18REF240</v>
      </c>
      <c r="B1088" s="34" t="str">
        <f>Database!E1103</f>
        <v>Neuroservice</v>
      </c>
      <c r="C1088" s="34" t="str">
        <f>Database!F1103</f>
        <v>Sodium salicylate</v>
      </c>
      <c r="D1088" s="34">
        <f>Database!K1103</f>
        <v>160.1</v>
      </c>
      <c r="E1088" s="34" t="str">
        <f>Database!P1103</f>
        <v>5 g</v>
      </c>
      <c r="F1088" s="34" t="str">
        <f>Database!Q1103</f>
        <v>up to 100 mM H2O mQ</v>
      </c>
      <c r="G1088" s="462">
        <f>Database!R1103</f>
        <v>1</v>
      </c>
      <c r="H1088" s="35">
        <f>Database!N1103</f>
        <v>43368</v>
      </c>
    </row>
    <row r="1089" spans="1:8" ht="45" x14ac:dyDescent="0.25">
      <c r="A1089" s="225" t="str">
        <f>Database!A1104</f>
        <v>18REF241</v>
      </c>
      <c r="B1089" s="34" t="str">
        <f>Database!E1104</f>
        <v>Neuroservice</v>
      </c>
      <c r="C1089" s="34" t="str">
        <f>Database!F1104</f>
        <v>Kainate</v>
      </c>
      <c r="D1089" s="34">
        <f>Database!K1104</f>
        <v>217.74</v>
      </c>
      <c r="E1089" s="34" t="str">
        <f>Database!P1104</f>
        <v>10 mg</v>
      </c>
      <c r="F1089" s="34" t="str">
        <f>Database!Q1104</f>
        <v>up to 25 mM H2O mQ</v>
      </c>
      <c r="G1089" s="462">
        <f>Database!R1104</f>
        <v>1</v>
      </c>
      <c r="H1089" s="35">
        <f>Database!N1104</f>
        <v>43371</v>
      </c>
    </row>
    <row r="1090" spans="1:8" ht="45" x14ac:dyDescent="0.25">
      <c r="A1090" s="225" t="str">
        <f>Database!A1105</f>
        <v>18SAM242</v>
      </c>
      <c r="B1090" s="34" t="str">
        <f>Database!E1105</f>
        <v>Takeda</v>
      </c>
      <c r="C1090" s="34" t="str">
        <f>Database!F1105</f>
        <v>L-803,087 trifluoroacetate</v>
      </c>
      <c r="D1090" s="34">
        <f>Database!K1105</f>
        <v>599.55999999999995</v>
      </c>
      <c r="E1090" s="34" t="str">
        <f>Database!P1105</f>
        <v>10 mg</v>
      </c>
      <c r="F1090" s="34" t="str">
        <f>Database!Q1105</f>
        <v>up to 100 mM DMSO</v>
      </c>
      <c r="G1090" s="462">
        <f>Database!R1105</f>
        <v>0.98799999999999999</v>
      </c>
      <c r="H1090" s="35">
        <f>Database!N1105</f>
        <v>43368</v>
      </c>
    </row>
    <row r="1091" spans="1:8" ht="45" x14ac:dyDescent="0.25">
      <c r="A1091" s="225" t="str">
        <f>Database!A1106</f>
        <v>18SAM243</v>
      </c>
      <c r="B1091" s="34" t="str">
        <f>Database!E1106</f>
        <v>Takeda</v>
      </c>
      <c r="C1091" s="34" t="str">
        <f>Database!F1106</f>
        <v>L-803,087 trifluoroacetate</v>
      </c>
      <c r="D1091" s="34">
        <f>Database!K1106</f>
        <v>599.55999999999995</v>
      </c>
      <c r="E1091" s="34" t="str">
        <f>Database!P1106</f>
        <v>10 mg</v>
      </c>
      <c r="F1091" s="34" t="str">
        <f>Database!Q1106</f>
        <v>up to 100 mM DMSO</v>
      </c>
      <c r="G1091" s="462">
        <f>Database!R1106</f>
        <v>0.98799999999999999</v>
      </c>
      <c r="H1091" s="35">
        <f>Database!N1106</f>
        <v>43371</v>
      </c>
    </row>
    <row r="1092" spans="1:8" ht="45" x14ac:dyDescent="0.25">
      <c r="A1092" s="225" t="str">
        <f>Database!A1107</f>
        <v>18SAM244</v>
      </c>
      <c r="B1092" s="34" t="str">
        <f>Database!E1107</f>
        <v>Takeda</v>
      </c>
      <c r="C1092" s="34" t="str">
        <f>Database!F1107</f>
        <v>L-803,087 trifluoroacetate</v>
      </c>
      <c r="D1092" s="34">
        <f>Database!K1107</f>
        <v>599.55999999999995</v>
      </c>
      <c r="E1092" s="34" t="str">
        <f>Database!P1107</f>
        <v>10 mg</v>
      </c>
      <c r="F1092" s="34" t="str">
        <f>Database!Q1107</f>
        <v>up to 100 mM DMSO</v>
      </c>
      <c r="G1092" s="462">
        <f>Database!R1107</f>
        <v>0.98799999999999999</v>
      </c>
      <c r="H1092" s="35">
        <f>Database!N1107</f>
        <v>43371</v>
      </c>
    </row>
    <row r="1093" spans="1:8" ht="45" x14ac:dyDescent="0.25">
      <c r="A1093" s="225" t="str">
        <f>Database!A1108</f>
        <v>18SAM245</v>
      </c>
      <c r="B1093" s="34" t="str">
        <f>Database!E1108</f>
        <v>Takeda</v>
      </c>
      <c r="C1093" s="34" t="str">
        <f>Database!F1108</f>
        <v>L-803,087 trifluoroacetate</v>
      </c>
      <c r="D1093" s="34">
        <f>Database!K1108</f>
        <v>599.55999999999995</v>
      </c>
      <c r="E1093" s="34" t="str">
        <f>Database!P1108</f>
        <v>10 mg</v>
      </c>
      <c r="F1093" s="34" t="str">
        <f>Database!Q1108</f>
        <v>up to 100 mM DMSO</v>
      </c>
      <c r="G1093" s="462">
        <f>Database!R1108</f>
        <v>0.98799999999999999</v>
      </c>
      <c r="H1093" s="35">
        <f>Database!N1108</f>
        <v>43371</v>
      </c>
    </row>
    <row r="1094" spans="1:8" ht="45" x14ac:dyDescent="0.25">
      <c r="A1094" s="225" t="str">
        <f>Database!A1109</f>
        <v>18SAM246</v>
      </c>
      <c r="B1094" s="34" t="str">
        <f>Database!E1109</f>
        <v>Takeda</v>
      </c>
      <c r="C1094" s="34" t="str">
        <f>Database!F1109</f>
        <v>L-803,087 trifluoroacetate</v>
      </c>
      <c r="D1094" s="34">
        <f>Database!K1109</f>
        <v>599.55999999999995</v>
      </c>
      <c r="E1094" s="34" t="str">
        <f>Database!P1109</f>
        <v>10 mg</v>
      </c>
      <c r="F1094" s="34" t="str">
        <f>Database!Q1109</f>
        <v>up to 100 mM DMSO</v>
      </c>
      <c r="G1094" s="462">
        <f>Database!R1109</f>
        <v>0.98799999999999999</v>
      </c>
      <c r="H1094" s="35">
        <f>Database!N1109</f>
        <v>43371</v>
      </c>
    </row>
    <row r="1095" spans="1:8" ht="45" x14ac:dyDescent="0.25">
      <c r="A1095" s="225" t="str">
        <f>Database!A1110</f>
        <v>18SAM247</v>
      </c>
      <c r="B1095" s="34" t="str">
        <f>Database!E1110</f>
        <v>Takeda</v>
      </c>
      <c r="C1095" s="34" t="str">
        <f>Database!F1110</f>
        <v>L-803,087 trifluoroacetate</v>
      </c>
      <c r="D1095" s="34">
        <f>Database!K1110</f>
        <v>599.55999999999995</v>
      </c>
      <c r="E1095" s="34" t="str">
        <f>Database!P1110</f>
        <v>10 mg</v>
      </c>
      <c r="F1095" s="34" t="str">
        <f>Database!Q1110</f>
        <v>up to 100 mM DMSO</v>
      </c>
      <c r="G1095" s="462">
        <f>Database!R1110</f>
        <v>0.98799999999999999</v>
      </c>
      <c r="H1095" s="35">
        <f>Database!N1110</f>
        <v>43371</v>
      </c>
    </row>
    <row r="1096" spans="1:8" ht="45" x14ac:dyDescent="0.25">
      <c r="A1096" s="225" t="str">
        <f>Database!A1111</f>
        <v>18SAM248</v>
      </c>
      <c r="B1096" s="34" t="str">
        <f>Database!E1111</f>
        <v>Takeda</v>
      </c>
      <c r="C1096" s="34" t="str">
        <f>Database!F1111</f>
        <v>L-803,087 trifluoroacetate</v>
      </c>
      <c r="D1096" s="34">
        <f>Database!K1111</f>
        <v>599.55999999999995</v>
      </c>
      <c r="E1096" s="34" t="str">
        <f>Database!P1111</f>
        <v>10 mg</v>
      </c>
      <c r="F1096" s="34" t="str">
        <f>Database!Q1111</f>
        <v>up to 100 mM DMSO</v>
      </c>
      <c r="G1096" s="462">
        <f>Database!R1111</f>
        <v>0.98799999999999999</v>
      </c>
      <c r="H1096" s="35">
        <f>Database!N1111</f>
        <v>43371</v>
      </c>
    </row>
    <row r="1097" spans="1:8" ht="45" x14ac:dyDescent="0.25">
      <c r="A1097" s="225" t="str">
        <f>Database!A1112</f>
        <v>18SAM249</v>
      </c>
      <c r="B1097" s="34" t="str">
        <f>Database!E1112</f>
        <v>Takeda</v>
      </c>
      <c r="C1097" s="34" t="str">
        <f>Database!F1112</f>
        <v>L-803,087 trifluoroacetate</v>
      </c>
      <c r="D1097" s="34">
        <f>Database!K1112</f>
        <v>599.55999999999995</v>
      </c>
      <c r="E1097" s="34" t="str">
        <f>Database!P1112</f>
        <v>10 mg</v>
      </c>
      <c r="F1097" s="34" t="str">
        <f>Database!Q1112</f>
        <v>up to 100 mM DMSO</v>
      </c>
      <c r="G1097" s="462">
        <f>Database!R1112</f>
        <v>0.98799999999999999</v>
      </c>
      <c r="H1097" s="35">
        <f>Database!N1112</f>
        <v>43371</v>
      </c>
    </row>
    <row r="1098" spans="1:8" ht="45" x14ac:dyDescent="0.25">
      <c r="A1098" s="225" t="str">
        <f>Database!A1113</f>
        <v>18SAM250</v>
      </c>
      <c r="B1098" s="34" t="str">
        <f>Database!E1113</f>
        <v>Takeda</v>
      </c>
      <c r="C1098" s="34" t="str">
        <f>Database!F1113</f>
        <v>L-803,087 trifluoroacetate</v>
      </c>
      <c r="D1098" s="34">
        <f>Database!K1113</f>
        <v>599.55999999999995</v>
      </c>
      <c r="E1098" s="34" t="str">
        <f>Database!P1113</f>
        <v>10 mg</v>
      </c>
      <c r="F1098" s="34" t="str">
        <f>Database!Q1113</f>
        <v>up to 100 mM DMSO</v>
      </c>
      <c r="G1098" s="462">
        <f>Database!R1113</f>
        <v>0.98799999999999999</v>
      </c>
      <c r="H1098" s="35">
        <f>Database!N1113</f>
        <v>43371</v>
      </c>
    </row>
    <row r="1099" spans="1:8" ht="45" x14ac:dyDescent="0.25">
      <c r="A1099" s="225" t="str">
        <f>Database!A1114</f>
        <v>18SAM251</v>
      </c>
      <c r="B1099" s="34" t="str">
        <f>Database!E1114</f>
        <v>Takeda</v>
      </c>
      <c r="C1099" s="34" t="str">
        <f>Database!F1114</f>
        <v>L-803,087 trifluoroacetate</v>
      </c>
      <c r="D1099" s="34">
        <f>Database!K1114</f>
        <v>599.55999999999995</v>
      </c>
      <c r="E1099" s="34" t="str">
        <f>Database!P1114</f>
        <v>10 mg</v>
      </c>
      <c r="F1099" s="34" t="str">
        <f>Database!Q1114</f>
        <v>up to 100 mM DMSO</v>
      </c>
      <c r="G1099" s="462">
        <f>Database!R1114</f>
        <v>0.98799999999999999</v>
      </c>
      <c r="H1099" s="35">
        <f>Database!N1114</f>
        <v>43371</v>
      </c>
    </row>
    <row r="1100" spans="1:8" ht="30" x14ac:dyDescent="0.25">
      <c r="A1100" s="225" t="str">
        <f>Database!A1115</f>
        <v>18REF252</v>
      </c>
      <c r="B1100" s="34" t="str">
        <f>Database!E1115</f>
        <v>Neuroservice</v>
      </c>
      <c r="C1100" s="34" t="str">
        <f>Database!F1115</f>
        <v>Methyl cellulose</v>
      </c>
      <c r="D1100" s="34" t="str">
        <f>Database!K1115</f>
        <v>-</v>
      </c>
      <c r="E1100" s="34" t="str">
        <f>Database!P1115</f>
        <v>25 g</v>
      </c>
      <c r="F1100" s="34" t="str">
        <f>Database!Q1115</f>
        <v>up to 10 mg/ml H2O</v>
      </c>
      <c r="G1100" s="462" t="str">
        <f>Database!R1115</f>
        <v>-</v>
      </c>
      <c r="H1100" s="35">
        <f>Database!N1115</f>
        <v>43371</v>
      </c>
    </row>
    <row r="1101" spans="1:8" ht="23.25" x14ac:dyDescent="0.25">
      <c r="A1101" s="225" t="str">
        <f>Database!A1116</f>
        <v>18SAM253</v>
      </c>
      <c r="B1101" s="34" t="str">
        <f>Database!E1116</f>
        <v>Takeda</v>
      </c>
      <c r="C1101" s="34" t="str">
        <f>Database!F1116</f>
        <v>SYR309215Z</v>
      </c>
      <c r="D1101" s="34" t="str">
        <f>Database!K1116</f>
        <v>-</v>
      </c>
      <c r="E1101" s="34" t="str">
        <f>Database!P1116</f>
        <v>71.02 mg</v>
      </c>
      <c r="F1101" s="34">
        <f>Database!Q1116</f>
        <v>0</v>
      </c>
      <c r="G1101" s="462">
        <f>Database!R1116</f>
        <v>1</v>
      </c>
      <c r="H1101" s="35">
        <f>Database!N1116</f>
        <v>43376</v>
      </c>
    </row>
    <row r="1102" spans="1:8" ht="23.25" x14ac:dyDescent="0.25">
      <c r="A1102" s="225" t="str">
        <f>Database!A1117</f>
        <v/>
      </c>
      <c r="B1102" s="34">
        <f>Database!E1117</f>
        <v>0</v>
      </c>
      <c r="C1102" s="34">
        <f>Database!F1117</f>
        <v>0</v>
      </c>
      <c r="D1102" s="34">
        <f>Database!K1117</f>
        <v>0</v>
      </c>
      <c r="E1102" s="34">
        <f>Database!P1117</f>
        <v>0</v>
      </c>
      <c r="F1102" s="34">
        <f>Database!Q1117</f>
        <v>0</v>
      </c>
      <c r="G1102" s="462">
        <f>Database!R1117</f>
        <v>0</v>
      </c>
      <c r="H1102" s="35">
        <f>Database!N1117</f>
        <v>0</v>
      </c>
    </row>
    <row r="1103" spans="1:8" ht="23.25" x14ac:dyDescent="0.25">
      <c r="A1103" s="225" t="str">
        <f>Database!A1118</f>
        <v/>
      </c>
      <c r="B1103" s="34">
        <f>Database!E1118</f>
        <v>0</v>
      </c>
      <c r="C1103" s="34">
        <f>Database!F1118</f>
        <v>0</v>
      </c>
      <c r="D1103" s="34">
        <f>Database!K1118</f>
        <v>0</v>
      </c>
      <c r="E1103" s="34">
        <f>Database!P1118</f>
        <v>0</v>
      </c>
      <c r="F1103" s="34">
        <f>Database!Q1118</f>
        <v>0</v>
      </c>
      <c r="G1103" s="462">
        <f>Database!R1118</f>
        <v>0</v>
      </c>
      <c r="H1103" s="35">
        <f>Database!N1118</f>
        <v>0</v>
      </c>
    </row>
    <row r="1104" spans="1:8" ht="23.25" x14ac:dyDescent="0.25">
      <c r="A1104" s="225" t="str">
        <f>Database!A1119</f>
        <v/>
      </c>
      <c r="B1104" s="34">
        <f>Database!E1119</f>
        <v>0</v>
      </c>
      <c r="C1104" s="34">
        <f>Database!F1119</f>
        <v>0</v>
      </c>
      <c r="D1104" s="34">
        <f>Database!K1119</f>
        <v>0</v>
      </c>
      <c r="E1104" s="34">
        <f>Database!P1119</f>
        <v>0</v>
      </c>
      <c r="F1104" s="34">
        <f>Database!Q1119</f>
        <v>0</v>
      </c>
      <c r="G1104" s="462">
        <f>Database!R1119</f>
        <v>0</v>
      </c>
      <c r="H1104" s="35">
        <f>Database!N1119</f>
        <v>0</v>
      </c>
    </row>
    <row r="1105" spans="1:8" ht="23.25" x14ac:dyDescent="0.25">
      <c r="A1105" s="225" t="str">
        <f>Database!A1120</f>
        <v/>
      </c>
      <c r="B1105" s="34">
        <f>Database!E1120</f>
        <v>0</v>
      </c>
      <c r="C1105" s="34">
        <f>Database!F1120</f>
        <v>0</v>
      </c>
      <c r="D1105" s="34">
        <f>Database!K1120</f>
        <v>0</v>
      </c>
      <c r="E1105" s="34">
        <f>Database!P1120</f>
        <v>0</v>
      </c>
      <c r="F1105" s="34">
        <f>Database!Q1120</f>
        <v>0</v>
      </c>
      <c r="G1105" s="462">
        <f>Database!R1120</f>
        <v>0</v>
      </c>
      <c r="H1105" s="35">
        <f>Database!N1120</f>
        <v>0</v>
      </c>
    </row>
    <row r="1106" spans="1:8" ht="23.25" x14ac:dyDescent="0.25">
      <c r="A1106" s="225" t="str">
        <f>Database!A1121</f>
        <v/>
      </c>
      <c r="B1106" s="34">
        <f>Database!E1121</f>
        <v>0</v>
      </c>
      <c r="C1106" s="34">
        <f>Database!F1121</f>
        <v>0</v>
      </c>
      <c r="D1106" s="34">
        <f>Database!K1121</f>
        <v>0</v>
      </c>
      <c r="E1106" s="34">
        <f>Database!P1121</f>
        <v>0</v>
      </c>
      <c r="F1106" s="34">
        <f>Database!Q1121</f>
        <v>0</v>
      </c>
      <c r="G1106" s="462">
        <f>Database!R1121</f>
        <v>0</v>
      </c>
      <c r="H1106" s="35">
        <f>Database!N1121</f>
        <v>0</v>
      </c>
    </row>
    <row r="1107" spans="1:8" ht="23.25" x14ac:dyDescent="0.25">
      <c r="A1107" s="225" t="str">
        <f>Database!A1122</f>
        <v/>
      </c>
      <c r="B1107" s="34">
        <f>Database!E1122</f>
        <v>0</v>
      </c>
      <c r="C1107" s="34">
        <f>Database!F1122</f>
        <v>0</v>
      </c>
      <c r="D1107" s="34">
        <f>Database!K1122</f>
        <v>0</v>
      </c>
      <c r="E1107" s="34">
        <f>Database!P1122</f>
        <v>0</v>
      </c>
      <c r="F1107" s="34">
        <f>Database!Q1122</f>
        <v>0</v>
      </c>
      <c r="G1107" s="462">
        <f>Database!R1122</f>
        <v>0</v>
      </c>
      <c r="H1107" s="35">
        <f>Database!N1122</f>
        <v>0</v>
      </c>
    </row>
    <row r="1108" spans="1:8" ht="23.25" x14ac:dyDescent="0.25">
      <c r="A1108" s="225" t="str">
        <f>Database!A1123</f>
        <v/>
      </c>
      <c r="B1108" s="34">
        <f>Database!E1123</f>
        <v>0</v>
      </c>
      <c r="C1108" s="34">
        <f>Database!F1123</f>
        <v>0</v>
      </c>
      <c r="D1108" s="34">
        <f>Database!K1123</f>
        <v>0</v>
      </c>
      <c r="E1108" s="34">
        <f>Database!P1123</f>
        <v>0</v>
      </c>
      <c r="F1108" s="34">
        <f>Database!Q1123</f>
        <v>0</v>
      </c>
      <c r="G1108" s="462">
        <f>Database!R1123</f>
        <v>0</v>
      </c>
      <c r="H1108" s="35">
        <f>Database!N1123</f>
        <v>0</v>
      </c>
    </row>
    <row r="1109" spans="1:8" ht="23.25" x14ac:dyDescent="0.25">
      <c r="A1109" s="225" t="str">
        <f>Database!A1124</f>
        <v/>
      </c>
      <c r="B1109" s="34">
        <f>Database!E1124</f>
        <v>0</v>
      </c>
      <c r="C1109" s="34">
        <f>Database!F1124</f>
        <v>0</v>
      </c>
      <c r="D1109" s="34">
        <f>Database!K1124</f>
        <v>0</v>
      </c>
      <c r="E1109" s="34">
        <f>Database!P1124</f>
        <v>0</v>
      </c>
      <c r="F1109" s="34">
        <f>Database!Q1124</f>
        <v>0</v>
      </c>
      <c r="G1109" s="462">
        <f>Database!R1124</f>
        <v>0</v>
      </c>
      <c r="H1109" s="35">
        <f>Database!N1124</f>
        <v>0</v>
      </c>
    </row>
    <row r="1110" spans="1:8" ht="23.25" x14ac:dyDescent="0.25">
      <c r="A1110" s="225" t="str">
        <f>Database!A1125</f>
        <v/>
      </c>
      <c r="B1110" s="34">
        <f>Database!E1125</f>
        <v>0</v>
      </c>
      <c r="C1110" s="34">
        <f>Database!F1125</f>
        <v>0</v>
      </c>
      <c r="D1110" s="34">
        <f>Database!K1125</f>
        <v>0</v>
      </c>
      <c r="E1110" s="34">
        <f>Database!P1125</f>
        <v>0</v>
      </c>
      <c r="F1110" s="34">
        <f>Database!Q1125</f>
        <v>0</v>
      </c>
      <c r="G1110" s="462">
        <f>Database!R1125</f>
        <v>0</v>
      </c>
      <c r="H1110" s="35">
        <f>Database!N1125</f>
        <v>0</v>
      </c>
    </row>
    <row r="1111" spans="1:8" ht="23.25" x14ac:dyDescent="0.25">
      <c r="A1111" s="225" t="str">
        <f>Database!A1126</f>
        <v/>
      </c>
      <c r="B1111" s="34">
        <f>Database!E1126</f>
        <v>0</v>
      </c>
      <c r="C1111" s="34">
        <f>Database!F1126</f>
        <v>0</v>
      </c>
      <c r="D1111" s="34">
        <f>Database!K1126</f>
        <v>0</v>
      </c>
      <c r="E1111" s="34">
        <f>Database!P1126</f>
        <v>0</v>
      </c>
      <c r="F1111" s="34">
        <f>Database!Q1126</f>
        <v>0</v>
      </c>
      <c r="G1111" s="462">
        <f>Database!R1126</f>
        <v>0</v>
      </c>
      <c r="H1111" s="35">
        <f>Database!N1126</f>
        <v>0</v>
      </c>
    </row>
    <row r="1112" spans="1:8" ht="23.25" x14ac:dyDescent="0.25">
      <c r="A1112" s="225" t="str">
        <f>Database!A1127</f>
        <v/>
      </c>
      <c r="B1112" s="34">
        <f>Database!E1127</f>
        <v>0</v>
      </c>
      <c r="C1112" s="34">
        <f>Database!F1127</f>
        <v>0</v>
      </c>
      <c r="D1112" s="34">
        <f>Database!K1127</f>
        <v>0</v>
      </c>
      <c r="E1112" s="34">
        <f>Database!P1127</f>
        <v>0</v>
      </c>
      <c r="F1112" s="34">
        <f>Database!Q1127</f>
        <v>0</v>
      </c>
      <c r="G1112" s="462">
        <f>Database!R1127</f>
        <v>0</v>
      </c>
      <c r="H1112" s="35">
        <f>Database!N1127</f>
        <v>0</v>
      </c>
    </row>
    <row r="1113" spans="1:8" ht="23.25" x14ac:dyDescent="0.25">
      <c r="A1113" s="225" t="str">
        <f>Database!A1128</f>
        <v/>
      </c>
      <c r="B1113" s="34">
        <f>Database!E1128</f>
        <v>0</v>
      </c>
      <c r="C1113" s="34">
        <f>Database!F1128</f>
        <v>0</v>
      </c>
      <c r="D1113" s="34">
        <f>Database!K1128</f>
        <v>0</v>
      </c>
      <c r="E1113" s="34">
        <f>Database!P1128</f>
        <v>0</v>
      </c>
      <c r="F1113" s="34">
        <f>Database!Q1128</f>
        <v>0</v>
      </c>
      <c r="G1113" s="462">
        <f>Database!R1128</f>
        <v>0</v>
      </c>
      <c r="H1113" s="35">
        <f>Database!N1128</f>
        <v>0</v>
      </c>
    </row>
    <row r="1114" spans="1:8" ht="23.25" x14ac:dyDescent="0.25">
      <c r="A1114" s="225" t="str">
        <f>Database!A1129</f>
        <v/>
      </c>
      <c r="B1114" s="34">
        <f>Database!E1129</f>
        <v>0</v>
      </c>
      <c r="C1114" s="34">
        <f>Database!F1129</f>
        <v>0</v>
      </c>
      <c r="D1114" s="34">
        <f>Database!K1129</f>
        <v>0</v>
      </c>
      <c r="E1114" s="34">
        <f>Database!P1129</f>
        <v>0</v>
      </c>
      <c r="F1114" s="34">
        <f>Database!Q1129</f>
        <v>0</v>
      </c>
      <c r="G1114" s="462">
        <f>Database!R1129</f>
        <v>0</v>
      </c>
      <c r="H1114" s="35">
        <f>Database!N1129</f>
        <v>0</v>
      </c>
    </row>
    <row r="1115" spans="1:8" ht="23.25" x14ac:dyDescent="0.25">
      <c r="A1115" s="225" t="str">
        <f>Database!A1130</f>
        <v/>
      </c>
      <c r="B1115" s="34">
        <f>Database!E1130</f>
        <v>0</v>
      </c>
      <c r="C1115" s="34">
        <f>Database!F1130</f>
        <v>0</v>
      </c>
      <c r="D1115" s="34">
        <f>Database!K1130</f>
        <v>0</v>
      </c>
      <c r="E1115" s="34">
        <f>Database!P1130</f>
        <v>0</v>
      </c>
      <c r="F1115" s="34">
        <f>Database!Q1130</f>
        <v>0</v>
      </c>
      <c r="G1115" s="462">
        <f>Database!R1130</f>
        <v>0</v>
      </c>
      <c r="H1115" s="35">
        <f>Database!N1130</f>
        <v>0</v>
      </c>
    </row>
    <row r="1116" spans="1:8" ht="23.25" x14ac:dyDescent="0.25">
      <c r="A1116" s="225" t="str">
        <f>Database!A1131</f>
        <v/>
      </c>
      <c r="B1116" s="34">
        <f>Database!E1131</f>
        <v>0</v>
      </c>
      <c r="C1116" s="34">
        <f>Database!F1131</f>
        <v>0</v>
      </c>
      <c r="D1116" s="34">
        <f>Database!K1131</f>
        <v>0</v>
      </c>
      <c r="E1116" s="34">
        <f>Database!P1131</f>
        <v>0</v>
      </c>
      <c r="F1116" s="34">
        <f>Database!Q1131</f>
        <v>0</v>
      </c>
      <c r="G1116" s="462">
        <f>Database!R1131</f>
        <v>0</v>
      </c>
      <c r="H1116" s="35">
        <f>Database!N1131</f>
        <v>0</v>
      </c>
    </row>
    <row r="1117" spans="1:8" ht="23.25" x14ac:dyDescent="0.25">
      <c r="A1117" s="225" t="str">
        <f>Database!A1132</f>
        <v/>
      </c>
      <c r="B1117" s="34">
        <f>Database!E1132</f>
        <v>0</v>
      </c>
      <c r="C1117" s="34">
        <f>Database!F1132</f>
        <v>0</v>
      </c>
      <c r="D1117" s="34">
        <f>Database!K1132</f>
        <v>0</v>
      </c>
      <c r="E1117" s="34">
        <f>Database!P1132</f>
        <v>0</v>
      </c>
      <c r="F1117" s="34">
        <f>Database!Q1132</f>
        <v>0</v>
      </c>
      <c r="G1117" s="462">
        <f>Database!R1132</f>
        <v>0</v>
      </c>
      <c r="H1117" s="35">
        <f>Database!N1132</f>
        <v>0</v>
      </c>
    </row>
    <row r="1118" spans="1:8" ht="23.25" x14ac:dyDescent="0.25">
      <c r="A1118" s="225" t="str">
        <f>Database!A1133</f>
        <v/>
      </c>
      <c r="B1118" s="34">
        <f>Database!E1133</f>
        <v>0</v>
      </c>
      <c r="C1118" s="34">
        <f>Database!F1133</f>
        <v>0</v>
      </c>
      <c r="D1118" s="34">
        <f>Database!K1133</f>
        <v>0</v>
      </c>
      <c r="E1118" s="34">
        <f>Database!P1133</f>
        <v>0</v>
      </c>
      <c r="F1118" s="34">
        <f>Database!Q1133</f>
        <v>0</v>
      </c>
      <c r="G1118" s="462">
        <f>Database!R1133</f>
        <v>0</v>
      </c>
      <c r="H1118" s="35">
        <f>Database!N1133</f>
        <v>0</v>
      </c>
    </row>
    <row r="1119" spans="1:8" ht="23.25" x14ac:dyDescent="0.25">
      <c r="A1119" s="225" t="str">
        <f>Database!A1134</f>
        <v/>
      </c>
      <c r="B1119" s="34">
        <f>Database!E1134</f>
        <v>0</v>
      </c>
      <c r="C1119" s="34">
        <f>Database!F1134</f>
        <v>0</v>
      </c>
      <c r="D1119" s="34">
        <f>Database!K1134</f>
        <v>0</v>
      </c>
      <c r="E1119" s="34">
        <f>Database!P1134</f>
        <v>0</v>
      </c>
      <c r="F1119" s="34">
        <f>Database!Q1134</f>
        <v>0</v>
      </c>
      <c r="G1119" s="462">
        <f>Database!R1134</f>
        <v>0</v>
      </c>
      <c r="H1119" s="35">
        <f>Database!N1134</f>
        <v>0</v>
      </c>
    </row>
    <row r="1120" spans="1:8" ht="23.25" x14ac:dyDescent="0.25">
      <c r="A1120" s="225" t="str">
        <f>Database!A1135</f>
        <v/>
      </c>
      <c r="B1120" s="34">
        <f>Database!E1135</f>
        <v>0</v>
      </c>
      <c r="C1120" s="34">
        <f>Database!F1135</f>
        <v>0</v>
      </c>
      <c r="D1120" s="34">
        <f>Database!K1135</f>
        <v>0</v>
      </c>
      <c r="E1120" s="34">
        <f>Database!P1135</f>
        <v>0</v>
      </c>
      <c r="F1120" s="34">
        <f>Database!Q1135</f>
        <v>0</v>
      </c>
      <c r="G1120" s="462">
        <f>Database!R1135</f>
        <v>0</v>
      </c>
      <c r="H1120" s="35">
        <f>Database!N1135</f>
        <v>0</v>
      </c>
    </row>
    <row r="1121" spans="1:8" ht="23.25" x14ac:dyDescent="0.25">
      <c r="A1121" s="225" t="str">
        <f>Database!A1136</f>
        <v/>
      </c>
      <c r="B1121" s="34">
        <f>Database!E1136</f>
        <v>0</v>
      </c>
      <c r="C1121" s="34">
        <f>Database!F1136</f>
        <v>0</v>
      </c>
      <c r="D1121" s="34">
        <f>Database!K1136</f>
        <v>0</v>
      </c>
      <c r="E1121" s="34">
        <f>Database!P1136</f>
        <v>0</v>
      </c>
      <c r="F1121" s="34">
        <f>Database!Q1136</f>
        <v>0</v>
      </c>
      <c r="G1121" s="462">
        <f>Database!R1136</f>
        <v>0</v>
      </c>
      <c r="H1121" s="35">
        <f>Database!N1136</f>
        <v>0</v>
      </c>
    </row>
    <row r="1122" spans="1:8" ht="23.25" x14ac:dyDescent="0.25">
      <c r="A1122" s="225" t="str">
        <f>Database!A1137</f>
        <v/>
      </c>
      <c r="B1122" s="34">
        <f>Database!E1137</f>
        <v>0</v>
      </c>
      <c r="C1122" s="34">
        <f>Database!F1137</f>
        <v>0</v>
      </c>
      <c r="D1122" s="34">
        <f>Database!K1137</f>
        <v>0</v>
      </c>
      <c r="E1122" s="34">
        <f>Database!P1137</f>
        <v>0</v>
      </c>
      <c r="F1122" s="34">
        <f>Database!Q1137</f>
        <v>0</v>
      </c>
      <c r="G1122" s="462">
        <f>Database!R1137</f>
        <v>0</v>
      </c>
      <c r="H1122" s="35">
        <f>Database!N1137</f>
        <v>0</v>
      </c>
    </row>
    <row r="1123" spans="1:8" ht="23.25" x14ac:dyDescent="0.25">
      <c r="A1123" s="225" t="str">
        <f>Database!A1138</f>
        <v/>
      </c>
      <c r="B1123" s="34">
        <f>Database!E1138</f>
        <v>0</v>
      </c>
      <c r="C1123" s="34">
        <f>Database!F1138</f>
        <v>0</v>
      </c>
      <c r="D1123" s="34">
        <f>Database!K1138</f>
        <v>0</v>
      </c>
      <c r="E1123" s="34">
        <f>Database!P1138</f>
        <v>0</v>
      </c>
      <c r="F1123" s="34">
        <f>Database!Q1138</f>
        <v>0</v>
      </c>
      <c r="G1123" s="462">
        <f>Database!R1138</f>
        <v>0</v>
      </c>
      <c r="H1123" s="35">
        <f>Database!N1138</f>
        <v>0</v>
      </c>
    </row>
    <row r="1124" spans="1:8" ht="23.25" x14ac:dyDescent="0.25">
      <c r="A1124" s="225" t="str">
        <f>Database!A1139</f>
        <v/>
      </c>
      <c r="B1124" s="34">
        <f>Database!E1139</f>
        <v>0</v>
      </c>
      <c r="C1124" s="34">
        <f>Database!F1139</f>
        <v>0</v>
      </c>
      <c r="D1124" s="34">
        <f>Database!K1139</f>
        <v>0</v>
      </c>
      <c r="E1124" s="34">
        <f>Database!P1139</f>
        <v>0</v>
      </c>
      <c r="F1124" s="34">
        <f>Database!Q1139</f>
        <v>0</v>
      </c>
      <c r="G1124" s="462">
        <f>Database!R1139</f>
        <v>0</v>
      </c>
      <c r="H1124" s="35">
        <f>Database!N1139</f>
        <v>0</v>
      </c>
    </row>
    <row r="1125" spans="1:8" ht="23.25" x14ac:dyDescent="0.25">
      <c r="A1125" s="225" t="str">
        <f>Database!A1140</f>
        <v/>
      </c>
      <c r="B1125" s="34">
        <f>Database!E1140</f>
        <v>0</v>
      </c>
      <c r="C1125" s="34">
        <f>Database!F1140</f>
        <v>0</v>
      </c>
      <c r="D1125" s="34">
        <f>Database!K1140</f>
        <v>0</v>
      </c>
      <c r="E1125" s="34">
        <f>Database!P1140</f>
        <v>0</v>
      </c>
      <c r="F1125" s="34">
        <f>Database!Q1140</f>
        <v>0</v>
      </c>
      <c r="G1125" s="462">
        <f>Database!R1140</f>
        <v>0</v>
      </c>
      <c r="H1125" s="35">
        <f>Database!N1140</f>
        <v>0</v>
      </c>
    </row>
    <row r="1126" spans="1:8" ht="23.25" x14ac:dyDescent="0.25">
      <c r="A1126" s="225" t="str">
        <f>Database!A1141</f>
        <v/>
      </c>
      <c r="B1126" s="34">
        <f>Database!E1141</f>
        <v>0</v>
      </c>
      <c r="C1126" s="34">
        <f>Database!F1141</f>
        <v>0</v>
      </c>
      <c r="D1126" s="34">
        <f>Database!K1141</f>
        <v>0</v>
      </c>
      <c r="E1126" s="34">
        <f>Database!P1141</f>
        <v>0</v>
      </c>
      <c r="F1126" s="34">
        <f>Database!Q1141</f>
        <v>0</v>
      </c>
      <c r="G1126" s="462">
        <f>Database!R1141</f>
        <v>0</v>
      </c>
      <c r="H1126" s="35">
        <f>Database!N1141</f>
        <v>0</v>
      </c>
    </row>
    <row r="1127" spans="1:8" ht="23.25" x14ac:dyDescent="0.25">
      <c r="A1127" s="225" t="str">
        <f>Database!A1142</f>
        <v/>
      </c>
      <c r="B1127" s="34">
        <f>Database!E1142</f>
        <v>0</v>
      </c>
      <c r="C1127" s="34">
        <f>Database!F1142</f>
        <v>0</v>
      </c>
      <c r="D1127" s="34">
        <f>Database!K1142</f>
        <v>0</v>
      </c>
      <c r="E1127" s="34">
        <f>Database!P1142</f>
        <v>0</v>
      </c>
      <c r="F1127" s="34">
        <f>Database!Q1142</f>
        <v>0</v>
      </c>
      <c r="G1127" s="462">
        <f>Database!R1142</f>
        <v>0</v>
      </c>
      <c r="H1127" s="35">
        <f>Database!N1142</f>
        <v>0</v>
      </c>
    </row>
    <row r="1128" spans="1:8" ht="23.25" x14ac:dyDescent="0.25">
      <c r="A1128" s="225" t="str">
        <f>Database!A1143</f>
        <v/>
      </c>
      <c r="B1128" s="34">
        <f>Database!E1143</f>
        <v>0</v>
      </c>
      <c r="C1128" s="34">
        <f>Database!F1143</f>
        <v>0</v>
      </c>
      <c r="D1128" s="34">
        <f>Database!K1143</f>
        <v>0</v>
      </c>
      <c r="E1128" s="34">
        <f>Database!P1143</f>
        <v>0</v>
      </c>
      <c r="F1128" s="34">
        <f>Database!Q1143</f>
        <v>0</v>
      </c>
      <c r="G1128" s="462">
        <f>Database!R1143</f>
        <v>0</v>
      </c>
      <c r="H1128" s="35">
        <f>Database!N1143</f>
        <v>0</v>
      </c>
    </row>
    <row r="1129" spans="1:8" ht="23.25" x14ac:dyDescent="0.25">
      <c r="A1129" s="225" t="str">
        <f>Database!A1144</f>
        <v/>
      </c>
      <c r="B1129" s="34">
        <f>Database!E1144</f>
        <v>0</v>
      </c>
      <c r="C1129" s="34">
        <f>Database!F1144</f>
        <v>0</v>
      </c>
      <c r="D1129" s="34">
        <f>Database!K1144</f>
        <v>0</v>
      </c>
      <c r="E1129" s="34">
        <f>Database!P1144</f>
        <v>0</v>
      </c>
      <c r="F1129" s="34">
        <f>Database!Q1144</f>
        <v>0</v>
      </c>
      <c r="G1129" s="462">
        <f>Database!R1144</f>
        <v>0</v>
      </c>
      <c r="H1129" s="35">
        <f>Database!N1144</f>
        <v>0</v>
      </c>
    </row>
    <row r="1130" spans="1:8" ht="23.25" x14ac:dyDescent="0.25">
      <c r="A1130" s="225" t="str">
        <f>Database!A1145</f>
        <v/>
      </c>
      <c r="B1130" s="34">
        <f>Database!E1145</f>
        <v>0</v>
      </c>
      <c r="C1130" s="34">
        <f>Database!F1145</f>
        <v>0</v>
      </c>
      <c r="D1130" s="34">
        <f>Database!K1145</f>
        <v>0</v>
      </c>
      <c r="E1130" s="34">
        <f>Database!P1145</f>
        <v>0</v>
      </c>
      <c r="F1130" s="34">
        <f>Database!Q1145</f>
        <v>0</v>
      </c>
      <c r="G1130" s="462">
        <f>Database!R1145</f>
        <v>0</v>
      </c>
      <c r="H1130" s="35">
        <f>Database!N1145</f>
        <v>0</v>
      </c>
    </row>
    <row r="1131" spans="1:8" ht="23.25" x14ac:dyDescent="0.25">
      <c r="A1131" s="225" t="str">
        <f>Database!A1146</f>
        <v/>
      </c>
      <c r="B1131" s="34">
        <f>Database!E1146</f>
        <v>0</v>
      </c>
      <c r="C1131" s="34">
        <f>Database!F1146</f>
        <v>0</v>
      </c>
      <c r="D1131" s="34">
        <f>Database!K1146</f>
        <v>0</v>
      </c>
      <c r="E1131" s="34">
        <f>Database!P1146</f>
        <v>0</v>
      </c>
      <c r="F1131" s="34">
        <f>Database!Q1146</f>
        <v>0</v>
      </c>
      <c r="G1131" s="462">
        <f>Database!R1146</f>
        <v>0</v>
      </c>
      <c r="H1131" s="35">
        <f>Database!N1146</f>
        <v>0</v>
      </c>
    </row>
    <row r="1132" spans="1:8" ht="23.25" x14ac:dyDescent="0.25">
      <c r="A1132" s="225" t="str">
        <f>Database!A1147</f>
        <v/>
      </c>
      <c r="B1132" s="34">
        <f>Database!E1147</f>
        <v>0</v>
      </c>
      <c r="C1132" s="34">
        <f>Database!F1147</f>
        <v>0</v>
      </c>
      <c r="D1132" s="34">
        <f>Database!K1147</f>
        <v>0</v>
      </c>
      <c r="E1132" s="34">
        <f>Database!P1147</f>
        <v>0</v>
      </c>
      <c r="F1132" s="34">
        <f>Database!Q1147</f>
        <v>0</v>
      </c>
      <c r="G1132" s="462">
        <f>Database!R1147</f>
        <v>0</v>
      </c>
      <c r="H1132" s="35">
        <f>Database!N1147</f>
        <v>0</v>
      </c>
    </row>
    <row r="1133" spans="1:8" ht="23.25" x14ac:dyDescent="0.25">
      <c r="A1133" s="225" t="str">
        <f>Database!A1148</f>
        <v/>
      </c>
      <c r="B1133" s="34">
        <f>Database!E1148</f>
        <v>0</v>
      </c>
      <c r="C1133" s="34">
        <f>Database!F1148</f>
        <v>0</v>
      </c>
      <c r="D1133" s="34">
        <f>Database!K1148</f>
        <v>0</v>
      </c>
      <c r="E1133" s="34">
        <f>Database!P1148</f>
        <v>0</v>
      </c>
      <c r="F1133" s="34">
        <f>Database!Q1148</f>
        <v>0</v>
      </c>
      <c r="G1133" s="462">
        <f>Database!R1148</f>
        <v>0</v>
      </c>
      <c r="H1133" s="35">
        <f>Database!N1148</f>
        <v>0</v>
      </c>
    </row>
    <row r="1134" spans="1:8" ht="23.25" x14ac:dyDescent="0.25">
      <c r="A1134" s="225" t="str">
        <f>Database!A1149</f>
        <v/>
      </c>
      <c r="B1134" s="34">
        <f>Database!E1149</f>
        <v>0</v>
      </c>
      <c r="C1134" s="34">
        <f>Database!F1149</f>
        <v>0</v>
      </c>
      <c r="D1134" s="34">
        <f>Database!K1149</f>
        <v>0</v>
      </c>
      <c r="E1134" s="34">
        <f>Database!P1149</f>
        <v>0</v>
      </c>
      <c r="F1134" s="34">
        <f>Database!Q1149</f>
        <v>0</v>
      </c>
      <c r="G1134" s="462">
        <f>Database!R1149</f>
        <v>0</v>
      </c>
      <c r="H1134" s="35">
        <f>Database!N1149</f>
        <v>0</v>
      </c>
    </row>
    <row r="1135" spans="1:8" ht="23.25" x14ac:dyDescent="0.25">
      <c r="A1135" s="225" t="str">
        <f>Database!A1150</f>
        <v/>
      </c>
      <c r="B1135" s="34">
        <f>Database!E1150</f>
        <v>0</v>
      </c>
      <c r="C1135" s="34">
        <f>Database!F1150</f>
        <v>0</v>
      </c>
      <c r="D1135" s="34">
        <f>Database!K1150</f>
        <v>0</v>
      </c>
      <c r="E1135" s="34">
        <f>Database!P1150</f>
        <v>0</v>
      </c>
      <c r="F1135" s="34">
        <f>Database!Q1150</f>
        <v>0</v>
      </c>
      <c r="G1135" s="462">
        <f>Database!R1150</f>
        <v>0</v>
      </c>
      <c r="H1135" s="35">
        <f>Database!N1150</f>
        <v>0</v>
      </c>
    </row>
    <row r="1136" spans="1:8" ht="23.25" x14ac:dyDescent="0.25">
      <c r="A1136" s="225" t="str">
        <f>Database!A1151</f>
        <v/>
      </c>
      <c r="B1136" s="34">
        <f>Database!E1151</f>
        <v>0</v>
      </c>
      <c r="C1136" s="34">
        <f>Database!F1151</f>
        <v>0</v>
      </c>
      <c r="D1136" s="34">
        <f>Database!K1151</f>
        <v>0</v>
      </c>
      <c r="E1136" s="34">
        <f>Database!P1151</f>
        <v>0</v>
      </c>
      <c r="F1136" s="34">
        <f>Database!Q1151</f>
        <v>0</v>
      </c>
      <c r="G1136" s="462">
        <f>Database!R1151</f>
        <v>0</v>
      </c>
      <c r="H1136" s="35">
        <f>Database!N1151</f>
        <v>0</v>
      </c>
    </row>
    <row r="1137" spans="1:8" ht="23.25" x14ac:dyDescent="0.25">
      <c r="A1137" s="225" t="str">
        <f>Database!A1152</f>
        <v/>
      </c>
      <c r="B1137" s="34">
        <f>Database!E1152</f>
        <v>0</v>
      </c>
      <c r="C1137" s="34">
        <f>Database!F1152</f>
        <v>0</v>
      </c>
      <c r="D1137" s="34">
        <f>Database!K1152</f>
        <v>0</v>
      </c>
      <c r="E1137" s="34">
        <f>Database!P1152</f>
        <v>0</v>
      </c>
      <c r="F1137" s="34">
        <f>Database!Q1152</f>
        <v>0</v>
      </c>
      <c r="G1137" s="462">
        <f>Database!R1152</f>
        <v>0</v>
      </c>
      <c r="H1137" s="35">
        <f>Database!N1152</f>
        <v>0</v>
      </c>
    </row>
    <row r="1138" spans="1:8" ht="23.25" x14ac:dyDescent="0.25">
      <c r="A1138" s="225" t="str">
        <f>Database!A1153</f>
        <v/>
      </c>
      <c r="B1138" s="34">
        <f>Database!E1153</f>
        <v>0</v>
      </c>
      <c r="C1138" s="34">
        <f>Database!F1153</f>
        <v>0</v>
      </c>
      <c r="D1138" s="34">
        <f>Database!K1153</f>
        <v>0</v>
      </c>
      <c r="E1138" s="34">
        <f>Database!P1153</f>
        <v>0</v>
      </c>
      <c r="F1138" s="34">
        <f>Database!Q1153</f>
        <v>0</v>
      </c>
      <c r="G1138" s="462">
        <f>Database!R1153</f>
        <v>0</v>
      </c>
      <c r="H1138" s="35">
        <f>Database!N1153</f>
        <v>0</v>
      </c>
    </row>
    <row r="1139" spans="1:8" ht="23.25" x14ac:dyDescent="0.25">
      <c r="A1139" s="225" t="str">
        <f>Database!A1154</f>
        <v/>
      </c>
      <c r="B1139" s="34">
        <f>Database!E1154</f>
        <v>0</v>
      </c>
      <c r="C1139" s="34">
        <f>Database!F1154</f>
        <v>0</v>
      </c>
      <c r="D1139" s="34">
        <f>Database!K1154</f>
        <v>0</v>
      </c>
      <c r="E1139" s="34">
        <f>Database!P1154</f>
        <v>0</v>
      </c>
      <c r="F1139" s="34">
        <f>Database!Q1154</f>
        <v>0</v>
      </c>
      <c r="G1139" s="462">
        <f>Database!R1154</f>
        <v>0</v>
      </c>
      <c r="H1139" s="35">
        <f>Database!N1154</f>
        <v>0</v>
      </c>
    </row>
    <row r="1140" spans="1:8" ht="23.25" x14ac:dyDescent="0.25">
      <c r="A1140" s="225" t="str">
        <f>Database!A1155</f>
        <v/>
      </c>
      <c r="B1140" s="34">
        <f>Database!E1155</f>
        <v>0</v>
      </c>
      <c r="C1140" s="34">
        <f>Database!F1155</f>
        <v>0</v>
      </c>
      <c r="D1140" s="34">
        <f>Database!K1155</f>
        <v>0</v>
      </c>
      <c r="E1140" s="34">
        <f>Database!P1155</f>
        <v>0</v>
      </c>
      <c r="F1140" s="34">
        <f>Database!Q1155</f>
        <v>0</v>
      </c>
      <c r="G1140" s="462">
        <f>Database!R1155</f>
        <v>0</v>
      </c>
      <c r="H1140" s="35">
        <f>Database!N1155</f>
        <v>0</v>
      </c>
    </row>
    <row r="1141" spans="1:8" ht="23.25" x14ac:dyDescent="0.25">
      <c r="A1141" s="225" t="str">
        <f>Database!A1156</f>
        <v/>
      </c>
      <c r="B1141" s="34">
        <f>Database!E1156</f>
        <v>0</v>
      </c>
      <c r="C1141" s="34">
        <f>Database!F1156</f>
        <v>0</v>
      </c>
      <c r="D1141" s="34">
        <f>Database!K1156</f>
        <v>0</v>
      </c>
      <c r="E1141" s="34">
        <f>Database!P1156</f>
        <v>0</v>
      </c>
      <c r="F1141" s="34">
        <f>Database!Q1156</f>
        <v>0</v>
      </c>
      <c r="G1141" s="462">
        <f>Database!R1156</f>
        <v>0</v>
      </c>
      <c r="H1141" s="35">
        <f>Database!N1156</f>
        <v>0</v>
      </c>
    </row>
    <row r="1142" spans="1:8" ht="23.25" x14ac:dyDescent="0.25">
      <c r="A1142" s="225" t="str">
        <f>Database!A1157</f>
        <v/>
      </c>
      <c r="B1142" s="34">
        <f>Database!E1157</f>
        <v>0</v>
      </c>
      <c r="C1142" s="34">
        <f>Database!F1157</f>
        <v>0</v>
      </c>
      <c r="D1142" s="34">
        <f>Database!K1157</f>
        <v>0</v>
      </c>
      <c r="E1142" s="34">
        <f>Database!P1157</f>
        <v>0</v>
      </c>
      <c r="F1142" s="34">
        <f>Database!Q1157</f>
        <v>0</v>
      </c>
      <c r="G1142" s="462">
        <f>Database!R1157</f>
        <v>0</v>
      </c>
      <c r="H1142" s="35">
        <f>Database!N1157</f>
        <v>0</v>
      </c>
    </row>
    <row r="1143" spans="1:8" ht="23.25" x14ac:dyDescent="0.25">
      <c r="A1143" s="225" t="str">
        <f>Database!A1158</f>
        <v/>
      </c>
      <c r="B1143" s="34">
        <f>Database!E1158</f>
        <v>0</v>
      </c>
      <c r="C1143" s="34">
        <f>Database!F1158</f>
        <v>0</v>
      </c>
      <c r="D1143" s="34">
        <f>Database!K1158</f>
        <v>0</v>
      </c>
      <c r="E1143" s="34">
        <f>Database!P1158</f>
        <v>0</v>
      </c>
      <c r="F1143" s="34">
        <f>Database!Q1158</f>
        <v>0</v>
      </c>
      <c r="G1143" s="462">
        <f>Database!R1158</f>
        <v>0</v>
      </c>
      <c r="H1143" s="35">
        <f>Database!N1158</f>
        <v>0</v>
      </c>
    </row>
    <row r="1144" spans="1:8" ht="23.25" x14ac:dyDescent="0.25">
      <c r="A1144" s="225" t="str">
        <f>Database!A1159</f>
        <v/>
      </c>
      <c r="B1144" s="34">
        <f>Database!E1159</f>
        <v>0</v>
      </c>
      <c r="C1144" s="34">
        <f>Database!F1159</f>
        <v>0</v>
      </c>
      <c r="D1144" s="34">
        <f>Database!K1159</f>
        <v>0</v>
      </c>
      <c r="E1144" s="34">
        <f>Database!P1159</f>
        <v>0</v>
      </c>
      <c r="F1144" s="34">
        <f>Database!Q1159</f>
        <v>0</v>
      </c>
      <c r="G1144" s="462">
        <f>Database!R1159</f>
        <v>0</v>
      </c>
      <c r="H1144" s="35">
        <f>Database!N1159</f>
        <v>0</v>
      </c>
    </row>
    <row r="1145" spans="1:8" ht="23.25" x14ac:dyDescent="0.25">
      <c r="A1145" s="225" t="str">
        <f>Database!A1160</f>
        <v/>
      </c>
      <c r="B1145" s="34">
        <f>Database!E1160</f>
        <v>0</v>
      </c>
      <c r="C1145" s="34">
        <f>Database!F1160</f>
        <v>0</v>
      </c>
      <c r="D1145" s="34">
        <f>Database!K1160</f>
        <v>0</v>
      </c>
      <c r="E1145" s="34">
        <f>Database!P1160</f>
        <v>0</v>
      </c>
      <c r="F1145" s="34">
        <f>Database!Q1160</f>
        <v>0</v>
      </c>
      <c r="G1145" s="462">
        <f>Database!R1160</f>
        <v>0</v>
      </c>
      <c r="H1145" s="35">
        <f>Database!N1160</f>
        <v>0</v>
      </c>
    </row>
    <row r="1146" spans="1:8" ht="23.25" x14ac:dyDescent="0.25">
      <c r="A1146" s="225" t="str">
        <f>Database!A1161</f>
        <v/>
      </c>
      <c r="B1146" s="34">
        <f>Database!E1161</f>
        <v>0</v>
      </c>
      <c r="C1146" s="34">
        <f>Database!F1161</f>
        <v>0</v>
      </c>
      <c r="D1146" s="34">
        <f>Database!K1161</f>
        <v>0</v>
      </c>
      <c r="E1146" s="34">
        <f>Database!P1161</f>
        <v>0</v>
      </c>
      <c r="F1146" s="34">
        <f>Database!Q1161</f>
        <v>0</v>
      </c>
      <c r="G1146" s="462">
        <f>Database!R1161</f>
        <v>0</v>
      </c>
      <c r="H1146" s="35">
        <f>Database!N1161</f>
        <v>0</v>
      </c>
    </row>
    <row r="1147" spans="1:8" ht="23.25" x14ac:dyDescent="0.25">
      <c r="A1147" s="225" t="str">
        <f>Database!A1162</f>
        <v/>
      </c>
      <c r="B1147" s="34">
        <f>Database!E1162</f>
        <v>0</v>
      </c>
      <c r="C1147" s="34">
        <f>Database!F1162</f>
        <v>0</v>
      </c>
      <c r="D1147" s="34">
        <f>Database!K1162</f>
        <v>0</v>
      </c>
      <c r="E1147" s="34">
        <f>Database!P1162</f>
        <v>0</v>
      </c>
      <c r="F1147" s="34">
        <f>Database!Q1162</f>
        <v>0</v>
      </c>
      <c r="G1147" s="462">
        <f>Database!R1162</f>
        <v>0</v>
      </c>
      <c r="H1147" s="35">
        <f>Database!N1162</f>
        <v>0</v>
      </c>
    </row>
    <row r="1148" spans="1:8" ht="23.25" x14ac:dyDescent="0.25">
      <c r="A1148" s="225" t="str">
        <f>Database!A1163</f>
        <v/>
      </c>
      <c r="B1148" s="34">
        <f>Database!E1163</f>
        <v>0</v>
      </c>
      <c r="C1148" s="34">
        <f>Database!F1163</f>
        <v>0</v>
      </c>
      <c r="D1148" s="34">
        <f>Database!K1163</f>
        <v>0</v>
      </c>
      <c r="E1148" s="34">
        <f>Database!P1163</f>
        <v>0</v>
      </c>
      <c r="F1148" s="34">
        <f>Database!Q1163</f>
        <v>0</v>
      </c>
      <c r="G1148" s="462">
        <f>Database!R1163</f>
        <v>0</v>
      </c>
      <c r="H1148" s="35">
        <f>Database!N1163</f>
        <v>0</v>
      </c>
    </row>
    <row r="1149" spans="1:8" ht="23.25" x14ac:dyDescent="0.25">
      <c r="A1149" s="225" t="str">
        <f>Database!A1164</f>
        <v/>
      </c>
      <c r="B1149" s="34">
        <f>Database!E1164</f>
        <v>0</v>
      </c>
      <c r="C1149" s="34">
        <f>Database!F1164</f>
        <v>0</v>
      </c>
      <c r="D1149" s="34">
        <f>Database!K1164</f>
        <v>0</v>
      </c>
      <c r="E1149" s="34">
        <f>Database!P1164</f>
        <v>0</v>
      </c>
      <c r="F1149" s="34">
        <f>Database!Q1164</f>
        <v>0</v>
      </c>
      <c r="G1149" s="462">
        <f>Database!R1164</f>
        <v>0</v>
      </c>
      <c r="H1149" s="35">
        <f>Database!N1164</f>
        <v>0</v>
      </c>
    </row>
    <row r="1150" spans="1:8" ht="23.25" x14ac:dyDescent="0.25">
      <c r="A1150" s="225" t="str">
        <f>Database!A1165</f>
        <v/>
      </c>
      <c r="B1150" s="34">
        <f>Database!E1165</f>
        <v>0</v>
      </c>
      <c r="C1150" s="34">
        <f>Database!F1165</f>
        <v>0</v>
      </c>
      <c r="D1150" s="34">
        <f>Database!K1165</f>
        <v>0</v>
      </c>
      <c r="E1150" s="34">
        <f>Database!P1165</f>
        <v>0</v>
      </c>
      <c r="F1150" s="34">
        <f>Database!Q1165</f>
        <v>0</v>
      </c>
      <c r="G1150" s="462">
        <f>Database!R1165</f>
        <v>0</v>
      </c>
      <c r="H1150" s="35">
        <f>Database!N1165</f>
        <v>0</v>
      </c>
    </row>
    <row r="1151" spans="1:8" ht="23.25" x14ac:dyDescent="0.25">
      <c r="A1151" s="225" t="str">
        <f>Database!A1166</f>
        <v/>
      </c>
      <c r="B1151" s="34">
        <f>Database!E1166</f>
        <v>0</v>
      </c>
      <c r="C1151" s="34">
        <f>Database!F1166</f>
        <v>0</v>
      </c>
      <c r="D1151" s="34">
        <f>Database!K1166</f>
        <v>0</v>
      </c>
      <c r="E1151" s="34">
        <f>Database!P1166</f>
        <v>0</v>
      </c>
      <c r="F1151" s="34">
        <f>Database!Q1166</f>
        <v>0</v>
      </c>
      <c r="G1151" s="462">
        <f>Database!R1166</f>
        <v>0</v>
      </c>
      <c r="H1151" s="35">
        <f>Database!N1166</f>
        <v>0</v>
      </c>
    </row>
    <row r="1152" spans="1:8" ht="23.25" x14ac:dyDescent="0.25">
      <c r="A1152" s="225" t="str">
        <f>Database!A1167</f>
        <v/>
      </c>
      <c r="B1152" s="34">
        <f>Database!E1167</f>
        <v>0</v>
      </c>
      <c r="C1152" s="34">
        <f>Database!F1167</f>
        <v>0</v>
      </c>
      <c r="D1152" s="34">
        <f>Database!K1167</f>
        <v>0</v>
      </c>
      <c r="E1152" s="34">
        <f>Database!P1167</f>
        <v>0</v>
      </c>
      <c r="F1152" s="34">
        <f>Database!Q1167</f>
        <v>0</v>
      </c>
      <c r="G1152" s="462">
        <f>Database!R1167</f>
        <v>0</v>
      </c>
      <c r="H1152" s="35">
        <f>Database!N1167</f>
        <v>0</v>
      </c>
    </row>
    <row r="1153" spans="1:8" ht="23.25" x14ac:dyDescent="0.25">
      <c r="A1153" s="225" t="str">
        <f>Database!A1168</f>
        <v/>
      </c>
      <c r="B1153" s="34">
        <f>Database!E1168</f>
        <v>0</v>
      </c>
      <c r="C1153" s="34">
        <f>Database!F1168</f>
        <v>0</v>
      </c>
      <c r="D1153" s="34">
        <f>Database!K1168</f>
        <v>0</v>
      </c>
      <c r="E1153" s="34">
        <f>Database!P1168</f>
        <v>0</v>
      </c>
      <c r="F1153" s="34">
        <f>Database!Q1168</f>
        <v>0</v>
      </c>
      <c r="G1153" s="462">
        <f>Database!R1168</f>
        <v>0</v>
      </c>
      <c r="H1153" s="35">
        <f>Database!N1168</f>
        <v>0</v>
      </c>
    </row>
    <row r="1154" spans="1:8" ht="23.25" x14ac:dyDescent="0.25">
      <c r="A1154" s="225" t="str">
        <f>Database!A1169</f>
        <v/>
      </c>
      <c r="B1154" s="34">
        <f>Database!E1169</f>
        <v>0</v>
      </c>
      <c r="C1154" s="34">
        <f>Database!F1169</f>
        <v>0</v>
      </c>
      <c r="D1154" s="34">
        <f>Database!K1169</f>
        <v>0</v>
      </c>
      <c r="E1154" s="34">
        <f>Database!P1169</f>
        <v>0</v>
      </c>
      <c r="F1154" s="34">
        <f>Database!Q1169</f>
        <v>0</v>
      </c>
      <c r="G1154" s="462">
        <f>Database!R1169</f>
        <v>0</v>
      </c>
      <c r="H1154" s="35">
        <f>Database!N1169</f>
        <v>0</v>
      </c>
    </row>
    <row r="1155" spans="1:8" ht="23.25" x14ac:dyDescent="0.25">
      <c r="A1155" s="225" t="str">
        <f>Database!A1170</f>
        <v/>
      </c>
      <c r="B1155" s="34">
        <f>Database!E1170</f>
        <v>0</v>
      </c>
      <c r="C1155" s="34">
        <f>Database!F1170</f>
        <v>0</v>
      </c>
      <c r="D1155" s="34">
        <f>Database!K1170</f>
        <v>0</v>
      </c>
      <c r="E1155" s="34">
        <f>Database!P1170</f>
        <v>0</v>
      </c>
      <c r="F1155" s="34">
        <f>Database!Q1170</f>
        <v>0</v>
      </c>
      <c r="G1155" s="462">
        <f>Database!R1170</f>
        <v>0</v>
      </c>
      <c r="H1155" s="35">
        <f>Database!N1170</f>
        <v>0</v>
      </c>
    </row>
    <row r="1156" spans="1:8" ht="23.25" x14ac:dyDescent="0.25">
      <c r="A1156" s="225" t="str">
        <f>Database!A1171</f>
        <v/>
      </c>
      <c r="B1156" s="34">
        <f>Database!E1171</f>
        <v>0</v>
      </c>
      <c r="C1156" s="34">
        <f>Database!F1171</f>
        <v>0</v>
      </c>
      <c r="D1156" s="34">
        <f>Database!K1171</f>
        <v>0</v>
      </c>
      <c r="E1156" s="34">
        <f>Database!P1171</f>
        <v>0</v>
      </c>
      <c r="F1156" s="34">
        <f>Database!Q1171</f>
        <v>0</v>
      </c>
      <c r="G1156" s="462">
        <f>Database!R1171</f>
        <v>0</v>
      </c>
      <c r="H1156" s="35">
        <f>Database!N1171</f>
        <v>0</v>
      </c>
    </row>
    <row r="1157" spans="1:8" ht="23.25" x14ac:dyDescent="0.25">
      <c r="A1157" s="225" t="str">
        <f>Database!A1172</f>
        <v/>
      </c>
      <c r="B1157" s="34">
        <f>Database!E1172</f>
        <v>0</v>
      </c>
      <c r="C1157" s="34">
        <f>Database!F1172</f>
        <v>0</v>
      </c>
      <c r="D1157" s="34">
        <f>Database!K1172</f>
        <v>0</v>
      </c>
      <c r="E1157" s="34">
        <f>Database!P1172</f>
        <v>0</v>
      </c>
      <c r="F1157" s="34">
        <f>Database!Q1172</f>
        <v>0</v>
      </c>
      <c r="G1157" s="462">
        <f>Database!R1172</f>
        <v>0</v>
      </c>
      <c r="H1157" s="35">
        <f>Database!N1172</f>
        <v>0</v>
      </c>
    </row>
    <row r="1158" spans="1:8" ht="23.25" x14ac:dyDescent="0.25">
      <c r="A1158" s="225" t="str">
        <f>Database!A1173</f>
        <v/>
      </c>
      <c r="B1158" s="34">
        <f>Database!E1173</f>
        <v>0</v>
      </c>
      <c r="C1158" s="34">
        <f>Database!F1173</f>
        <v>0</v>
      </c>
      <c r="D1158" s="34">
        <f>Database!K1173</f>
        <v>0</v>
      </c>
      <c r="E1158" s="34">
        <f>Database!P1173</f>
        <v>0</v>
      </c>
      <c r="F1158" s="34">
        <f>Database!Q1173</f>
        <v>0</v>
      </c>
      <c r="G1158" s="462">
        <f>Database!R1173</f>
        <v>0</v>
      </c>
      <c r="H1158" s="35">
        <f>Database!N1173</f>
        <v>0</v>
      </c>
    </row>
    <row r="1159" spans="1:8" ht="23.25" x14ac:dyDescent="0.25">
      <c r="A1159" s="225" t="str">
        <f>Database!A1174</f>
        <v/>
      </c>
      <c r="B1159" s="34">
        <f>Database!E1174</f>
        <v>0</v>
      </c>
      <c r="C1159" s="34">
        <f>Database!F1174</f>
        <v>0</v>
      </c>
      <c r="D1159" s="34">
        <f>Database!K1174</f>
        <v>0</v>
      </c>
      <c r="E1159" s="34">
        <f>Database!P1174</f>
        <v>0</v>
      </c>
      <c r="F1159" s="34">
        <f>Database!Q1174</f>
        <v>0</v>
      </c>
      <c r="G1159" s="462">
        <f>Database!R1174</f>
        <v>0</v>
      </c>
      <c r="H1159" s="35">
        <f>Database!N1174</f>
        <v>0</v>
      </c>
    </row>
    <row r="1160" spans="1:8" ht="23.25" x14ac:dyDescent="0.25">
      <c r="A1160" s="225" t="str">
        <f>Database!A1175</f>
        <v/>
      </c>
      <c r="B1160" s="34">
        <f>Database!E1175</f>
        <v>0</v>
      </c>
      <c r="C1160" s="34">
        <f>Database!F1175</f>
        <v>0</v>
      </c>
      <c r="D1160" s="34">
        <f>Database!K1175</f>
        <v>0</v>
      </c>
      <c r="E1160" s="34">
        <f>Database!P1175</f>
        <v>0</v>
      </c>
      <c r="F1160" s="34">
        <f>Database!Q1175</f>
        <v>0</v>
      </c>
      <c r="G1160" s="462">
        <f>Database!R1175</f>
        <v>0</v>
      </c>
      <c r="H1160" s="35">
        <f>Database!N1175</f>
        <v>0</v>
      </c>
    </row>
    <row r="1161" spans="1:8" ht="23.25" x14ac:dyDescent="0.25">
      <c r="A1161" s="225" t="str">
        <f>Database!A1176</f>
        <v/>
      </c>
      <c r="B1161" s="34">
        <f>Database!E1176</f>
        <v>0</v>
      </c>
      <c r="C1161" s="34">
        <f>Database!F1176</f>
        <v>0</v>
      </c>
      <c r="D1161" s="34">
        <f>Database!K1176</f>
        <v>0</v>
      </c>
      <c r="E1161" s="34">
        <f>Database!P1176</f>
        <v>0</v>
      </c>
      <c r="F1161" s="34">
        <f>Database!Q1176</f>
        <v>0</v>
      </c>
      <c r="G1161" s="462">
        <f>Database!R1176</f>
        <v>0</v>
      </c>
      <c r="H1161" s="35">
        <f>Database!N1176</f>
        <v>0</v>
      </c>
    </row>
    <row r="1162" spans="1:8" ht="23.25" x14ac:dyDescent="0.25">
      <c r="A1162" s="225" t="str">
        <f>Database!A1177</f>
        <v/>
      </c>
      <c r="B1162" s="34">
        <f>Database!E1177</f>
        <v>0</v>
      </c>
      <c r="C1162" s="34">
        <f>Database!F1177</f>
        <v>0</v>
      </c>
      <c r="D1162" s="34">
        <f>Database!K1177</f>
        <v>0</v>
      </c>
      <c r="E1162" s="34">
        <f>Database!P1177</f>
        <v>0</v>
      </c>
      <c r="F1162" s="34">
        <f>Database!Q1177</f>
        <v>0</v>
      </c>
      <c r="G1162" s="462">
        <f>Database!R1177</f>
        <v>0</v>
      </c>
      <c r="H1162" s="35">
        <f>Database!N1177</f>
        <v>0</v>
      </c>
    </row>
    <row r="1163" spans="1:8" ht="23.25" x14ac:dyDescent="0.25">
      <c r="A1163" s="225" t="str">
        <f>Database!A1178</f>
        <v/>
      </c>
      <c r="B1163" s="34">
        <f>Database!E1178</f>
        <v>0</v>
      </c>
      <c r="C1163" s="34">
        <f>Database!F1178</f>
        <v>0</v>
      </c>
      <c r="D1163" s="34">
        <f>Database!K1178</f>
        <v>0</v>
      </c>
      <c r="E1163" s="34">
        <f>Database!P1178</f>
        <v>0</v>
      </c>
      <c r="F1163" s="34">
        <f>Database!Q1178</f>
        <v>0</v>
      </c>
      <c r="G1163" s="462">
        <f>Database!R1178</f>
        <v>0</v>
      </c>
      <c r="H1163" s="35">
        <f>Database!N1178</f>
        <v>0</v>
      </c>
    </row>
    <row r="1164" spans="1:8" ht="23.25" x14ac:dyDescent="0.25">
      <c r="A1164" s="225" t="str">
        <f>Database!A1179</f>
        <v/>
      </c>
      <c r="B1164" s="34">
        <f>Database!E1179</f>
        <v>0</v>
      </c>
      <c r="C1164" s="34">
        <f>Database!F1179</f>
        <v>0</v>
      </c>
      <c r="D1164" s="34">
        <f>Database!K1179</f>
        <v>0</v>
      </c>
      <c r="E1164" s="34">
        <f>Database!P1179</f>
        <v>0</v>
      </c>
      <c r="F1164" s="34">
        <f>Database!Q1179</f>
        <v>0</v>
      </c>
      <c r="G1164" s="462">
        <f>Database!R1179</f>
        <v>0</v>
      </c>
      <c r="H1164" s="35">
        <f>Database!N1179</f>
        <v>0</v>
      </c>
    </row>
    <row r="1165" spans="1:8" ht="23.25" x14ac:dyDescent="0.25">
      <c r="A1165" s="225" t="str">
        <f>Database!A1180</f>
        <v/>
      </c>
      <c r="B1165" s="34">
        <f>Database!E1180</f>
        <v>0</v>
      </c>
      <c r="C1165" s="34">
        <f>Database!F1180</f>
        <v>0</v>
      </c>
      <c r="D1165" s="34">
        <f>Database!K1180</f>
        <v>0</v>
      </c>
      <c r="E1165" s="34">
        <f>Database!P1180</f>
        <v>0</v>
      </c>
      <c r="F1165" s="34">
        <f>Database!Q1180</f>
        <v>0</v>
      </c>
      <c r="G1165" s="462">
        <f>Database!R1180</f>
        <v>0</v>
      </c>
      <c r="H1165" s="35">
        <f>Database!N1180</f>
        <v>0</v>
      </c>
    </row>
    <row r="1166" spans="1:8" ht="23.25" x14ac:dyDescent="0.25">
      <c r="A1166" s="225" t="str">
        <f>Database!A1181</f>
        <v/>
      </c>
      <c r="B1166" s="34">
        <f>Database!E1181</f>
        <v>0</v>
      </c>
      <c r="C1166" s="34">
        <f>Database!F1181</f>
        <v>0</v>
      </c>
      <c r="D1166" s="34">
        <f>Database!K1181</f>
        <v>0</v>
      </c>
      <c r="E1166" s="34">
        <f>Database!P1181</f>
        <v>0</v>
      </c>
      <c r="F1166" s="34">
        <f>Database!Q1181</f>
        <v>0</v>
      </c>
      <c r="G1166" s="462">
        <f>Database!R1181</f>
        <v>0</v>
      </c>
      <c r="H1166" s="35">
        <f>Database!N1181</f>
        <v>0</v>
      </c>
    </row>
    <row r="1167" spans="1:8" ht="23.25" x14ac:dyDescent="0.25">
      <c r="A1167" s="225" t="str">
        <f>Database!A1182</f>
        <v/>
      </c>
      <c r="B1167" s="34">
        <f>Database!E1182</f>
        <v>0</v>
      </c>
      <c r="C1167" s="34">
        <f>Database!F1182</f>
        <v>0</v>
      </c>
      <c r="D1167" s="34">
        <f>Database!K1182</f>
        <v>0</v>
      </c>
      <c r="E1167" s="34">
        <f>Database!P1182</f>
        <v>0</v>
      </c>
      <c r="F1167" s="34">
        <f>Database!Q1182</f>
        <v>0</v>
      </c>
      <c r="G1167" s="462">
        <f>Database!R1182</f>
        <v>0</v>
      </c>
      <c r="H1167" s="35">
        <f>Database!N1182</f>
        <v>0</v>
      </c>
    </row>
    <row r="1168" spans="1:8" ht="23.25" x14ac:dyDescent="0.25">
      <c r="A1168" s="225" t="str">
        <f>Database!A1183</f>
        <v/>
      </c>
      <c r="B1168" s="34">
        <f>Database!E1183</f>
        <v>0</v>
      </c>
      <c r="C1168" s="34">
        <f>Database!F1183</f>
        <v>0</v>
      </c>
      <c r="D1168" s="34">
        <f>Database!K1183</f>
        <v>0</v>
      </c>
      <c r="E1168" s="34">
        <f>Database!P1183</f>
        <v>0</v>
      </c>
      <c r="F1168" s="34">
        <f>Database!Q1183</f>
        <v>0</v>
      </c>
      <c r="G1168" s="462">
        <f>Database!R1183</f>
        <v>0</v>
      </c>
      <c r="H1168" s="35">
        <f>Database!N1183</f>
        <v>0</v>
      </c>
    </row>
    <row r="1169" spans="1:8" ht="23.25" x14ac:dyDescent="0.25">
      <c r="A1169" s="225" t="str">
        <f>Database!A1184</f>
        <v/>
      </c>
      <c r="B1169" s="34">
        <f>Database!E1184</f>
        <v>0</v>
      </c>
      <c r="C1169" s="34">
        <f>Database!F1184</f>
        <v>0</v>
      </c>
      <c r="D1169" s="34">
        <f>Database!K1184</f>
        <v>0</v>
      </c>
      <c r="E1169" s="34">
        <f>Database!P1184</f>
        <v>0</v>
      </c>
      <c r="F1169" s="34">
        <f>Database!Q1184</f>
        <v>0</v>
      </c>
      <c r="G1169" s="462">
        <f>Database!R1184</f>
        <v>0</v>
      </c>
      <c r="H1169" s="35">
        <f>Database!N1184</f>
        <v>0</v>
      </c>
    </row>
    <row r="1170" spans="1:8" ht="23.25" x14ac:dyDescent="0.25">
      <c r="A1170" s="225" t="str">
        <f>Database!A1185</f>
        <v/>
      </c>
      <c r="B1170" s="34">
        <f>Database!E1185</f>
        <v>0</v>
      </c>
      <c r="C1170" s="34">
        <f>Database!F1185</f>
        <v>0</v>
      </c>
      <c r="D1170" s="34">
        <f>Database!K1185</f>
        <v>0</v>
      </c>
      <c r="E1170" s="34">
        <f>Database!P1185</f>
        <v>0</v>
      </c>
      <c r="F1170" s="34">
        <f>Database!Q1185</f>
        <v>0</v>
      </c>
      <c r="G1170" s="462">
        <f>Database!R1185</f>
        <v>0</v>
      </c>
      <c r="H1170" s="35">
        <f>Database!N1185</f>
        <v>0</v>
      </c>
    </row>
    <row r="1171" spans="1:8" ht="23.25" x14ac:dyDescent="0.25">
      <c r="A1171" s="225" t="str">
        <f>Database!A1186</f>
        <v/>
      </c>
      <c r="B1171" s="34">
        <f>Database!E1186</f>
        <v>0</v>
      </c>
      <c r="C1171" s="34">
        <f>Database!F1186</f>
        <v>0</v>
      </c>
      <c r="D1171" s="34">
        <f>Database!K1186</f>
        <v>0</v>
      </c>
      <c r="E1171" s="34">
        <f>Database!P1186</f>
        <v>0</v>
      </c>
      <c r="F1171" s="34">
        <f>Database!Q1186</f>
        <v>0</v>
      </c>
      <c r="G1171" s="462">
        <f>Database!R1186</f>
        <v>0</v>
      </c>
      <c r="H1171" s="35">
        <f>Database!N1186</f>
        <v>0</v>
      </c>
    </row>
    <row r="1172" spans="1:8" ht="23.25" x14ac:dyDescent="0.25">
      <c r="A1172" s="225" t="str">
        <f>Database!A1187</f>
        <v/>
      </c>
      <c r="B1172" s="34">
        <f>Database!E1187</f>
        <v>0</v>
      </c>
      <c r="C1172" s="34">
        <f>Database!F1187</f>
        <v>0</v>
      </c>
      <c r="D1172" s="34">
        <f>Database!K1187</f>
        <v>0</v>
      </c>
      <c r="E1172" s="34">
        <f>Database!P1187</f>
        <v>0</v>
      </c>
      <c r="F1172" s="34">
        <f>Database!Q1187</f>
        <v>0</v>
      </c>
      <c r="G1172" s="462">
        <f>Database!R1187</f>
        <v>0</v>
      </c>
      <c r="H1172" s="35">
        <f>Database!N1187</f>
        <v>0</v>
      </c>
    </row>
    <row r="1173" spans="1:8" ht="23.25" x14ac:dyDescent="0.25">
      <c r="A1173" s="225" t="str">
        <f>Database!A1188</f>
        <v/>
      </c>
      <c r="B1173" s="34">
        <f>Database!E1188</f>
        <v>0</v>
      </c>
      <c r="C1173" s="34">
        <f>Database!F1188</f>
        <v>0</v>
      </c>
      <c r="D1173" s="34">
        <f>Database!K1188</f>
        <v>0</v>
      </c>
      <c r="E1173" s="34">
        <f>Database!P1188</f>
        <v>0</v>
      </c>
      <c r="F1173" s="34">
        <f>Database!Q1188</f>
        <v>0</v>
      </c>
      <c r="G1173" s="462">
        <f>Database!R1188</f>
        <v>0</v>
      </c>
      <c r="H1173" s="35">
        <f>Database!N1188</f>
        <v>0</v>
      </c>
    </row>
    <row r="1174" spans="1:8" ht="23.25" x14ac:dyDescent="0.25">
      <c r="A1174" s="225" t="str">
        <f>Database!A1189</f>
        <v/>
      </c>
      <c r="B1174" s="34">
        <f>Database!E1189</f>
        <v>0</v>
      </c>
      <c r="C1174" s="34">
        <f>Database!F1189</f>
        <v>0</v>
      </c>
      <c r="D1174" s="34">
        <f>Database!K1189</f>
        <v>0</v>
      </c>
      <c r="E1174" s="34">
        <f>Database!P1189</f>
        <v>0</v>
      </c>
      <c r="F1174" s="34">
        <f>Database!Q1189</f>
        <v>0</v>
      </c>
      <c r="G1174" s="462">
        <f>Database!R1189</f>
        <v>0</v>
      </c>
      <c r="H1174" s="35">
        <f>Database!N1189</f>
        <v>0</v>
      </c>
    </row>
    <row r="1175" spans="1:8" ht="23.25" x14ac:dyDescent="0.25">
      <c r="A1175" s="225" t="str">
        <f>Database!A1190</f>
        <v/>
      </c>
      <c r="B1175" s="34">
        <f>Database!E1190</f>
        <v>0</v>
      </c>
      <c r="C1175" s="34">
        <f>Database!F1190</f>
        <v>0</v>
      </c>
      <c r="D1175" s="34">
        <f>Database!K1190</f>
        <v>0</v>
      </c>
      <c r="E1175" s="34">
        <f>Database!P1190</f>
        <v>0</v>
      </c>
      <c r="F1175" s="34">
        <f>Database!Q1190</f>
        <v>0</v>
      </c>
      <c r="G1175" s="462">
        <f>Database!R1190</f>
        <v>0</v>
      </c>
      <c r="H1175" s="35">
        <f>Database!N1190</f>
        <v>0</v>
      </c>
    </row>
    <row r="1176" spans="1:8" ht="23.25" x14ac:dyDescent="0.25">
      <c r="A1176" s="225" t="str">
        <f>Database!A1191</f>
        <v/>
      </c>
      <c r="B1176" s="34">
        <f>Database!E1191</f>
        <v>0</v>
      </c>
      <c r="C1176" s="34">
        <f>Database!F1191</f>
        <v>0</v>
      </c>
      <c r="D1176" s="34">
        <f>Database!K1191</f>
        <v>0</v>
      </c>
      <c r="E1176" s="34">
        <f>Database!P1191</f>
        <v>0</v>
      </c>
      <c r="F1176" s="34">
        <f>Database!Q1191</f>
        <v>0</v>
      </c>
      <c r="G1176" s="462">
        <f>Database!R1191</f>
        <v>0</v>
      </c>
      <c r="H1176" s="35">
        <f>Database!N1191</f>
        <v>0</v>
      </c>
    </row>
    <row r="1177" spans="1:8" ht="23.25" x14ac:dyDescent="0.25">
      <c r="A1177" s="225" t="str">
        <f>Database!A1192</f>
        <v/>
      </c>
      <c r="B1177" s="34">
        <f>Database!E1192</f>
        <v>0</v>
      </c>
      <c r="C1177" s="34">
        <f>Database!F1192</f>
        <v>0</v>
      </c>
      <c r="D1177" s="34">
        <f>Database!K1192</f>
        <v>0</v>
      </c>
      <c r="E1177" s="34">
        <f>Database!P1192</f>
        <v>0</v>
      </c>
      <c r="F1177" s="34">
        <f>Database!Q1192</f>
        <v>0</v>
      </c>
      <c r="G1177" s="462">
        <f>Database!R1192</f>
        <v>0</v>
      </c>
      <c r="H1177" s="35">
        <f>Database!N1192</f>
        <v>0</v>
      </c>
    </row>
    <row r="1178" spans="1:8" ht="23.25" x14ac:dyDescent="0.25">
      <c r="A1178" s="225" t="str">
        <f>Database!A1193</f>
        <v/>
      </c>
      <c r="B1178" s="34">
        <f>Database!E1193</f>
        <v>0</v>
      </c>
      <c r="C1178" s="34">
        <f>Database!F1193</f>
        <v>0</v>
      </c>
      <c r="D1178" s="34">
        <f>Database!K1193</f>
        <v>0</v>
      </c>
      <c r="E1178" s="34">
        <f>Database!P1193</f>
        <v>0</v>
      </c>
      <c r="F1178" s="34">
        <f>Database!Q1193</f>
        <v>0</v>
      </c>
      <c r="G1178" s="462">
        <f>Database!R1193</f>
        <v>0</v>
      </c>
      <c r="H1178" s="35">
        <f>Database!N1193</f>
        <v>0</v>
      </c>
    </row>
    <row r="1179" spans="1:8" ht="23.25" x14ac:dyDescent="0.25">
      <c r="A1179" s="225" t="str">
        <f>Database!A1194</f>
        <v/>
      </c>
      <c r="B1179" s="34">
        <f>Database!E1194</f>
        <v>0</v>
      </c>
      <c r="C1179" s="34">
        <f>Database!F1194</f>
        <v>0</v>
      </c>
      <c r="D1179" s="34">
        <f>Database!K1194</f>
        <v>0</v>
      </c>
      <c r="E1179" s="34">
        <f>Database!P1194</f>
        <v>0</v>
      </c>
      <c r="F1179" s="34">
        <f>Database!Q1194</f>
        <v>0</v>
      </c>
      <c r="G1179" s="462">
        <f>Database!R1194</f>
        <v>0</v>
      </c>
      <c r="H1179" s="35">
        <f>Database!N1194</f>
        <v>0</v>
      </c>
    </row>
    <row r="1180" spans="1:8" ht="23.25" x14ac:dyDescent="0.25">
      <c r="A1180" s="225" t="str">
        <f>Database!A1195</f>
        <v/>
      </c>
      <c r="B1180" s="34">
        <f>Database!E1195</f>
        <v>0</v>
      </c>
      <c r="C1180" s="34">
        <f>Database!F1195</f>
        <v>0</v>
      </c>
      <c r="D1180" s="34">
        <f>Database!K1195</f>
        <v>0</v>
      </c>
      <c r="E1180" s="34">
        <f>Database!P1195</f>
        <v>0</v>
      </c>
      <c r="F1180" s="34">
        <f>Database!Q1195</f>
        <v>0</v>
      </c>
      <c r="G1180" s="462">
        <f>Database!R1195</f>
        <v>0</v>
      </c>
      <c r="H1180" s="35">
        <f>Database!N1195</f>
        <v>0</v>
      </c>
    </row>
    <row r="1181" spans="1:8" ht="23.25" x14ac:dyDescent="0.25">
      <c r="A1181" s="225" t="str">
        <f>Database!A1196</f>
        <v/>
      </c>
      <c r="B1181" s="34">
        <f>Database!E1196</f>
        <v>0</v>
      </c>
      <c r="C1181" s="34">
        <f>Database!F1196</f>
        <v>0</v>
      </c>
      <c r="D1181" s="34">
        <f>Database!K1196</f>
        <v>0</v>
      </c>
      <c r="E1181" s="34">
        <f>Database!P1196</f>
        <v>0</v>
      </c>
      <c r="F1181" s="34">
        <f>Database!Q1196</f>
        <v>0</v>
      </c>
      <c r="G1181" s="462">
        <f>Database!R1196</f>
        <v>0</v>
      </c>
      <c r="H1181" s="35">
        <f>Database!N1196</f>
        <v>0</v>
      </c>
    </row>
    <row r="1182" spans="1:8" ht="23.25" x14ac:dyDescent="0.25">
      <c r="A1182" s="225" t="str">
        <f>Database!A1197</f>
        <v/>
      </c>
      <c r="B1182" s="34">
        <f>Database!E1197</f>
        <v>0</v>
      </c>
      <c r="C1182" s="34">
        <f>Database!F1197</f>
        <v>0</v>
      </c>
      <c r="D1182" s="34">
        <f>Database!K1197</f>
        <v>0</v>
      </c>
      <c r="E1182" s="34">
        <f>Database!P1197</f>
        <v>0</v>
      </c>
      <c r="F1182" s="34">
        <f>Database!Q1197</f>
        <v>0</v>
      </c>
      <c r="G1182" s="462">
        <f>Database!R1197</f>
        <v>0</v>
      </c>
      <c r="H1182" s="35">
        <f>Database!N1197</f>
        <v>0</v>
      </c>
    </row>
    <row r="1183" spans="1:8" ht="23.25" x14ac:dyDescent="0.25">
      <c r="A1183" s="225" t="str">
        <f>Database!A1198</f>
        <v/>
      </c>
      <c r="B1183" s="34">
        <f>Database!E1198</f>
        <v>0</v>
      </c>
      <c r="C1183" s="34">
        <f>Database!F1198</f>
        <v>0</v>
      </c>
      <c r="D1183" s="34">
        <f>Database!K1198</f>
        <v>0</v>
      </c>
      <c r="E1183" s="34">
        <f>Database!P1198</f>
        <v>0</v>
      </c>
      <c r="F1183" s="34">
        <f>Database!Q1198</f>
        <v>0</v>
      </c>
      <c r="G1183" s="462">
        <f>Database!R1198</f>
        <v>0</v>
      </c>
      <c r="H1183" s="35">
        <f>Database!N1198</f>
        <v>0</v>
      </c>
    </row>
    <row r="1184" spans="1:8" ht="23.25" x14ac:dyDescent="0.25">
      <c r="A1184" s="225" t="str">
        <f>Database!A1199</f>
        <v/>
      </c>
      <c r="B1184" s="34">
        <f>Database!E1199</f>
        <v>0</v>
      </c>
      <c r="C1184" s="34">
        <f>Database!F1199</f>
        <v>0</v>
      </c>
      <c r="D1184" s="34">
        <f>Database!K1199</f>
        <v>0</v>
      </c>
      <c r="E1184" s="34">
        <f>Database!P1199</f>
        <v>0</v>
      </c>
      <c r="F1184" s="34">
        <f>Database!Q1199</f>
        <v>0</v>
      </c>
      <c r="G1184" s="462">
        <f>Database!R1199</f>
        <v>0</v>
      </c>
      <c r="H1184" s="35">
        <f>Database!N1199</f>
        <v>0</v>
      </c>
    </row>
    <row r="1185" spans="1:8" ht="23.25" x14ac:dyDescent="0.25">
      <c r="A1185" s="225" t="str">
        <f>Database!A1200</f>
        <v/>
      </c>
      <c r="B1185" s="34">
        <f>Database!E1200</f>
        <v>0</v>
      </c>
      <c r="C1185" s="34">
        <f>Database!F1200</f>
        <v>0</v>
      </c>
      <c r="D1185" s="34">
        <f>Database!K1200</f>
        <v>0</v>
      </c>
      <c r="E1185" s="34">
        <f>Database!P1200</f>
        <v>0</v>
      </c>
      <c r="F1185" s="34">
        <f>Database!Q1200</f>
        <v>0</v>
      </c>
      <c r="G1185" s="462">
        <f>Database!R1200</f>
        <v>0</v>
      </c>
      <c r="H1185" s="35">
        <f>Database!N1200</f>
        <v>0</v>
      </c>
    </row>
    <row r="1186" spans="1:8" ht="23.25" x14ac:dyDescent="0.25">
      <c r="A1186" s="225" t="str">
        <f>Database!A1201</f>
        <v/>
      </c>
      <c r="B1186" s="34">
        <f>Database!E1201</f>
        <v>0</v>
      </c>
      <c r="C1186" s="34">
        <f>Database!F1201</f>
        <v>0</v>
      </c>
      <c r="D1186" s="34">
        <f>Database!K1201</f>
        <v>0</v>
      </c>
      <c r="E1186" s="34">
        <f>Database!P1201</f>
        <v>0</v>
      </c>
      <c r="F1186" s="34">
        <f>Database!Q1201</f>
        <v>0</v>
      </c>
      <c r="G1186" s="462">
        <f>Database!R1201</f>
        <v>0</v>
      </c>
      <c r="H1186" s="35">
        <f>Database!N1201</f>
        <v>0</v>
      </c>
    </row>
    <row r="1187" spans="1:8" ht="23.25" x14ac:dyDescent="0.25">
      <c r="A1187" s="225" t="str">
        <f>Database!A1202</f>
        <v/>
      </c>
      <c r="B1187" s="34">
        <f>Database!E1202</f>
        <v>0</v>
      </c>
      <c r="C1187" s="34">
        <f>Database!F1202</f>
        <v>0</v>
      </c>
      <c r="D1187" s="34">
        <f>Database!K1202</f>
        <v>0</v>
      </c>
      <c r="E1187" s="34">
        <f>Database!P1202</f>
        <v>0</v>
      </c>
      <c r="F1187" s="34">
        <f>Database!Q1202</f>
        <v>0</v>
      </c>
      <c r="G1187" s="462">
        <f>Database!R1202</f>
        <v>0</v>
      </c>
      <c r="H1187" s="35">
        <f>Database!N1202</f>
        <v>0</v>
      </c>
    </row>
    <row r="1188" spans="1:8" ht="23.25" x14ac:dyDescent="0.25">
      <c r="A1188" s="225" t="str">
        <f>Database!A1203</f>
        <v/>
      </c>
      <c r="B1188" s="34">
        <f>Database!E1203</f>
        <v>0</v>
      </c>
      <c r="C1188" s="34">
        <f>Database!F1203</f>
        <v>0</v>
      </c>
      <c r="D1188" s="34">
        <f>Database!K1203</f>
        <v>0</v>
      </c>
      <c r="E1188" s="34">
        <f>Database!P1203</f>
        <v>0</v>
      </c>
      <c r="F1188" s="34">
        <f>Database!Q1203</f>
        <v>0</v>
      </c>
      <c r="G1188" s="462">
        <f>Database!R1203</f>
        <v>0</v>
      </c>
      <c r="H1188" s="35">
        <f>Database!N1203</f>
        <v>0</v>
      </c>
    </row>
    <row r="1189" spans="1:8" ht="23.25" x14ac:dyDescent="0.25">
      <c r="A1189" s="225" t="str">
        <f>Database!A1204</f>
        <v/>
      </c>
      <c r="B1189" s="34">
        <f>Database!E1204</f>
        <v>0</v>
      </c>
      <c r="C1189" s="34">
        <f>Database!F1204</f>
        <v>0</v>
      </c>
      <c r="D1189" s="34">
        <f>Database!K1204</f>
        <v>0</v>
      </c>
      <c r="E1189" s="34">
        <f>Database!P1204</f>
        <v>0</v>
      </c>
      <c r="F1189" s="34">
        <f>Database!Q1204</f>
        <v>0</v>
      </c>
      <c r="G1189" s="462">
        <f>Database!R1204</f>
        <v>0</v>
      </c>
      <c r="H1189" s="35">
        <f>Database!N1204</f>
        <v>0</v>
      </c>
    </row>
    <row r="1190" spans="1:8" ht="23.25" x14ac:dyDescent="0.25">
      <c r="A1190" s="225" t="str">
        <f>Database!A1205</f>
        <v/>
      </c>
      <c r="B1190" s="34">
        <f>Database!E1205</f>
        <v>0</v>
      </c>
      <c r="C1190" s="34">
        <f>Database!F1205</f>
        <v>0</v>
      </c>
      <c r="D1190" s="34">
        <f>Database!K1205</f>
        <v>0</v>
      </c>
      <c r="E1190" s="34">
        <f>Database!P1205</f>
        <v>0</v>
      </c>
      <c r="F1190" s="34">
        <f>Database!Q1205</f>
        <v>0</v>
      </c>
      <c r="G1190" s="462">
        <f>Database!R1205</f>
        <v>0</v>
      </c>
      <c r="H1190" s="35">
        <f>Database!N1205</f>
        <v>0</v>
      </c>
    </row>
    <row r="1191" spans="1:8" ht="23.25" x14ac:dyDescent="0.25">
      <c r="A1191" s="225" t="str">
        <f>Database!A1206</f>
        <v/>
      </c>
      <c r="B1191" s="34">
        <f>Database!E1206</f>
        <v>0</v>
      </c>
      <c r="C1191" s="34">
        <f>Database!F1206</f>
        <v>0</v>
      </c>
      <c r="D1191" s="34">
        <f>Database!K1206</f>
        <v>0</v>
      </c>
      <c r="E1191" s="34">
        <f>Database!P1206</f>
        <v>0</v>
      </c>
      <c r="F1191" s="34">
        <f>Database!Q1206</f>
        <v>0</v>
      </c>
      <c r="G1191" s="462">
        <f>Database!R1206</f>
        <v>0</v>
      </c>
      <c r="H1191" s="35">
        <f>Database!N1206</f>
        <v>0</v>
      </c>
    </row>
    <row r="1192" spans="1:8" ht="23.25" x14ac:dyDescent="0.25">
      <c r="A1192" s="225" t="str">
        <f>Database!A1207</f>
        <v/>
      </c>
      <c r="B1192" s="34">
        <f>Database!E1207</f>
        <v>0</v>
      </c>
      <c r="C1192" s="34">
        <f>Database!F1207</f>
        <v>0</v>
      </c>
      <c r="D1192" s="34">
        <f>Database!K1207</f>
        <v>0</v>
      </c>
      <c r="E1192" s="34">
        <f>Database!P1207</f>
        <v>0</v>
      </c>
      <c r="F1192" s="34">
        <f>Database!Q1207</f>
        <v>0</v>
      </c>
      <c r="G1192" s="462">
        <f>Database!R1207</f>
        <v>0</v>
      </c>
      <c r="H1192" s="35">
        <f>Database!N1207</f>
        <v>0</v>
      </c>
    </row>
    <row r="1193" spans="1:8" ht="23.25" x14ac:dyDescent="0.25">
      <c r="A1193" s="225" t="str">
        <f>Database!A1208</f>
        <v/>
      </c>
      <c r="B1193" s="34">
        <f>Database!E1208</f>
        <v>0</v>
      </c>
      <c r="C1193" s="34">
        <f>Database!F1208</f>
        <v>0</v>
      </c>
      <c r="D1193" s="34">
        <f>Database!K1208</f>
        <v>0</v>
      </c>
      <c r="E1193" s="34">
        <f>Database!P1208</f>
        <v>0</v>
      </c>
      <c r="F1193" s="34">
        <f>Database!Q1208</f>
        <v>0</v>
      </c>
      <c r="G1193" s="462">
        <f>Database!R1208</f>
        <v>0</v>
      </c>
      <c r="H1193" s="35">
        <f>Database!N1208</f>
        <v>0</v>
      </c>
    </row>
    <row r="1194" spans="1:8" ht="23.25" x14ac:dyDescent="0.25">
      <c r="A1194" s="225" t="str">
        <f>Database!A1209</f>
        <v/>
      </c>
      <c r="B1194" s="34">
        <f>Database!E1209</f>
        <v>0</v>
      </c>
      <c r="C1194" s="34">
        <f>Database!F1209</f>
        <v>0</v>
      </c>
      <c r="D1194" s="34">
        <f>Database!K1209</f>
        <v>0</v>
      </c>
      <c r="E1194" s="34">
        <f>Database!P1209</f>
        <v>0</v>
      </c>
      <c r="F1194" s="34">
        <f>Database!Q1209</f>
        <v>0</v>
      </c>
      <c r="G1194" s="462">
        <f>Database!R1209</f>
        <v>0</v>
      </c>
      <c r="H1194" s="35">
        <f>Database!N1209</f>
        <v>0</v>
      </c>
    </row>
    <row r="1195" spans="1:8" ht="23.25" x14ac:dyDescent="0.25">
      <c r="A1195" s="225" t="str">
        <f>Database!A1210</f>
        <v/>
      </c>
      <c r="B1195" s="34">
        <f>Database!E1210</f>
        <v>0</v>
      </c>
      <c r="C1195" s="34">
        <f>Database!F1210</f>
        <v>0</v>
      </c>
      <c r="D1195" s="34">
        <f>Database!K1210</f>
        <v>0</v>
      </c>
      <c r="E1195" s="34">
        <f>Database!P1210</f>
        <v>0</v>
      </c>
      <c r="F1195" s="34">
        <f>Database!Q1210</f>
        <v>0</v>
      </c>
      <c r="G1195" s="462">
        <f>Database!R1210</f>
        <v>0</v>
      </c>
      <c r="H1195" s="35">
        <f>Database!N1210</f>
        <v>0</v>
      </c>
    </row>
    <row r="1196" spans="1:8" ht="23.25" x14ac:dyDescent="0.25">
      <c r="A1196" s="225" t="str">
        <f>Database!A1211</f>
        <v/>
      </c>
      <c r="B1196" s="34">
        <f>Database!E1211</f>
        <v>0</v>
      </c>
      <c r="C1196" s="34">
        <f>Database!F1211</f>
        <v>0</v>
      </c>
      <c r="D1196" s="34">
        <f>Database!K1211</f>
        <v>0</v>
      </c>
      <c r="E1196" s="34">
        <f>Database!P1211</f>
        <v>0</v>
      </c>
      <c r="F1196" s="34">
        <f>Database!Q1211</f>
        <v>0</v>
      </c>
      <c r="G1196" s="462">
        <f>Database!R1211</f>
        <v>0</v>
      </c>
      <c r="H1196" s="35">
        <f>Database!N1211</f>
        <v>0</v>
      </c>
    </row>
    <row r="1197" spans="1:8" ht="23.25" x14ac:dyDescent="0.25">
      <c r="A1197" s="225" t="str">
        <f>Database!A1212</f>
        <v/>
      </c>
      <c r="B1197" s="34">
        <f>Database!E1212</f>
        <v>0</v>
      </c>
      <c r="C1197" s="34">
        <f>Database!F1212</f>
        <v>0</v>
      </c>
      <c r="D1197" s="34">
        <f>Database!K1212</f>
        <v>0</v>
      </c>
      <c r="E1197" s="34">
        <f>Database!P1212</f>
        <v>0</v>
      </c>
      <c r="F1197" s="34">
        <f>Database!Q1212</f>
        <v>0</v>
      </c>
      <c r="G1197" s="462">
        <f>Database!R1212</f>
        <v>0</v>
      </c>
      <c r="H1197" s="35">
        <f>Database!N1212</f>
        <v>0</v>
      </c>
    </row>
    <row r="1198" spans="1:8" ht="23.25" x14ac:dyDescent="0.25">
      <c r="A1198" s="225" t="str">
        <f>Database!A1213</f>
        <v/>
      </c>
      <c r="B1198" s="34">
        <f>Database!E1213</f>
        <v>0</v>
      </c>
      <c r="C1198" s="34">
        <f>Database!F1213</f>
        <v>0</v>
      </c>
      <c r="D1198" s="34">
        <f>Database!K1213</f>
        <v>0</v>
      </c>
      <c r="E1198" s="34">
        <f>Database!P1213</f>
        <v>0</v>
      </c>
      <c r="F1198" s="34">
        <f>Database!Q1213</f>
        <v>0</v>
      </c>
      <c r="G1198" s="462">
        <f>Database!R1213</f>
        <v>0</v>
      </c>
      <c r="H1198" s="35">
        <f>Database!N1213</f>
        <v>0</v>
      </c>
    </row>
    <row r="1199" spans="1:8" ht="23.25" x14ac:dyDescent="0.25">
      <c r="A1199" s="225" t="str">
        <f>Database!A1214</f>
        <v/>
      </c>
      <c r="B1199" s="34">
        <f>Database!E1214</f>
        <v>0</v>
      </c>
      <c r="C1199" s="34">
        <f>Database!F1214</f>
        <v>0</v>
      </c>
      <c r="D1199" s="34">
        <f>Database!K1214</f>
        <v>0</v>
      </c>
      <c r="E1199" s="34">
        <f>Database!P1214</f>
        <v>0</v>
      </c>
      <c r="F1199" s="34">
        <f>Database!Q1214</f>
        <v>0</v>
      </c>
      <c r="G1199" s="462">
        <f>Database!R1214</f>
        <v>0</v>
      </c>
      <c r="H1199" s="35">
        <f>Database!N1214</f>
        <v>0</v>
      </c>
    </row>
    <row r="1200" spans="1:8" ht="23.25" x14ac:dyDescent="0.25">
      <c r="A1200" s="225" t="str">
        <f>Database!A1215</f>
        <v/>
      </c>
      <c r="B1200" s="34">
        <f>Database!E1215</f>
        <v>0</v>
      </c>
      <c r="C1200" s="34">
        <f>Database!F1215</f>
        <v>0</v>
      </c>
      <c r="D1200" s="34">
        <f>Database!K1215</f>
        <v>0</v>
      </c>
      <c r="E1200" s="34">
        <f>Database!P1215</f>
        <v>0</v>
      </c>
      <c r="F1200" s="34">
        <f>Database!Q1215</f>
        <v>0</v>
      </c>
      <c r="G1200" s="462">
        <f>Database!R1215</f>
        <v>0</v>
      </c>
      <c r="H1200" s="35">
        <f>Database!N1215</f>
        <v>0</v>
      </c>
    </row>
    <row r="1201" spans="1:8" ht="23.25" x14ac:dyDescent="0.25">
      <c r="A1201" s="225" t="str">
        <f>Database!A1216</f>
        <v/>
      </c>
      <c r="B1201" s="34">
        <f>Database!E1216</f>
        <v>0</v>
      </c>
      <c r="C1201" s="34">
        <f>Database!F1216</f>
        <v>0</v>
      </c>
      <c r="D1201" s="34">
        <f>Database!K1216</f>
        <v>0</v>
      </c>
      <c r="E1201" s="34">
        <f>Database!P1216</f>
        <v>0</v>
      </c>
      <c r="F1201" s="34">
        <f>Database!Q1216</f>
        <v>0</v>
      </c>
      <c r="G1201" s="462">
        <f>Database!R1216</f>
        <v>0</v>
      </c>
      <c r="H1201" s="35">
        <f>Database!N1216</f>
        <v>0</v>
      </c>
    </row>
    <row r="1202" spans="1:8" ht="23.25" x14ac:dyDescent="0.25">
      <c r="A1202" s="225" t="str">
        <f>Database!A1217</f>
        <v/>
      </c>
      <c r="B1202" s="34">
        <f>Database!E1217</f>
        <v>0</v>
      </c>
      <c r="C1202" s="34">
        <f>Database!F1217</f>
        <v>0</v>
      </c>
      <c r="D1202" s="34">
        <f>Database!K1217</f>
        <v>0</v>
      </c>
      <c r="E1202" s="34">
        <f>Database!P1217</f>
        <v>0</v>
      </c>
      <c r="F1202" s="34">
        <f>Database!Q1217</f>
        <v>0</v>
      </c>
      <c r="G1202" s="462">
        <f>Database!R1217</f>
        <v>0</v>
      </c>
      <c r="H1202" s="35">
        <f>Database!N1217</f>
        <v>0</v>
      </c>
    </row>
    <row r="1203" spans="1:8" ht="23.25" x14ac:dyDescent="0.25">
      <c r="A1203" s="225" t="str">
        <f>Database!A1218</f>
        <v/>
      </c>
      <c r="B1203" s="34">
        <f>Database!E1218</f>
        <v>0</v>
      </c>
      <c r="C1203" s="34">
        <f>Database!F1218</f>
        <v>0</v>
      </c>
      <c r="D1203" s="34">
        <f>Database!K1218</f>
        <v>0</v>
      </c>
      <c r="E1203" s="34">
        <f>Database!P1218</f>
        <v>0</v>
      </c>
      <c r="F1203" s="34">
        <f>Database!Q1218</f>
        <v>0</v>
      </c>
      <c r="G1203" s="462">
        <f>Database!R1218</f>
        <v>0</v>
      </c>
      <c r="H1203" s="35">
        <f>Database!N1218</f>
        <v>0</v>
      </c>
    </row>
    <row r="1204" spans="1:8" ht="23.25" x14ac:dyDescent="0.25">
      <c r="A1204" s="225" t="str">
        <f>Database!A1219</f>
        <v/>
      </c>
      <c r="B1204" s="34">
        <f>Database!E1219</f>
        <v>0</v>
      </c>
      <c r="C1204" s="34">
        <f>Database!F1219</f>
        <v>0</v>
      </c>
      <c r="D1204" s="34">
        <f>Database!K1219</f>
        <v>0</v>
      </c>
      <c r="E1204" s="34">
        <f>Database!P1219</f>
        <v>0</v>
      </c>
      <c r="F1204" s="34">
        <f>Database!Q1219</f>
        <v>0</v>
      </c>
      <c r="G1204" s="462">
        <f>Database!R1219</f>
        <v>0</v>
      </c>
      <c r="H1204" s="35">
        <f>Database!N1219</f>
        <v>0</v>
      </c>
    </row>
    <row r="1205" spans="1:8" ht="23.25" x14ac:dyDescent="0.25">
      <c r="A1205" s="225" t="str">
        <f>Database!A1220</f>
        <v/>
      </c>
      <c r="B1205" s="34">
        <f>Database!E1220</f>
        <v>0</v>
      </c>
      <c r="C1205" s="34">
        <f>Database!F1220</f>
        <v>0</v>
      </c>
      <c r="D1205" s="34">
        <f>Database!K1220</f>
        <v>0</v>
      </c>
      <c r="E1205" s="34">
        <f>Database!P1220</f>
        <v>0</v>
      </c>
      <c r="F1205" s="34">
        <f>Database!Q1220</f>
        <v>0</v>
      </c>
      <c r="G1205" s="462">
        <f>Database!R1220</f>
        <v>0</v>
      </c>
      <c r="H1205" s="35">
        <f>Database!N1220</f>
        <v>0</v>
      </c>
    </row>
    <row r="1206" spans="1:8" ht="23.25" x14ac:dyDescent="0.25">
      <c r="A1206" s="225" t="str">
        <f>Database!A1221</f>
        <v/>
      </c>
      <c r="B1206" s="34">
        <f>Database!E1221</f>
        <v>0</v>
      </c>
      <c r="C1206" s="34">
        <f>Database!F1221</f>
        <v>0</v>
      </c>
      <c r="D1206" s="34">
        <f>Database!K1221</f>
        <v>0</v>
      </c>
      <c r="E1206" s="34">
        <f>Database!P1221</f>
        <v>0</v>
      </c>
      <c r="F1206" s="34">
        <f>Database!Q1221</f>
        <v>0</v>
      </c>
      <c r="G1206" s="462">
        <f>Database!R1221</f>
        <v>0</v>
      </c>
      <c r="H1206" s="35">
        <f>Database!N1221</f>
        <v>0</v>
      </c>
    </row>
    <row r="1207" spans="1:8" ht="23.25" x14ac:dyDescent="0.25">
      <c r="A1207" s="225" t="str">
        <f>Database!A1222</f>
        <v/>
      </c>
      <c r="B1207" s="34">
        <f>Database!E1222</f>
        <v>0</v>
      </c>
      <c r="C1207" s="34">
        <f>Database!F1222</f>
        <v>0</v>
      </c>
      <c r="D1207" s="34">
        <f>Database!K1222</f>
        <v>0</v>
      </c>
      <c r="E1207" s="34">
        <f>Database!P1222</f>
        <v>0</v>
      </c>
      <c r="F1207" s="34">
        <f>Database!Q1222</f>
        <v>0</v>
      </c>
      <c r="G1207" s="462">
        <f>Database!R1222</f>
        <v>0</v>
      </c>
      <c r="H1207" s="35">
        <f>Database!N1222</f>
        <v>0</v>
      </c>
    </row>
    <row r="1208" spans="1:8" ht="23.25" x14ac:dyDescent="0.25">
      <c r="A1208" s="225" t="str">
        <f>Database!A1223</f>
        <v/>
      </c>
      <c r="B1208" s="34">
        <f>Database!E1223</f>
        <v>0</v>
      </c>
      <c r="C1208" s="34">
        <f>Database!F1223</f>
        <v>0</v>
      </c>
      <c r="D1208" s="34">
        <f>Database!K1223</f>
        <v>0</v>
      </c>
      <c r="E1208" s="34">
        <f>Database!P1223</f>
        <v>0</v>
      </c>
      <c r="F1208" s="34">
        <f>Database!Q1223</f>
        <v>0</v>
      </c>
      <c r="G1208" s="462">
        <f>Database!R1223</f>
        <v>0</v>
      </c>
      <c r="H1208" s="35">
        <f>Database!N1223</f>
        <v>0</v>
      </c>
    </row>
    <row r="1209" spans="1:8" ht="23.25" x14ac:dyDescent="0.25">
      <c r="A1209" s="225" t="str">
        <f>Database!A1224</f>
        <v/>
      </c>
      <c r="B1209" s="34">
        <f>Database!E1224</f>
        <v>0</v>
      </c>
      <c r="C1209" s="34">
        <f>Database!F1224</f>
        <v>0</v>
      </c>
      <c r="D1209" s="34">
        <f>Database!K1224</f>
        <v>0</v>
      </c>
      <c r="E1209" s="34">
        <f>Database!P1224</f>
        <v>0</v>
      </c>
      <c r="F1209" s="34">
        <f>Database!Q1224</f>
        <v>0</v>
      </c>
      <c r="G1209" s="462">
        <f>Database!R1224</f>
        <v>0</v>
      </c>
      <c r="H1209" s="35">
        <f>Database!N1224</f>
        <v>0</v>
      </c>
    </row>
    <row r="1210" spans="1:8" ht="23.25" x14ac:dyDescent="0.25">
      <c r="A1210" s="225" t="str">
        <f>Database!A1225</f>
        <v/>
      </c>
      <c r="B1210" s="34">
        <f>Database!E1225</f>
        <v>0</v>
      </c>
      <c r="C1210" s="34">
        <f>Database!F1225</f>
        <v>0</v>
      </c>
      <c r="D1210" s="34">
        <f>Database!K1225</f>
        <v>0</v>
      </c>
      <c r="E1210" s="34">
        <f>Database!P1225</f>
        <v>0</v>
      </c>
      <c r="F1210" s="34">
        <f>Database!Q1225</f>
        <v>0</v>
      </c>
      <c r="G1210" s="462">
        <f>Database!R1225</f>
        <v>0</v>
      </c>
      <c r="H1210" s="35">
        <f>Database!N1225</f>
        <v>0</v>
      </c>
    </row>
    <row r="1211" spans="1:8" ht="23.25" x14ac:dyDescent="0.25">
      <c r="A1211" s="225" t="str">
        <f>Database!A1226</f>
        <v/>
      </c>
      <c r="B1211" s="34">
        <f>Database!E1226</f>
        <v>0</v>
      </c>
      <c r="C1211" s="34">
        <f>Database!F1226</f>
        <v>0</v>
      </c>
      <c r="D1211" s="34">
        <f>Database!K1226</f>
        <v>0</v>
      </c>
      <c r="E1211" s="34">
        <f>Database!P1226</f>
        <v>0</v>
      </c>
      <c r="F1211" s="34">
        <f>Database!Q1226</f>
        <v>0</v>
      </c>
      <c r="G1211" s="462">
        <f>Database!R1226</f>
        <v>0</v>
      </c>
      <c r="H1211" s="35">
        <f>Database!N1226</f>
        <v>0</v>
      </c>
    </row>
    <row r="1212" spans="1:8" ht="23.25" x14ac:dyDescent="0.25">
      <c r="A1212" s="225" t="str">
        <f>Database!A1227</f>
        <v/>
      </c>
      <c r="B1212" s="34">
        <f>Database!E1227</f>
        <v>0</v>
      </c>
      <c r="C1212" s="34">
        <f>Database!F1227</f>
        <v>0</v>
      </c>
      <c r="D1212" s="34">
        <f>Database!K1227</f>
        <v>0</v>
      </c>
      <c r="E1212" s="34">
        <f>Database!P1227</f>
        <v>0</v>
      </c>
      <c r="F1212" s="34">
        <f>Database!Q1227</f>
        <v>0</v>
      </c>
      <c r="G1212" s="462">
        <f>Database!R1227</f>
        <v>0</v>
      </c>
      <c r="H1212" s="35">
        <f>Database!N1227</f>
        <v>0</v>
      </c>
    </row>
    <row r="1213" spans="1:8" ht="23.25" x14ac:dyDescent="0.25">
      <c r="A1213" s="225" t="str">
        <f>Database!A1228</f>
        <v/>
      </c>
      <c r="B1213" s="34">
        <f>Database!E1228</f>
        <v>0</v>
      </c>
      <c r="C1213" s="34">
        <f>Database!F1228</f>
        <v>0</v>
      </c>
      <c r="D1213" s="34">
        <f>Database!K1228</f>
        <v>0</v>
      </c>
      <c r="E1213" s="34">
        <f>Database!P1228</f>
        <v>0</v>
      </c>
      <c r="F1213" s="34">
        <f>Database!Q1228</f>
        <v>0</v>
      </c>
      <c r="G1213" s="462">
        <f>Database!R1228</f>
        <v>0</v>
      </c>
      <c r="H1213" s="35">
        <f>Database!N1228</f>
        <v>0</v>
      </c>
    </row>
    <row r="1214" spans="1:8" ht="23.25" x14ac:dyDescent="0.25">
      <c r="A1214" s="225" t="str">
        <f>Database!A1229</f>
        <v/>
      </c>
      <c r="B1214" s="34">
        <f>Database!E1229</f>
        <v>0</v>
      </c>
      <c r="C1214" s="34">
        <f>Database!F1229</f>
        <v>0</v>
      </c>
      <c r="D1214" s="34">
        <f>Database!K1229</f>
        <v>0</v>
      </c>
      <c r="E1214" s="34">
        <f>Database!P1229</f>
        <v>0</v>
      </c>
      <c r="F1214" s="34">
        <f>Database!Q1229</f>
        <v>0</v>
      </c>
      <c r="G1214" s="462">
        <f>Database!R1229</f>
        <v>0</v>
      </c>
      <c r="H1214" s="35">
        <f>Database!N1229</f>
        <v>0</v>
      </c>
    </row>
    <row r="1215" spans="1:8" ht="23.25" x14ac:dyDescent="0.25">
      <c r="A1215" s="225" t="str">
        <f>Database!A1230</f>
        <v/>
      </c>
      <c r="B1215" s="34">
        <f>Database!E1230</f>
        <v>0</v>
      </c>
      <c r="C1215" s="34">
        <f>Database!F1230</f>
        <v>0</v>
      </c>
      <c r="D1215" s="34">
        <f>Database!K1230</f>
        <v>0</v>
      </c>
      <c r="E1215" s="34">
        <f>Database!P1230</f>
        <v>0</v>
      </c>
      <c r="F1215" s="34">
        <f>Database!Q1230</f>
        <v>0</v>
      </c>
      <c r="G1215" s="462">
        <f>Database!R1230</f>
        <v>0</v>
      </c>
      <c r="H1215" s="35">
        <f>Database!N1230</f>
        <v>0</v>
      </c>
    </row>
    <row r="1216" spans="1:8" ht="23.25" x14ac:dyDescent="0.25">
      <c r="A1216" s="225" t="str">
        <f>Database!A1231</f>
        <v/>
      </c>
      <c r="B1216" s="34">
        <f>Database!E1231</f>
        <v>0</v>
      </c>
      <c r="C1216" s="34">
        <f>Database!F1231</f>
        <v>0</v>
      </c>
      <c r="D1216" s="34">
        <f>Database!K1231</f>
        <v>0</v>
      </c>
      <c r="E1216" s="34">
        <f>Database!P1231</f>
        <v>0</v>
      </c>
      <c r="F1216" s="34">
        <f>Database!Q1231</f>
        <v>0</v>
      </c>
      <c r="G1216" s="462">
        <f>Database!R1231</f>
        <v>0</v>
      </c>
      <c r="H1216" s="35">
        <f>Database!N1231</f>
        <v>0</v>
      </c>
    </row>
    <row r="1217" spans="1:8" ht="23.25" x14ac:dyDescent="0.25">
      <c r="A1217" s="225" t="str">
        <f>Database!A1232</f>
        <v/>
      </c>
      <c r="B1217" s="34">
        <f>Database!E1232</f>
        <v>0</v>
      </c>
      <c r="C1217" s="34">
        <f>Database!F1232</f>
        <v>0</v>
      </c>
      <c r="D1217" s="34">
        <f>Database!K1232</f>
        <v>0</v>
      </c>
      <c r="E1217" s="34">
        <f>Database!P1232</f>
        <v>0</v>
      </c>
      <c r="F1217" s="34">
        <f>Database!Q1232</f>
        <v>0</v>
      </c>
      <c r="G1217" s="462">
        <f>Database!R1232</f>
        <v>0</v>
      </c>
      <c r="H1217" s="35">
        <f>Database!N1232</f>
        <v>0</v>
      </c>
    </row>
    <row r="1218" spans="1:8" ht="23.25" x14ac:dyDescent="0.25">
      <c r="A1218" s="225" t="str">
        <f>Database!A1233</f>
        <v/>
      </c>
      <c r="B1218" s="34">
        <f>Database!E1233</f>
        <v>0</v>
      </c>
      <c r="C1218" s="34">
        <f>Database!F1233</f>
        <v>0</v>
      </c>
      <c r="D1218" s="34">
        <f>Database!K1233</f>
        <v>0</v>
      </c>
      <c r="E1218" s="34">
        <f>Database!P1233</f>
        <v>0</v>
      </c>
      <c r="F1218" s="34">
        <f>Database!Q1233</f>
        <v>0</v>
      </c>
      <c r="G1218" s="462">
        <f>Database!R1233</f>
        <v>0</v>
      </c>
      <c r="H1218" s="35">
        <f>Database!N1233</f>
        <v>0</v>
      </c>
    </row>
    <row r="1219" spans="1:8" ht="23.25" x14ac:dyDescent="0.25">
      <c r="A1219" s="225" t="str">
        <f>Database!A1234</f>
        <v/>
      </c>
      <c r="B1219" s="34">
        <f>Database!E1234</f>
        <v>0</v>
      </c>
      <c r="C1219" s="34">
        <f>Database!F1234</f>
        <v>0</v>
      </c>
      <c r="D1219" s="34">
        <f>Database!K1234</f>
        <v>0</v>
      </c>
      <c r="E1219" s="34">
        <f>Database!P1234</f>
        <v>0</v>
      </c>
      <c r="F1219" s="34">
        <f>Database!Q1234</f>
        <v>0</v>
      </c>
      <c r="G1219" s="462">
        <f>Database!R1234</f>
        <v>0</v>
      </c>
      <c r="H1219" s="35">
        <f>Database!N1234</f>
        <v>0</v>
      </c>
    </row>
    <row r="1220" spans="1:8" ht="23.25" x14ac:dyDescent="0.25">
      <c r="A1220" s="225" t="str">
        <f>Database!A1235</f>
        <v/>
      </c>
      <c r="B1220" s="34">
        <f>Database!E1235</f>
        <v>0</v>
      </c>
      <c r="C1220" s="34">
        <f>Database!F1235</f>
        <v>0</v>
      </c>
      <c r="D1220" s="34">
        <f>Database!K1235</f>
        <v>0</v>
      </c>
      <c r="E1220" s="34">
        <f>Database!P1235</f>
        <v>0</v>
      </c>
      <c r="F1220" s="34">
        <f>Database!Q1235</f>
        <v>0</v>
      </c>
      <c r="G1220" s="462">
        <f>Database!R1235</f>
        <v>0</v>
      </c>
      <c r="H1220" s="35">
        <f>Database!N1235</f>
        <v>0</v>
      </c>
    </row>
    <row r="1221" spans="1:8" ht="23.25" x14ac:dyDescent="0.25">
      <c r="A1221" s="225" t="str">
        <f>Database!A1236</f>
        <v/>
      </c>
      <c r="B1221" s="34">
        <f>Database!E1236</f>
        <v>0</v>
      </c>
      <c r="C1221" s="34">
        <f>Database!F1236</f>
        <v>0</v>
      </c>
      <c r="D1221" s="34">
        <f>Database!K1236</f>
        <v>0</v>
      </c>
      <c r="E1221" s="34">
        <f>Database!P1236</f>
        <v>0</v>
      </c>
      <c r="F1221" s="34">
        <f>Database!Q1236</f>
        <v>0</v>
      </c>
      <c r="G1221" s="462">
        <f>Database!R1236</f>
        <v>0</v>
      </c>
      <c r="H1221" s="35">
        <f>Database!N1236</f>
        <v>0</v>
      </c>
    </row>
    <row r="1222" spans="1:8" ht="23.25" x14ac:dyDescent="0.25">
      <c r="A1222" s="225" t="str">
        <f>Database!A1237</f>
        <v/>
      </c>
      <c r="B1222" s="34">
        <f>Database!E1237</f>
        <v>0</v>
      </c>
      <c r="C1222" s="34">
        <f>Database!F1237</f>
        <v>0</v>
      </c>
      <c r="D1222" s="34">
        <f>Database!K1237</f>
        <v>0</v>
      </c>
      <c r="E1222" s="34">
        <f>Database!P1237</f>
        <v>0</v>
      </c>
      <c r="F1222" s="34">
        <f>Database!Q1237</f>
        <v>0</v>
      </c>
      <c r="G1222" s="462">
        <f>Database!R1237</f>
        <v>0</v>
      </c>
      <c r="H1222" s="35">
        <f>Database!N1237</f>
        <v>0</v>
      </c>
    </row>
    <row r="1223" spans="1:8" ht="23.25" x14ac:dyDescent="0.25">
      <c r="A1223" s="225" t="str">
        <f>Database!A1238</f>
        <v/>
      </c>
      <c r="B1223" s="34">
        <f>Database!E1238</f>
        <v>0</v>
      </c>
      <c r="C1223" s="34">
        <f>Database!F1238</f>
        <v>0</v>
      </c>
      <c r="D1223" s="34">
        <f>Database!K1238</f>
        <v>0</v>
      </c>
      <c r="E1223" s="34">
        <f>Database!P1238</f>
        <v>0</v>
      </c>
      <c r="F1223" s="34">
        <f>Database!Q1238</f>
        <v>0</v>
      </c>
      <c r="G1223" s="462">
        <f>Database!R1238</f>
        <v>0</v>
      </c>
      <c r="H1223" s="35">
        <f>Database!N1238</f>
        <v>0</v>
      </c>
    </row>
    <row r="1224" spans="1:8" ht="23.25" x14ac:dyDescent="0.25">
      <c r="A1224" s="225" t="str">
        <f>Database!A1239</f>
        <v/>
      </c>
      <c r="B1224" s="34">
        <f>Database!E1239</f>
        <v>0</v>
      </c>
      <c r="C1224" s="34">
        <f>Database!F1239</f>
        <v>0</v>
      </c>
      <c r="D1224" s="34">
        <f>Database!K1239</f>
        <v>0</v>
      </c>
      <c r="E1224" s="34">
        <f>Database!P1239</f>
        <v>0</v>
      </c>
      <c r="F1224" s="34">
        <f>Database!Q1239</f>
        <v>0</v>
      </c>
      <c r="G1224" s="462">
        <f>Database!R1239</f>
        <v>0</v>
      </c>
      <c r="H1224" s="35">
        <f>Database!N1239</f>
        <v>0</v>
      </c>
    </row>
    <row r="1225" spans="1:8" ht="23.25" x14ac:dyDescent="0.25">
      <c r="A1225" s="225" t="str">
        <f>Database!A1240</f>
        <v/>
      </c>
      <c r="B1225" s="34">
        <f>Database!E1240</f>
        <v>0</v>
      </c>
      <c r="C1225" s="34">
        <f>Database!F1240</f>
        <v>0</v>
      </c>
      <c r="D1225" s="34">
        <f>Database!K1240</f>
        <v>0</v>
      </c>
      <c r="E1225" s="34">
        <f>Database!P1240</f>
        <v>0</v>
      </c>
      <c r="F1225" s="34">
        <f>Database!Q1240</f>
        <v>0</v>
      </c>
      <c r="G1225" s="462">
        <f>Database!R1240</f>
        <v>0</v>
      </c>
      <c r="H1225" s="35">
        <f>Database!N1240</f>
        <v>0</v>
      </c>
    </row>
    <row r="1226" spans="1:8" ht="23.25" x14ac:dyDescent="0.25">
      <c r="A1226" s="225" t="str">
        <f>Database!A1241</f>
        <v/>
      </c>
      <c r="B1226" s="34">
        <f>Database!E1241</f>
        <v>0</v>
      </c>
      <c r="C1226" s="34">
        <f>Database!F1241</f>
        <v>0</v>
      </c>
      <c r="D1226" s="34">
        <f>Database!K1241</f>
        <v>0</v>
      </c>
      <c r="E1226" s="34">
        <f>Database!P1241</f>
        <v>0</v>
      </c>
      <c r="F1226" s="34">
        <f>Database!Q1241</f>
        <v>0</v>
      </c>
      <c r="G1226" s="462">
        <f>Database!R1241</f>
        <v>0</v>
      </c>
      <c r="H1226" s="35">
        <f>Database!N1241</f>
        <v>0</v>
      </c>
    </row>
    <row r="1227" spans="1:8" ht="23.25" x14ac:dyDescent="0.25">
      <c r="A1227" s="225" t="str">
        <f>Database!A1242</f>
        <v/>
      </c>
      <c r="B1227" s="34">
        <f>Database!E1242</f>
        <v>0</v>
      </c>
      <c r="C1227" s="34">
        <f>Database!F1242</f>
        <v>0</v>
      </c>
      <c r="D1227" s="34">
        <f>Database!K1242</f>
        <v>0</v>
      </c>
      <c r="E1227" s="34">
        <f>Database!P1242</f>
        <v>0</v>
      </c>
      <c r="F1227" s="34">
        <f>Database!Q1242</f>
        <v>0</v>
      </c>
      <c r="G1227" s="462">
        <f>Database!R1242</f>
        <v>0</v>
      </c>
      <c r="H1227" s="35">
        <f>Database!N1242</f>
        <v>0</v>
      </c>
    </row>
    <row r="1228" spans="1:8" ht="23.25" x14ac:dyDescent="0.25">
      <c r="A1228" s="225" t="str">
        <f>Database!A1243</f>
        <v/>
      </c>
      <c r="B1228" s="34">
        <f>Database!E1243</f>
        <v>0</v>
      </c>
      <c r="C1228" s="34">
        <f>Database!F1243</f>
        <v>0</v>
      </c>
      <c r="D1228" s="34">
        <f>Database!K1243</f>
        <v>0</v>
      </c>
      <c r="E1228" s="34">
        <f>Database!P1243</f>
        <v>0</v>
      </c>
      <c r="F1228" s="34">
        <f>Database!Q1243</f>
        <v>0</v>
      </c>
      <c r="G1228" s="462">
        <f>Database!R1243</f>
        <v>0</v>
      </c>
      <c r="H1228" s="35">
        <f>Database!N1243</f>
        <v>0</v>
      </c>
    </row>
    <row r="1229" spans="1:8" ht="23.25" x14ac:dyDescent="0.25">
      <c r="A1229" s="225" t="str">
        <f>Database!A1244</f>
        <v/>
      </c>
      <c r="B1229" s="34">
        <f>Database!E1244</f>
        <v>0</v>
      </c>
      <c r="C1229" s="34">
        <f>Database!F1244</f>
        <v>0</v>
      </c>
      <c r="D1229" s="34">
        <f>Database!K1244</f>
        <v>0</v>
      </c>
      <c r="E1229" s="34">
        <f>Database!P1244</f>
        <v>0</v>
      </c>
      <c r="F1229" s="34">
        <f>Database!Q1244</f>
        <v>0</v>
      </c>
      <c r="G1229" s="462">
        <f>Database!R1244</f>
        <v>0</v>
      </c>
      <c r="H1229" s="35">
        <f>Database!N1244</f>
        <v>0</v>
      </c>
    </row>
    <row r="1230" spans="1:8" ht="23.25" x14ac:dyDescent="0.25">
      <c r="A1230" s="225" t="str">
        <f>Database!A1245</f>
        <v/>
      </c>
      <c r="B1230" s="34">
        <f>Database!E1245</f>
        <v>0</v>
      </c>
      <c r="C1230" s="34">
        <f>Database!F1245</f>
        <v>0</v>
      </c>
      <c r="D1230" s="34">
        <f>Database!K1245</f>
        <v>0</v>
      </c>
      <c r="E1230" s="34">
        <f>Database!P1245</f>
        <v>0</v>
      </c>
      <c r="F1230" s="34">
        <f>Database!Q1245</f>
        <v>0</v>
      </c>
      <c r="G1230" s="462">
        <f>Database!R1245</f>
        <v>0</v>
      </c>
      <c r="H1230" s="35">
        <f>Database!N1245</f>
        <v>0</v>
      </c>
    </row>
    <row r="1231" spans="1:8" ht="23.25" x14ac:dyDescent="0.25">
      <c r="A1231" s="225" t="str">
        <f>Database!A1246</f>
        <v/>
      </c>
      <c r="B1231" s="34">
        <f>Database!E1246</f>
        <v>0</v>
      </c>
      <c r="C1231" s="34">
        <f>Database!F1246</f>
        <v>0</v>
      </c>
      <c r="D1231" s="34">
        <f>Database!K1246</f>
        <v>0</v>
      </c>
      <c r="E1231" s="34">
        <f>Database!P1246</f>
        <v>0</v>
      </c>
      <c r="F1231" s="34">
        <f>Database!Q1246</f>
        <v>0</v>
      </c>
      <c r="G1231" s="462">
        <f>Database!R1246</f>
        <v>0</v>
      </c>
      <c r="H1231" s="35">
        <f>Database!N1246</f>
        <v>0</v>
      </c>
    </row>
    <row r="1232" spans="1:8" ht="23.25" x14ac:dyDescent="0.25">
      <c r="A1232" s="225" t="str">
        <f>Database!A1247</f>
        <v/>
      </c>
      <c r="B1232" s="34">
        <f>Database!E1247</f>
        <v>0</v>
      </c>
      <c r="C1232" s="34">
        <f>Database!F1247</f>
        <v>0</v>
      </c>
      <c r="D1232" s="34">
        <f>Database!K1247</f>
        <v>0</v>
      </c>
      <c r="E1232" s="34">
        <f>Database!P1247</f>
        <v>0</v>
      </c>
      <c r="F1232" s="34">
        <f>Database!Q1247</f>
        <v>0</v>
      </c>
      <c r="G1232" s="462">
        <f>Database!R1247</f>
        <v>0</v>
      </c>
      <c r="H1232" s="35">
        <f>Database!N1247</f>
        <v>0</v>
      </c>
    </row>
    <row r="1233" spans="1:8" ht="23.25" x14ac:dyDescent="0.25">
      <c r="A1233" s="225" t="str">
        <f>Database!A1248</f>
        <v/>
      </c>
      <c r="B1233" s="34">
        <f>Database!E1248</f>
        <v>0</v>
      </c>
      <c r="C1233" s="34">
        <f>Database!F1248</f>
        <v>0</v>
      </c>
      <c r="D1233" s="34">
        <f>Database!K1248</f>
        <v>0</v>
      </c>
      <c r="E1233" s="34">
        <f>Database!P1248</f>
        <v>0</v>
      </c>
      <c r="F1233" s="34">
        <f>Database!Q1248</f>
        <v>0</v>
      </c>
      <c r="G1233" s="462">
        <f>Database!R1248</f>
        <v>0</v>
      </c>
      <c r="H1233" s="35">
        <f>Database!N1248</f>
        <v>0</v>
      </c>
    </row>
    <row r="1234" spans="1:8" ht="23.25" x14ac:dyDescent="0.25">
      <c r="A1234" s="225" t="str">
        <f>Database!A1249</f>
        <v/>
      </c>
      <c r="B1234" s="34">
        <f>Database!E1249</f>
        <v>0</v>
      </c>
      <c r="C1234" s="34">
        <f>Database!F1249</f>
        <v>0</v>
      </c>
      <c r="D1234" s="34">
        <f>Database!K1249</f>
        <v>0</v>
      </c>
      <c r="E1234" s="34">
        <f>Database!P1249</f>
        <v>0</v>
      </c>
      <c r="F1234" s="34">
        <f>Database!Q1249</f>
        <v>0</v>
      </c>
      <c r="G1234" s="462">
        <f>Database!R1249</f>
        <v>0</v>
      </c>
      <c r="H1234" s="35">
        <f>Database!N1249</f>
        <v>0</v>
      </c>
    </row>
    <row r="1235" spans="1:8" ht="23.25" x14ac:dyDescent="0.25">
      <c r="A1235" s="225" t="str">
        <f>Database!A1250</f>
        <v/>
      </c>
      <c r="B1235" s="34">
        <f>Database!E1250</f>
        <v>0</v>
      </c>
      <c r="C1235" s="34">
        <f>Database!F1250</f>
        <v>0</v>
      </c>
      <c r="D1235" s="34">
        <f>Database!K1250</f>
        <v>0</v>
      </c>
      <c r="E1235" s="34">
        <f>Database!P1250</f>
        <v>0</v>
      </c>
      <c r="F1235" s="34">
        <f>Database!Q1250</f>
        <v>0</v>
      </c>
      <c r="G1235" s="462">
        <f>Database!R1250</f>
        <v>0</v>
      </c>
      <c r="H1235" s="35">
        <f>Database!N1250</f>
        <v>0</v>
      </c>
    </row>
    <row r="1236" spans="1:8" ht="23.25" x14ac:dyDescent="0.25">
      <c r="A1236" s="225" t="str">
        <f>Database!A1251</f>
        <v/>
      </c>
      <c r="B1236" s="34">
        <f>Database!E1251</f>
        <v>0</v>
      </c>
      <c r="C1236" s="34">
        <f>Database!F1251</f>
        <v>0</v>
      </c>
      <c r="D1236" s="34">
        <f>Database!K1251</f>
        <v>0</v>
      </c>
      <c r="E1236" s="34">
        <f>Database!P1251</f>
        <v>0</v>
      </c>
      <c r="F1236" s="34">
        <f>Database!Q1251</f>
        <v>0</v>
      </c>
      <c r="G1236" s="462">
        <f>Database!R1251</f>
        <v>0</v>
      </c>
      <c r="H1236" s="35">
        <f>Database!N1251</f>
        <v>0</v>
      </c>
    </row>
    <row r="1237" spans="1:8" ht="23.25" x14ac:dyDescent="0.25">
      <c r="A1237" s="225" t="str">
        <f>Database!A1252</f>
        <v/>
      </c>
      <c r="B1237" s="34">
        <f>Database!E1252</f>
        <v>0</v>
      </c>
      <c r="C1237" s="34">
        <f>Database!F1252</f>
        <v>0</v>
      </c>
      <c r="D1237" s="34">
        <f>Database!K1252</f>
        <v>0</v>
      </c>
      <c r="E1237" s="34">
        <f>Database!P1252</f>
        <v>0</v>
      </c>
      <c r="F1237" s="34">
        <f>Database!Q1252</f>
        <v>0</v>
      </c>
      <c r="G1237" s="462">
        <f>Database!R1252</f>
        <v>0</v>
      </c>
      <c r="H1237" s="35">
        <f>Database!N1252</f>
        <v>0</v>
      </c>
    </row>
    <row r="1238" spans="1:8" ht="23.25" x14ac:dyDescent="0.25">
      <c r="A1238" s="225" t="str">
        <f>Database!A1253</f>
        <v/>
      </c>
      <c r="B1238" s="34">
        <f>Database!E1253</f>
        <v>0</v>
      </c>
      <c r="C1238" s="34">
        <f>Database!F1253</f>
        <v>0</v>
      </c>
      <c r="D1238" s="34">
        <f>Database!K1253</f>
        <v>0</v>
      </c>
      <c r="E1238" s="34">
        <f>Database!P1253</f>
        <v>0</v>
      </c>
      <c r="F1238" s="34">
        <f>Database!Q1253</f>
        <v>0</v>
      </c>
      <c r="G1238" s="462">
        <f>Database!R1253</f>
        <v>0</v>
      </c>
      <c r="H1238" s="35">
        <f>Database!N1253</f>
        <v>0</v>
      </c>
    </row>
    <row r="1239" spans="1:8" ht="23.25" x14ac:dyDescent="0.25">
      <c r="A1239" s="225" t="str">
        <f>Database!A1254</f>
        <v/>
      </c>
      <c r="B1239" s="34">
        <f>Database!E1254</f>
        <v>0</v>
      </c>
      <c r="C1239" s="34">
        <f>Database!F1254</f>
        <v>0</v>
      </c>
      <c r="D1239" s="34">
        <f>Database!K1254</f>
        <v>0</v>
      </c>
      <c r="E1239" s="34">
        <f>Database!P1254</f>
        <v>0</v>
      </c>
      <c r="F1239" s="34">
        <f>Database!Q1254</f>
        <v>0</v>
      </c>
      <c r="G1239" s="462">
        <f>Database!R1254</f>
        <v>0</v>
      </c>
      <c r="H1239" s="35">
        <f>Database!N1254</f>
        <v>0</v>
      </c>
    </row>
    <row r="1240" spans="1:8" ht="23.25" x14ac:dyDescent="0.25">
      <c r="A1240" s="225" t="str">
        <f>Database!A1255</f>
        <v/>
      </c>
      <c r="B1240" s="34">
        <f>Database!E1255</f>
        <v>0</v>
      </c>
      <c r="C1240" s="34">
        <f>Database!F1255</f>
        <v>0</v>
      </c>
      <c r="D1240" s="34">
        <f>Database!K1255</f>
        <v>0</v>
      </c>
      <c r="E1240" s="34">
        <f>Database!P1255</f>
        <v>0</v>
      </c>
      <c r="F1240" s="34">
        <f>Database!Q1255</f>
        <v>0</v>
      </c>
      <c r="G1240" s="462">
        <f>Database!R1255</f>
        <v>0</v>
      </c>
      <c r="H1240" s="35">
        <f>Database!N1255</f>
        <v>0</v>
      </c>
    </row>
    <row r="1241" spans="1:8" ht="23.25" x14ac:dyDescent="0.25">
      <c r="A1241" s="225" t="str">
        <f>Database!A1256</f>
        <v/>
      </c>
      <c r="B1241" s="34">
        <f>Database!E1256</f>
        <v>0</v>
      </c>
      <c r="C1241" s="34">
        <f>Database!F1256</f>
        <v>0</v>
      </c>
      <c r="D1241" s="34">
        <f>Database!K1256</f>
        <v>0</v>
      </c>
      <c r="E1241" s="34">
        <f>Database!P1256</f>
        <v>0</v>
      </c>
      <c r="F1241" s="34">
        <f>Database!Q1256</f>
        <v>0</v>
      </c>
      <c r="G1241" s="462">
        <f>Database!R1256</f>
        <v>0</v>
      </c>
      <c r="H1241" s="35">
        <f>Database!N1256</f>
        <v>0</v>
      </c>
    </row>
    <row r="1242" spans="1:8" ht="23.25" x14ac:dyDescent="0.25">
      <c r="A1242" s="225" t="str">
        <f>Database!A1257</f>
        <v/>
      </c>
      <c r="B1242" s="34">
        <f>Database!E1257</f>
        <v>0</v>
      </c>
      <c r="C1242" s="34">
        <f>Database!F1257</f>
        <v>0</v>
      </c>
      <c r="D1242" s="34">
        <f>Database!K1257</f>
        <v>0</v>
      </c>
      <c r="E1242" s="34">
        <f>Database!P1257</f>
        <v>0</v>
      </c>
      <c r="F1242" s="34">
        <f>Database!Q1257</f>
        <v>0</v>
      </c>
      <c r="G1242" s="462">
        <f>Database!R1257</f>
        <v>0</v>
      </c>
      <c r="H1242" s="35">
        <f>Database!N1257</f>
        <v>0</v>
      </c>
    </row>
    <row r="1243" spans="1:8" ht="23.25" x14ac:dyDescent="0.25">
      <c r="A1243" s="225" t="str">
        <f>Database!A1258</f>
        <v/>
      </c>
      <c r="B1243" s="34">
        <f>Database!E1258</f>
        <v>0</v>
      </c>
      <c r="C1243" s="34">
        <f>Database!F1258</f>
        <v>0</v>
      </c>
      <c r="D1243" s="34">
        <f>Database!K1258</f>
        <v>0</v>
      </c>
      <c r="E1243" s="34">
        <f>Database!P1258</f>
        <v>0</v>
      </c>
      <c r="F1243" s="34">
        <f>Database!Q1258</f>
        <v>0</v>
      </c>
      <c r="G1243" s="462">
        <f>Database!R1258</f>
        <v>0</v>
      </c>
      <c r="H1243" s="35">
        <f>Database!N1258</f>
        <v>0</v>
      </c>
    </row>
    <row r="1244" spans="1:8" ht="23.25" x14ac:dyDescent="0.25">
      <c r="A1244" s="225" t="str">
        <f>Database!A1259</f>
        <v/>
      </c>
      <c r="B1244" s="34">
        <f>Database!E1259</f>
        <v>0</v>
      </c>
      <c r="C1244" s="34">
        <f>Database!F1259</f>
        <v>0</v>
      </c>
      <c r="D1244" s="34">
        <f>Database!K1259</f>
        <v>0</v>
      </c>
      <c r="E1244" s="34">
        <f>Database!P1259</f>
        <v>0</v>
      </c>
      <c r="F1244" s="34">
        <f>Database!Q1259</f>
        <v>0</v>
      </c>
      <c r="G1244" s="462">
        <f>Database!R1259</f>
        <v>0</v>
      </c>
      <c r="H1244" s="35">
        <f>Database!N1259</f>
        <v>0</v>
      </c>
    </row>
    <row r="1245" spans="1:8" ht="23.25" x14ac:dyDescent="0.25">
      <c r="A1245" s="225" t="str">
        <f>Database!A1260</f>
        <v/>
      </c>
      <c r="B1245" s="34">
        <f>Database!E1260</f>
        <v>0</v>
      </c>
      <c r="C1245" s="34">
        <f>Database!F1260</f>
        <v>0</v>
      </c>
      <c r="D1245" s="34">
        <f>Database!K1260</f>
        <v>0</v>
      </c>
      <c r="E1245" s="34">
        <f>Database!P1260</f>
        <v>0</v>
      </c>
      <c r="F1245" s="34">
        <f>Database!Q1260</f>
        <v>0</v>
      </c>
      <c r="G1245" s="462">
        <f>Database!R1260</f>
        <v>0</v>
      </c>
      <c r="H1245" s="35">
        <f>Database!N1260</f>
        <v>0</v>
      </c>
    </row>
    <row r="1246" spans="1:8" ht="23.25" x14ac:dyDescent="0.25">
      <c r="A1246" s="225" t="str">
        <f>Database!A1261</f>
        <v/>
      </c>
      <c r="B1246" s="34">
        <f>Database!E1261</f>
        <v>0</v>
      </c>
      <c r="C1246" s="34">
        <f>Database!F1261</f>
        <v>0</v>
      </c>
      <c r="D1246" s="34">
        <f>Database!K1261</f>
        <v>0</v>
      </c>
      <c r="E1246" s="34">
        <f>Database!P1261</f>
        <v>0</v>
      </c>
      <c r="F1246" s="34">
        <f>Database!Q1261</f>
        <v>0</v>
      </c>
      <c r="G1246" s="462">
        <f>Database!R1261</f>
        <v>0</v>
      </c>
      <c r="H1246" s="35">
        <f>Database!N1261</f>
        <v>0</v>
      </c>
    </row>
    <row r="1247" spans="1:8" ht="23.25" x14ac:dyDescent="0.25">
      <c r="A1247" s="225" t="str">
        <f>Database!A1262</f>
        <v/>
      </c>
      <c r="B1247" s="34">
        <f>Database!E1262</f>
        <v>0</v>
      </c>
      <c r="C1247" s="34">
        <f>Database!F1262</f>
        <v>0</v>
      </c>
      <c r="D1247" s="34">
        <f>Database!K1262</f>
        <v>0</v>
      </c>
      <c r="E1247" s="34">
        <f>Database!P1262</f>
        <v>0</v>
      </c>
      <c r="F1247" s="34">
        <f>Database!Q1262</f>
        <v>0</v>
      </c>
      <c r="G1247" s="462">
        <f>Database!R1262</f>
        <v>0</v>
      </c>
      <c r="H1247" s="35">
        <f>Database!N1262</f>
        <v>0</v>
      </c>
    </row>
    <row r="1248" spans="1:8" ht="23.25" x14ac:dyDescent="0.25">
      <c r="A1248" s="225" t="str">
        <f>Database!A1263</f>
        <v/>
      </c>
      <c r="B1248" s="34">
        <f>Database!E1263</f>
        <v>0</v>
      </c>
      <c r="C1248" s="34">
        <f>Database!F1263</f>
        <v>0</v>
      </c>
      <c r="D1248" s="34">
        <f>Database!K1263</f>
        <v>0</v>
      </c>
      <c r="E1248" s="34">
        <f>Database!P1263</f>
        <v>0</v>
      </c>
      <c r="F1248" s="34">
        <f>Database!Q1263</f>
        <v>0</v>
      </c>
      <c r="G1248" s="462">
        <f>Database!R1263</f>
        <v>0</v>
      </c>
      <c r="H1248" s="35">
        <f>Database!N1263</f>
        <v>0</v>
      </c>
    </row>
    <row r="1249" spans="1:8" ht="23.25" x14ac:dyDescent="0.25">
      <c r="A1249" s="225" t="str">
        <f>Database!A1264</f>
        <v/>
      </c>
      <c r="B1249" s="34">
        <f>Database!E1264</f>
        <v>0</v>
      </c>
      <c r="C1249" s="34">
        <f>Database!F1264</f>
        <v>0</v>
      </c>
      <c r="D1249" s="34">
        <f>Database!K1264</f>
        <v>0</v>
      </c>
      <c r="E1249" s="34">
        <f>Database!P1264</f>
        <v>0</v>
      </c>
      <c r="F1249" s="34">
        <f>Database!Q1264</f>
        <v>0</v>
      </c>
      <c r="G1249" s="462">
        <f>Database!R1264</f>
        <v>0</v>
      </c>
      <c r="H1249" s="35">
        <f>Database!N1264</f>
        <v>0</v>
      </c>
    </row>
    <row r="1250" spans="1:8" ht="23.25" x14ac:dyDescent="0.25">
      <c r="A1250" s="225" t="str">
        <f>Database!A1265</f>
        <v/>
      </c>
      <c r="B1250" s="34">
        <f>Database!E1265</f>
        <v>0</v>
      </c>
      <c r="C1250" s="34">
        <f>Database!F1265</f>
        <v>0</v>
      </c>
      <c r="D1250" s="34">
        <f>Database!K1265</f>
        <v>0</v>
      </c>
      <c r="E1250" s="34">
        <f>Database!P1265</f>
        <v>0</v>
      </c>
      <c r="F1250" s="34">
        <f>Database!Q1265</f>
        <v>0</v>
      </c>
      <c r="G1250" s="462">
        <f>Database!R1265</f>
        <v>0</v>
      </c>
      <c r="H1250" s="35">
        <f>Database!N1265</f>
        <v>0</v>
      </c>
    </row>
    <row r="1251" spans="1:8" ht="23.25" x14ac:dyDescent="0.25">
      <c r="A1251" s="225" t="str">
        <f>Database!A1266</f>
        <v/>
      </c>
      <c r="B1251" s="34">
        <f>Database!E1266</f>
        <v>0</v>
      </c>
      <c r="C1251" s="34">
        <f>Database!F1266</f>
        <v>0</v>
      </c>
      <c r="D1251" s="34">
        <f>Database!K1266</f>
        <v>0</v>
      </c>
      <c r="E1251" s="34">
        <f>Database!P1266</f>
        <v>0</v>
      </c>
      <c r="F1251" s="34">
        <f>Database!Q1266</f>
        <v>0</v>
      </c>
      <c r="G1251" s="462">
        <f>Database!R1266</f>
        <v>0</v>
      </c>
      <c r="H1251" s="35">
        <f>Database!N1266</f>
        <v>0</v>
      </c>
    </row>
    <row r="1252" spans="1:8" ht="23.25" x14ac:dyDescent="0.25">
      <c r="A1252" s="225" t="str">
        <f>Database!A1267</f>
        <v/>
      </c>
      <c r="B1252" s="34">
        <f>Database!E1267</f>
        <v>0</v>
      </c>
      <c r="C1252" s="34">
        <f>Database!F1267</f>
        <v>0</v>
      </c>
      <c r="D1252" s="34">
        <f>Database!K1267</f>
        <v>0</v>
      </c>
      <c r="E1252" s="34">
        <f>Database!P1267</f>
        <v>0</v>
      </c>
      <c r="F1252" s="34">
        <f>Database!Q1267</f>
        <v>0</v>
      </c>
      <c r="G1252" s="462">
        <f>Database!R1267</f>
        <v>0</v>
      </c>
      <c r="H1252" s="35">
        <f>Database!N1267</f>
        <v>0</v>
      </c>
    </row>
    <row r="1253" spans="1:8" ht="23.25" x14ac:dyDescent="0.25">
      <c r="A1253" s="225" t="str">
        <f>Database!A1268</f>
        <v/>
      </c>
      <c r="B1253" s="34">
        <f>Database!E1268</f>
        <v>0</v>
      </c>
      <c r="C1253" s="34">
        <f>Database!F1268</f>
        <v>0</v>
      </c>
      <c r="D1253" s="34">
        <f>Database!K1268</f>
        <v>0</v>
      </c>
      <c r="E1253" s="34">
        <f>Database!P1268</f>
        <v>0</v>
      </c>
      <c r="F1253" s="34">
        <f>Database!Q1268</f>
        <v>0</v>
      </c>
      <c r="G1253" s="462">
        <f>Database!R1268</f>
        <v>0</v>
      </c>
      <c r="H1253" s="35">
        <f>Database!N1268</f>
        <v>0</v>
      </c>
    </row>
    <row r="1254" spans="1:8" ht="23.25" x14ac:dyDescent="0.25">
      <c r="A1254" s="225" t="str">
        <f>Database!A1269</f>
        <v/>
      </c>
      <c r="B1254" s="34">
        <f>Database!E1269</f>
        <v>0</v>
      </c>
      <c r="C1254" s="34">
        <f>Database!F1269</f>
        <v>0</v>
      </c>
      <c r="D1254" s="34">
        <f>Database!K1269</f>
        <v>0</v>
      </c>
      <c r="E1254" s="34">
        <f>Database!P1269</f>
        <v>0</v>
      </c>
      <c r="F1254" s="34">
        <f>Database!Q1269</f>
        <v>0</v>
      </c>
      <c r="G1254" s="462">
        <f>Database!R1269</f>
        <v>0</v>
      </c>
      <c r="H1254" s="35">
        <f>Database!N1269</f>
        <v>0</v>
      </c>
    </row>
    <row r="1255" spans="1:8" ht="23.25" x14ac:dyDescent="0.25">
      <c r="A1255" s="225" t="str">
        <f>Database!A1270</f>
        <v/>
      </c>
      <c r="B1255" s="34">
        <f>Database!E1270</f>
        <v>0</v>
      </c>
      <c r="C1255" s="34">
        <f>Database!F1270</f>
        <v>0</v>
      </c>
      <c r="D1255" s="34">
        <f>Database!K1270</f>
        <v>0</v>
      </c>
      <c r="E1255" s="34">
        <f>Database!P1270</f>
        <v>0</v>
      </c>
      <c r="F1255" s="34">
        <f>Database!Q1270</f>
        <v>0</v>
      </c>
      <c r="G1255" s="462">
        <f>Database!R1270</f>
        <v>0</v>
      </c>
      <c r="H1255" s="35">
        <f>Database!N1270</f>
        <v>0</v>
      </c>
    </row>
    <row r="1256" spans="1:8" ht="23.25" x14ac:dyDescent="0.25">
      <c r="A1256" s="225" t="str">
        <f>Database!A1271</f>
        <v/>
      </c>
      <c r="B1256" s="34">
        <f>Database!E1271</f>
        <v>0</v>
      </c>
      <c r="C1256" s="34">
        <f>Database!F1271</f>
        <v>0</v>
      </c>
      <c r="D1256" s="34">
        <f>Database!K1271</f>
        <v>0</v>
      </c>
      <c r="E1256" s="34">
        <f>Database!P1271</f>
        <v>0</v>
      </c>
      <c r="F1256" s="34">
        <f>Database!Q1271</f>
        <v>0</v>
      </c>
      <c r="G1256" s="462">
        <f>Database!R1271</f>
        <v>0</v>
      </c>
      <c r="H1256" s="35">
        <f>Database!N1271</f>
        <v>0</v>
      </c>
    </row>
    <row r="1257" spans="1:8" ht="23.25" x14ac:dyDescent="0.25">
      <c r="A1257" s="225" t="str">
        <f>Database!A1272</f>
        <v/>
      </c>
      <c r="B1257" s="34">
        <f>Database!E1272</f>
        <v>0</v>
      </c>
      <c r="C1257" s="34">
        <f>Database!F1272</f>
        <v>0</v>
      </c>
      <c r="D1257" s="34">
        <f>Database!K1272</f>
        <v>0</v>
      </c>
      <c r="E1257" s="34">
        <f>Database!P1272</f>
        <v>0</v>
      </c>
      <c r="F1257" s="34">
        <f>Database!Q1272</f>
        <v>0</v>
      </c>
      <c r="G1257" s="462">
        <f>Database!R1272</f>
        <v>0</v>
      </c>
      <c r="H1257" s="35">
        <f>Database!N1272</f>
        <v>0</v>
      </c>
    </row>
    <row r="1258" spans="1:8" ht="23.25" x14ac:dyDescent="0.25">
      <c r="A1258" s="225" t="str">
        <f>Database!A1273</f>
        <v/>
      </c>
      <c r="B1258" s="34">
        <f>Database!E1273</f>
        <v>0</v>
      </c>
      <c r="C1258" s="34">
        <f>Database!F1273</f>
        <v>0</v>
      </c>
      <c r="D1258" s="34">
        <f>Database!K1273</f>
        <v>0</v>
      </c>
      <c r="E1258" s="34">
        <f>Database!P1273</f>
        <v>0</v>
      </c>
      <c r="F1258" s="34">
        <f>Database!Q1273</f>
        <v>0</v>
      </c>
      <c r="G1258" s="462">
        <f>Database!R1273</f>
        <v>0</v>
      </c>
      <c r="H1258" s="35">
        <f>Database!N1273</f>
        <v>0</v>
      </c>
    </row>
    <row r="1259" spans="1:8" ht="23.25" x14ac:dyDescent="0.25">
      <c r="A1259" s="225" t="str">
        <f>Database!A1274</f>
        <v/>
      </c>
      <c r="B1259" s="34">
        <f>Database!E1274</f>
        <v>0</v>
      </c>
      <c r="C1259" s="34">
        <f>Database!F1274</f>
        <v>0</v>
      </c>
      <c r="D1259" s="34">
        <f>Database!K1274</f>
        <v>0</v>
      </c>
      <c r="E1259" s="34">
        <f>Database!P1274</f>
        <v>0</v>
      </c>
      <c r="F1259" s="34">
        <f>Database!Q1274</f>
        <v>0</v>
      </c>
      <c r="G1259" s="462">
        <f>Database!R1274</f>
        <v>0</v>
      </c>
      <c r="H1259" s="35">
        <f>Database!N1274</f>
        <v>0</v>
      </c>
    </row>
    <row r="1260" spans="1:8" ht="23.25" x14ac:dyDescent="0.25">
      <c r="A1260" s="225" t="str">
        <f>Database!A1275</f>
        <v/>
      </c>
      <c r="B1260" s="34">
        <f>Database!E1275</f>
        <v>0</v>
      </c>
      <c r="C1260" s="34">
        <f>Database!F1275</f>
        <v>0</v>
      </c>
      <c r="D1260" s="34">
        <f>Database!K1275</f>
        <v>0</v>
      </c>
      <c r="E1260" s="34">
        <f>Database!P1275</f>
        <v>0</v>
      </c>
      <c r="F1260" s="34">
        <f>Database!Q1275</f>
        <v>0</v>
      </c>
      <c r="G1260" s="462">
        <f>Database!R1275</f>
        <v>0</v>
      </c>
      <c r="H1260" s="35">
        <f>Database!N1275</f>
        <v>0</v>
      </c>
    </row>
    <row r="1261" spans="1:8" ht="23.25" x14ac:dyDescent="0.25">
      <c r="A1261" s="225" t="str">
        <f>Database!A1276</f>
        <v/>
      </c>
      <c r="B1261" s="34">
        <f>Database!E1276</f>
        <v>0</v>
      </c>
      <c r="C1261" s="34">
        <f>Database!F1276</f>
        <v>0</v>
      </c>
      <c r="D1261" s="34">
        <f>Database!K1276</f>
        <v>0</v>
      </c>
      <c r="E1261" s="34">
        <f>Database!P1276</f>
        <v>0</v>
      </c>
      <c r="F1261" s="34">
        <f>Database!Q1276</f>
        <v>0</v>
      </c>
      <c r="G1261" s="462">
        <f>Database!R1276</f>
        <v>0</v>
      </c>
      <c r="H1261" s="35">
        <f>Database!N1276</f>
        <v>0</v>
      </c>
    </row>
    <row r="1262" spans="1:8" ht="23.25" x14ac:dyDescent="0.25">
      <c r="A1262" s="225" t="str">
        <f>Database!A1277</f>
        <v/>
      </c>
      <c r="B1262" s="34">
        <f>Database!E1277</f>
        <v>0</v>
      </c>
      <c r="C1262" s="34">
        <f>Database!F1277</f>
        <v>0</v>
      </c>
      <c r="D1262" s="34">
        <f>Database!K1277</f>
        <v>0</v>
      </c>
      <c r="E1262" s="34">
        <f>Database!P1277</f>
        <v>0</v>
      </c>
      <c r="F1262" s="34">
        <f>Database!Q1277</f>
        <v>0</v>
      </c>
      <c r="G1262" s="462">
        <f>Database!R1277</f>
        <v>0</v>
      </c>
      <c r="H1262" s="35">
        <f>Database!N1277</f>
        <v>0</v>
      </c>
    </row>
    <row r="1263" spans="1:8" ht="23.25" x14ac:dyDescent="0.25">
      <c r="A1263" s="225" t="str">
        <f>Database!A1278</f>
        <v/>
      </c>
      <c r="B1263" s="34">
        <f>Database!E1278</f>
        <v>0</v>
      </c>
      <c r="C1263" s="34">
        <f>Database!F1278</f>
        <v>0</v>
      </c>
      <c r="D1263" s="34">
        <f>Database!K1278</f>
        <v>0</v>
      </c>
      <c r="E1263" s="34">
        <f>Database!P1278</f>
        <v>0</v>
      </c>
      <c r="F1263" s="34">
        <f>Database!Q1278</f>
        <v>0</v>
      </c>
      <c r="G1263" s="462">
        <f>Database!R1278</f>
        <v>0</v>
      </c>
      <c r="H1263" s="35">
        <f>Database!N1278</f>
        <v>0</v>
      </c>
    </row>
    <row r="1264" spans="1:8" ht="23.25" x14ac:dyDescent="0.25">
      <c r="A1264" s="225" t="str">
        <f>Database!A1279</f>
        <v/>
      </c>
      <c r="B1264" s="34">
        <f>Database!E1279</f>
        <v>0</v>
      </c>
      <c r="C1264" s="34">
        <f>Database!F1279</f>
        <v>0</v>
      </c>
      <c r="D1264" s="34">
        <f>Database!K1279</f>
        <v>0</v>
      </c>
      <c r="E1264" s="34">
        <f>Database!P1279</f>
        <v>0</v>
      </c>
      <c r="F1264" s="34">
        <f>Database!Q1279</f>
        <v>0</v>
      </c>
      <c r="G1264" s="462">
        <f>Database!R1279</f>
        <v>0</v>
      </c>
      <c r="H1264" s="35">
        <f>Database!N1279</f>
        <v>0</v>
      </c>
    </row>
    <row r="1265" spans="1:8" ht="23.25" x14ac:dyDescent="0.25">
      <c r="A1265" s="225" t="str">
        <f>Database!A1280</f>
        <v/>
      </c>
      <c r="B1265" s="34">
        <f>Database!E1280</f>
        <v>0</v>
      </c>
      <c r="C1265" s="34">
        <f>Database!F1280</f>
        <v>0</v>
      </c>
      <c r="D1265" s="34">
        <f>Database!K1280</f>
        <v>0</v>
      </c>
      <c r="E1265" s="34">
        <f>Database!P1280</f>
        <v>0</v>
      </c>
      <c r="F1265" s="34">
        <f>Database!Q1280</f>
        <v>0</v>
      </c>
      <c r="G1265" s="462">
        <f>Database!R1280</f>
        <v>0</v>
      </c>
      <c r="H1265" s="35">
        <f>Database!N1280</f>
        <v>0</v>
      </c>
    </row>
    <row r="1266" spans="1:8" ht="23.25" x14ac:dyDescent="0.25">
      <c r="A1266" s="225" t="str">
        <f>Database!A1281</f>
        <v/>
      </c>
      <c r="B1266" s="34">
        <f>Database!E1281</f>
        <v>0</v>
      </c>
      <c r="C1266" s="34">
        <f>Database!F1281</f>
        <v>0</v>
      </c>
      <c r="D1266" s="34">
        <f>Database!K1281</f>
        <v>0</v>
      </c>
      <c r="E1266" s="34">
        <f>Database!P1281</f>
        <v>0</v>
      </c>
      <c r="F1266" s="34">
        <f>Database!Q1281</f>
        <v>0</v>
      </c>
      <c r="G1266" s="462">
        <f>Database!R1281</f>
        <v>0</v>
      </c>
      <c r="H1266" s="35">
        <f>Database!N1281</f>
        <v>0</v>
      </c>
    </row>
    <row r="1267" spans="1:8" ht="23.25" x14ac:dyDescent="0.25">
      <c r="A1267" s="225" t="str">
        <f>Database!A1282</f>
        <v/>
      </c>
      <c r="B1267" s="34">
        <f>Database!E1282</f>
        <v>0</v>
      </c>
      <c r="C1267" s="34">
        <f>Database!F1282</f>
        <v>0</v>
      </c>
      <c r="D1267" s="34">
        <f>Database!K1282</f>
        <v>0</v>
      </c>
      <c r="E1267" s="34">
        <f>Database!P1282</f>
        <v>0</v>
      </c>
      <c r="F1267" s="34">
        <f>Database!Q1282</f>
        <v>0</v>
      </c>
      <c r="G1267" s="462">
        <f>Database!R1282</f>
        <v>0</v>
      </c>
      <c r="H1267" s="35">
        <f>Database!N1282</f>
        <v>0</v>
      </c>
    </row>
    <row r="1268" spans="1:8" ht="23.25" x14ac:dyDescent="0.25">
      <c r="A1268" s="225" t="str">
        <f>Database!A1283</f>
        <v/>
      </c>
      <c r="B1268" s="34">
        <f>Database!E1283</f>
        <v>0</v>
      </c>
      <c r="C1268" s="34">
        <f>Database!F1283</f>
        <v>0</v>
      </c>
      <c r="D1268" s="34">
        <f>Database!K1283</f>
        <v>0</v>
      </c>
      <c r="E1268" s="34">
        <f>Database!P1283</f>
        <v>0</v>
      </c>
      <c r="F1268" s="34">
        <f>Database!Q1283</f>
        <v>0</v>
      </c>
      <c r="G1268" s="462">
        <f>Database!R1283</f>
        <v>0</v>
      </c>
      <c r="H1268" s="35">
        <f>Database!N1283</f>
        <v>0</v>
      </c>
    </row>
    <row r="1269" spans="1:8" ht="23.25" x14ac:dyDescent="0.25">
      <c r="A1269" s="225" t="str">
        <f>Database!A1284</f>
        <v/>
      </c>
      <c r="B1269" s="34">
        <f>Database!E1284</f>
        <v>0</v>
      </c>
      <c r="C1269" s="34">
        <f>Database!F1284</f>
        <v>0</v>
      </c>
      <c r="D1269" s="34">
        <f>Database!K1284</f>
        <v>0</v>
      </c>
      <c r="E1269" s="34">
        <f>Database!P1284</f>
        <v>0</v>
      </c>
      <c r="F1269" s="34">
        <f>Database!Q1284</f>
        <v>0</v>
      </c>
      <c r="G1269" s="462">
        <f>Database!R1284</f>
        <v>0</v>
      </c>
      <c r="H1269" s="35">
        <f>Database!N1284</f>
        <v>0</v>
      </c>
    </row>
    <row r="1270" spans="1:8" ht="23.25" x14ac:dyDescent="0.25">
      <c r="A1270" s="225" t="str">
        <f>Database!A1285</f>
        <v/>
      </c>
      <c r="B1270" s="34">
        <f>Database!E1285</f>
        <v>0</v>
      </c>
      <c r="C1270" s="34">
        <f>Database!F1285</f>
        <v>0</v>
      </c>
      <c r="D1270" s="34">
        <f>Database!K1285</f>
        <v>0</v>
      </c>
      <c r="E1270" s="34">
        <f>Database!P1285</f>
        <v>0</v>
      </c>
      <c r="F1270" s="34">
        <f>Database!Q1285</f>
        <v>0</v>
      </c>
      <c r="G1270" s="462">
        <f>Database!R1285</f>
        <v>0</v>
      </c>
      <c r="H1270" s="35">
        <f>Database!N1285</f>
        <v>0</v>
      </c>
    </row>
    <row r="1271" spans="1:8" ht="23.25" x14ac:dyDescent="0.25">
      <c r="A1271" s="225" t="str">
        <f>Database!A1286</f>
        <v/>
      </c>
      <c r="B1271" s="34">
        <f>Database!E1286</f>
        <v>0</v>
      </c>
      <c r="C1271" s="34">
        <f>Database!F1286</f>
        <v>0</v>
      </c>
      <c r="D1271" s="34">
        <f>Database!K1286</f>
        <v>0</v>
      </c>
      <c r="E1271" s="34">
        <f>Database!P1286</f>
        <v>0</v>
      </c>
      <c r="F1271" s="34">
        <f>Database!Q1286</f>
        <v>0</v>
      </c>
      <c r="G1271" s="462">
        <f>Database!R1286</f>
        <v>0</v>
      </c>
      <c r="H1271" s="35">
        <f>Database!N1286</f>
        <v>0</v>
      </c>
    </row>
    <row r="1272" spans="1:8" ht="23.25" x14ac:dyDescent="0.25">
      <c r="A1272" s="225" t="str">
        <f>Database!A1287</f>
        <v/>
      </c>
      <c r="B1272" s="34">
        <f>Database!E1287</f>
        <v>0</v>
      </c>
      <c r="C1272" s="34">
        <f>Database!F1287</f>
        <v>0</v>
      </c>
      <c r="D1272" s="34">
        <f>Database!K1287</f>
        <v>0</v>
      </c>
      <c r="E1272" s="34">
        <f>Database!P1287</f>
        <v>0</v>
      </c>
      <c r="F1272" s="34">
        <f>Database!Q1287</f>
        <v>0</v>
      </c>
      <c r="G1272" s="462">
        <f>Database!R1287</f>
        <v>0</v>
      </c>
      <c r="H1272" s="35">
        <f>Database!N1287</f>
        <v>0</v>
      </c>
    </row>
    <row r="1273" spans="1:8" ht="23.25" x14ac:dyDescent="0.25">
      <c r="A1273" s="225" t="str">
        <f>Database!A1288</f>
        <v/>
      </c>
      <c r="B1273" s="34">
        <f>Database!E1288</f>
        <v>0</v>
      </c>
      <c r="C1273" s="34">
        <f>Database!F1288</f>
        <v>0</v>
      </c>
      <c r="D1273" s="34">
        <f>Database!K1288</f>
        <v>0</v>
      </c>
      <c r="E1273" s="34">
        <f>Database!P1288</f>
        <v>0</v>
      </c>
      <c r="F1273" s="34">
        <f>Database!Q1288</f>
        <v>0</v>
      </c>
      <c r="G1273" s="462">
        <f>Database!R1288</f>
        <v>0</v>
      </c>
      <c r="H1273" s="35">
        <f>Database!N1288</f>
        <v>0</v>
      </c>
    </row>
    <row r="1274" spans="1:8" ht="23.25" x14ac:dyDescent="0.25">
      <c r="A1274" s="225" t="str">
        <f>Database!A1289</f>
        <v/>
      </c>
      <c r="B1274" s="34">
        <f>Database!E1289</f>
        <v>0</v>
      </c>
      <c r="C1274" s="34">
        <f>Database!F1289</f>
        <v>0</v>
      </c>
      <c r="D1274" s="34">
        <f>Database!K1289</f>
        <v>0</v>
      </c>
      <c r="E1274" s="34">
        <f>Database!P1289</f>
        <v>0</v>
      </c>
      <c r="F1274" s="34">
        <f>Database!Q1289</f>
        <v>0</v>
      </c>
      <c r="G1274" s="462">
        <f>Database!R1289</f>
        <v>0</v>
      </c>
      <c r="H1274" s="35">
        <f>Database!N1289</f>
        <v>0</v>
      </c>
    </row>
    <row r="1275" spans="1:8" ht="23.25" x14ac:dyDescent="0.25">
      <c r="A1275" s="225" t="str">
        <f>Database!A1290</f>
        <v/>
      </c>
      <c r="B1275" s="34">
        <f>Database!E1290</f>
        <v>0</v>
      </c>
      <c r="C1275" s="34">
        <f>Database!F1290</f>
        <v>0</v>
      </c>
      <c r="D1275" s="34">
        <f>Database!K1290</f>
        <v>0</v>
      </c>
      <c r="E1275" s="34">
        <f>Database!P1290</f>
        <v>0</v>
      </c>
      <c r="F1275" s="34">
        <f>Database!Q1290</f>
        <v>0</v>
      </c>
      <c r="G1275" s="462">
        <f>Database!R1290</f>
        <v>0</v>
      </c>
      <c r="H1275" s="35">
        <f>Database!N1290</f>
        <v>0</v>
      </c>
    </row>
    <row r="1276" spans="1:8" ht="23.25" x14ac:dyDescent="0.25">
      <c r="A1276" s="225" t="str">
        <f>Database!A1291</f>
        <v/>
      </c>
      <c r="B1276" s="34">
        <f>Database!E1291</f>
        <v>0</v>
      </c>
      <c r="C1276" s="34">
        <f>Database!F1291</f>
        <v>0</v>
      </c>
      <c r="D1276" s="34">
        <f>Database!K1291</f>
        <v>0</v>
      </c>
      <c r="E1276" s="34">
        <f>Database!P1291</f>
        <v>0</v>
      </c>
      <c r="F1276" s="34">
        <f>Database!Q1291</f>
        <v>0</v>
      </c>
      <c r="G1276" s="462">
        <f>Database!R1291</f>
        <v>0</v>
      </c>
      <c r="H1276" s="35">
        <f>Database!N1291</f>
        <v>0</v>
      </c>
    </row>
    <row r="1277" spans="1:8" ht="23.25" x14ac:dyDescent="0.25">
      <c r="A1277" s="225" t="str">
        <f>Database!A1292</f>
        <v/>
      </c>
      <c r="B1277" s="34">
        <f>Database!E1292</f>
        <v>0</v>
      </c>
      <c r="C1277" s="34">
        <f>Database!F1292</f>
        <v>0</v>
      </c>
      <c r="D1277" s="34">
        <f>Database!K1292</f>
        <v>0</v>
      </c>
      <c r="E1277" s="34">
        <f>Database!P1292</f>
        <v>0</v>
      </c>
      <c r="F1277" s="34">
        <f>Database!Q1292</f>
        <v>0</v>
      </c>
      <c r="G1277" s="462">
        <f>Database!R1292</f>
        <v>0</v>
      </c>
      <c r="H1277" s="35">
        <f>Database!N1292</f>
        <v>0</v>
      </c>
    </row>
    <row r="1278" spans="1:8" ht="23.25" x14ac:dyDescent="0.25">
      <c r="A1278" s="225" t="str">
        <f>Database!A1293</f>
        <v/>
      </c>
      <c r="B1278" s="34">
        <f>Database!E1293</f>
        <v>0</v>
      </c>
      <c r="C1278" s="34">
        <f>Database!F1293</f>
        <v>0</v>
      </c>
      <c r="D1278" s="34">
        <f>Database!K1293</f>
        <v>0</v>
      </c>
      <c r="E1278" s="34">
        <f>Database!P1293</f>
        <v>0</v>
      </c>
      <c r="F1278" s="34">
        <f>Database!Q1293</f>
        <v>0</v>
      </c>
      <c r="G1278" s="462">
        <f>Database!R1293</f>
        <v>0</v>
      </c>
      <c r="H1278" s="35">
        <f>Database!N1293</f>
        <v>0</v>
      </c>
    </row>
    <row r="1279" spans="1:8" ht="23.25" x14ac:dyDescent="0.25">
      <c r="A1279" s="225" t="str">
        <f>Database!A1294</f>
        <v/>
      </c>
      <c r="B1279" s="34">
        <f>Database!E1294</f>
        <v>0</v>
      </c>
      <c r="C1279" s="34">
        <f>Database!F1294</f>
        <v>0</v>
      </c>
      <c r="D1279" s="34">
        <f>Database!K1294</f>
        <v>0</v>
      </c>
      <c r="E1279" s="34">
        <f>Database!P1294</f>
        <v>0</v>
      </c>
      <c r="F1279" s="34">
        <f>Database!Q1294</f>
        <v>0</v>
      </c>
      <c r="G1279" s="462">
        <f>Database!R1294</f>
        <v>0</v>
      </c>
      <c r="H1279" s="35">
        <f>Database!N1294</f>
        <v>0</v>
      </c>
    </row>
    <row r="1280" spans="1:8" ht="23.25" x14ac:dyDescent="0.25">
      <c r="A1280" s="225" t="str">
        <f>Database!A1295</f>
        <v/>
      </c>
      <c r="B1280" s="34">
        <f>Database!E1295</f>
        <v>0</v>
      </c>
      <c r="C1280" s="34">
        <f>Database!F1295</f>
        <v>0</v>
      </c>
      <c r="D1280" s="34">
        <f>Database!K1295</f>
        <v>0</v>
      </c>
      <c r="E1280" s="34">
        <f>Database!P1295</f>
        <v>0</v>
      </c>
      <c r="F1280" s="34">
        <f>Database!Q1295</f>
        <v>0</v>
      </c>
      <c r="G1280" s="462">
        <f>Database!R1295</f>
        <v>0</v>
      </c>
      <c r="H1280" s="35">
        <f>Database!N1295</f>
        <v>0</v>
      </c>
    </row>
    <row r="1281" spans="1:8" ht="23.25" x14ac:dyDescent="0.25">
      <c r="A1281" s="225" t="str">
        <f>Database!A1296</f>
        <v/>
      </c>
      <c r="B1281" s="34">
        <f>Database!E1296</f>
        <v>0</v>
      </c>
      <c r="C1281" s="34">
        <f>Database!F1296</f>
        <v>0</v>
      </c>
      <c r="D1281" s="34">
        <f>Database!K1296</f>
        <v>0</v>
      </c>
      <c r="E1281" s="34">
        <f>Database!P1296</f>
        <v>0</v>
      </c>
      <c r="F1281" s="34">
        <f>Database!Q1296</f>
        <v>0</v>
      </c>
      <c r="G1281" s="462">
        <f>Database!R1296</f>
        <v>0</v>
      </c>
      <c r="H1281" s="35">
        <f>Database!N1296</f>
        <v>0</v>
      </c>
    </row>
    <row r="1282" spans="1:8" ht="23.25" x14ac:dyDescent="0.25">
      <c r="A1282" s="225" t="str">
        <f>Database!A1297</f>
        <v/>
      </c>
      <c r="B1282" s="34">
        <f>Database!E1297</f>
        <v>0</v>
      </c>
      <c r="C1282" s="34">
        <f>Database!F1297</f>
        <v>0</v>
      </c>
      <c r="D1282" s="34">
        <f>Database!K1297</f>
        <v>0</v>
      </c>
      <c r="E1282" s="34">
        <f>Database!P1297</f>
        <v>0</v>
      </c>
      <c r="F1282" s="34">
        <f>Database!Q1297</f>
        <v>0</v>
      </c>
      <c r="G1282" s="462">
        <f>Database!R1297</f>
        <v>0</v>
      </c>
      <c r="H1282" s="35">
        <f>Database!N1297</f>
        <v>0</v>
      </c>
    </row>
    <row r="1283" spans="1:8" ht="23.25" x14ac:dyDescent="0.25">
      <c r="A1283" s="225" t="str">
        <f>Database!A1298</f>
        <v/>
      </c>
      <c r="B1283" s="34">
        <f>Database!E1298</f>
        <v>0</v>
      </c>
      <c r="C1283" s="34">
        <f>Database!F1298</f>
        <v>0</v>
      </c>
      <c r="D1283" s="34">
        <f>Database!K1298</f>
        <v>0</v>
      </c>
      <c r="E1283" s="34">
        <f>Database!P1298</f>
        <v>0</v>
      </c>
      <c r="F1283" s="34">
        <f>Database!Q1298</f>
        <v>0</v>
      </c>
      <c r="G1283" s="462">
        <f>Database!R1298</f>
        <v>0</v>
      </c>
      <c r="H1283" s="35">
        <f>Database!N1298</f>
        <v>0</v>
      </c>
    </row>
    <row r="1284" spans="1:8" ht="23.25" x14ac:dyDescent="0.25">
      <c r="A1284" s="225" t="str">
        <f>Database!A1299</f>
        <v/>
      </c>
      <c r="B1284" s="34">
        <f>Database!E1299</f>
        <v>0</v>
      </c>
      <c r="C1284" s="34">
        <f>Database!F1299</f>
        <v>0</v>
      </c>
      <c r="D1284" s="34">
        <f>Database!K1299</f>
        <v>0</v>
      </c>
      <c r="E1284" s="34">
        <f>Database!P1299</f>
        <v>0</v>
      </c>
      <c r="F1284" s="34">
        <f>Database!Q1299</f>
        <v>0</v>
      </c>
      <c r="G1284" s="462">
        <f>Database!R1299</f>
        <v>0</v>
      </c>
      <c r="H1284" s="35">
        <f>Database!N1299</f>
        <v>0</v>
      </c>
    </row>
    <row r="1285" spans="1:8" ht="23.25" x14ac:dyDescent="0.25">
      <c r="A1285" s="225" t="str">
        <f>Database!A1300</f>
        <v/>
      </c>
      <c r="B1285" s="34">
        <f>Database!E1300</f>
        <v>0</v>
      </c>
      <c r="C1285" s="34">
        <f>Database!F1300</f>
        <v>0</v>
      </c>
      <c r="D1285" s="34">
        <f>Database!K1300</f>
        <v>0</v>
      </c>
      <c r="E1285" s="34">
        <f>Database!P1300</f>
        <v>0</v>
      </c>
      <c r="F1285" s="34">
        <f>Database!Q1300</f>
        <v>0</v>
      </c>
      <c r="G1285" s="462">
        <f>Database!R1300</f>
        <v>0</v>
      </c>
      <c r="H1285" s="35">
        <f>Database!N1300</f>
        <v>0</v>
      </c>
    </row>
    <row r="1286" spans="1:8" ht="23.25" x14ac:dyDescent="0.25">
      <c r="A1286" s="225" t="str">
        <f>Database!A1301</f>
        <v/>
      </c>
      <c r="B1286" s="34">
        <f>Database!E1301</f>
        <v>0</v>
      </c>
      <c r="C1286" s="34">
        <f>Database!F1301</f>
        <v>0</v>
      </c>
      <c r="D1286" s="34">
        <f>Database!K1301</f>
        <v>0</v>
      </c>
      <c r="E1286" s="34">
        <f>Database!P1301</f>
        <v>0</v>
      </c>
      <c r="F1286" s="34">
        <f>Database!Q1301</f>
        <v>0</v>
      </c>
      <c r="G1286" s="462">
        <f>Database!R1301</f>
        <v>0</v>
      </c>
      <c r="H1286" s="35">
        <f>Database!N1301</f>
        <v>0</v>
      </c>
    </row>
    <row r="1287" spans="1:8" ht="23.25" x14ac:dyDescent="0.25">
      <c r="A1287" s="225" t="str">
        <f>Database!A1302</f>
        <v/>
      </c>
      <c r="B1287" s="34">
        <f>Database!E1302</f>
        <v>0</v>
      </c>
      <c r="C1287" s="34">
        <f>Database!F1302</f>
        <v>0</v>
      </c>
      <c r="D1287" s="34">
        <f>Database!K1302</f>
        <v>0</v>
      </c>
      <c r="E1287" s="34">
        <f>Database!P1302</f>
        <v>0</v>
      </c>
      <c r="F1287" s="34">
        <f>Database!Q1302</f>
        <v>0</v>
      </c>
      <c r="G1287" s="462">
        <f>Database!R1302</f>
        <v>0</v>
      </c>
      <c r="H1287" s="35">
        <f>Database!N1302</f>
        <v>0</v>
      </c>
    </row>
    <row r="1288" spans="1:8" ht="23.25" x14ac:dyDescent="0.25">
      <c r="A1288" s="225" t="str">
        <f>Database!A1303</f>
        <v/>
      </c>
      <c r="B1288" s="34">
        <f>Database!E1303</f>
        <v>0</v>
      </c>
      <c r="C1288" s="34">
        <f>Database!F1303</f>
        <v>0</v>
      </c>
      <c r="D1288" s="34">
        <f>Database!K1303</f>
        <v>0</v>
      </c>
      <c r="E1288" s="34">
        <f>Database!P1303</f>
        <v>0</v>
      </c>
      <c r="F1288" s="34">
        <f>Database!Q1303</f>
        <v>0</v>
      </c>
      <c r="G1288" s="462">
        <f>Database!R1303</f>
        <v>0</v>
      </c>
      <c r="H1288" s="35">
        <f>Database!N1303</f>
        <v>0</v>
      </c>
    </row>
    <row r="1289" spans="1:8" ht="23.25" x14ac:dyDescent="0.25">
      <c r="A1289" s="225" t="str">
        <f>Database!A1304</f>
        <v/>
      </c>
      <c r="B1289" s="34">
        <f>Database!E1304</f>
        <v>0</v>
      </c>
      <c r="C1289" s="34">
        <f>Database!F1304</f>
        <v>0</v>
      </c>
      <c r="D1289" s="34">
        <f>Database!K1304</f>
        <v>0</v>
      </c>
      <c r="E1289" s="34">
        <f>Database!P1304</f>
        <v>0</v>
      </c>
      <c r="F1289" s="34">
        <f>Database!Q1304</f>
        <v>0</v>
      </c>
      <c r="G1289" s="462">
        <f>Database!R1304</f>
        <v>0</v>
      </c>
      <c r="H1289" s="35">
        <f>Database!N1304</f>
        <v>0</v>
      </c>
    </row>
    <row r="1290" spans="1:8" ht="23.25" x14ac:dyDescent="0.25">
      <c r="A1290" s="225" t="str">
        <f>Database!A1305</f>
        <v/>
      </c>
      <c r="B1290" s="34">
        <f>Database!E1305</f>
        <v>0</v>
      </c>
      <c r="C1290" s="34">
        <f>Database!F1305</f>
        <v>0</v>
      </c>
      <c r="D1290" s="34">
        <f>Database!K1305</f>
        <v>0</v>
      </c>
      <c r="E1290" s="34">
        <f>Database!P1305</f>
        <v>0</v>
      </c>
      <c r="F1290" s="34">
        <f>Database!Q1305</f>
        <v>0</v>
      </c>
      <c r="G1290" s="462">
        <f>Database!R1305</f>
        <v>0</v>
      </c>
      <c r="H1290" s="35">
        <f>Database!N1305</f>
        <v>0</v>
      </c>
    </row>
    <row r="1291" spans="1:8" ht="23.25" x14ac:dyDescent="0.25">
      <c r="A1291" s="225" t="str">
        <f>Database!A1306</f>
        <v/>
      </c>
      <c r="B1291" s="34">
        <f>Database!E1306</f>
        <v>0</v>
      </c>
      <c r="C1291" s="34">
        <f>Database!F1306</f>
        <v>0</v>
      </c>
      <c r="D1291" s="34">
        <f>Database!K1306</f>
        <v>0</v>
      </c>
      <c r="E1291" s="34">
        <f>Database!P1306</f>
        <v>0</v>
      </c>
      <c r="F1291" s="34">
        <f>Database!Q1306</f>
        <v>0</v>
      </c>
      <c r="G1291" s="462">
        <f>Database!R1306</f>
        <v>0</v>
      </c>
      <c r="H1291" s="35">
        <f>Database!N1306</f>
        <v>0</v>
      </c>
    </row>
    <row r="1292" spans="1:8" ht="23.25" x14ac:dyDescent="0.25">
      <c r="A1292" s="225" t="str">
        <f>Database!A1307</f>
        <v/>
      </c>
      <c r="B1292" s="34">
        <f>Database!E1307</f>
        <v>0</v>
      </c>
      <c r="C1292" s="34">
        <f>Database!F1307</f>
        <v>0</v>
      </c>
      <c r="D1292" s="34">
        <f>Database!K1307</f>
        <v>0</v>
      </c>
      <c r="E1292" s="34">
        <f>Database!P1307</f>
        <v>0</v>
      </c>
      <c r="F1292" s="34">
        <f>Database!Q1307</f>
        <v>0</v>
      </c>
      <c r="G1292" s="462">
        <f>Database!R1307</f>
        <v>0</v>
      </c>
      <c r="H1292" s="35">
        <f>Database!N1307</f>
        <v>0</v>
      </c>
    </row>
    <row r="1293" spans="1:8" ht="23.25" x14ac:dyDescent="0.25">
      <c r="A1293" s="225" t="str">
        <f>Database!A1308</f>
        <v/>
      </c>
      <c r="B1293" s="34">
        <f>Database!E1308</f>
        <v>0</v>
      </c>
      <c r="C1293" s="34">
        <f>Database!F1308</f>
        <v>0</v>
      </c>
      <c r="D1293" s="34">
        <f>Database!K1308</f>
        <v>0</v>
      </c>
      <c r="E1293" s="34">
        <f>Database!P1308</f>
        <v>0</v>
      </c>
      <c r="F1293" s="34">
        <f>Database!Q1308</f>
        <v>0</v>
      </c>
      <c r="G1293" s="462">
        <f>Database!R1308</f>
        <v>0</v>
      </c>
      <c r="H1293" s="35">
        <f>Database!N1308</f>
        <v>0</v>
      </c>
    </row>
    <row r="1294" spans="1:8" ht="23.25" x14ac:dyDescent="0.25">
      <c r="A1294" s="225" t="str">
        <f>Database!A1309</f>
        <v/>
      </c>
      <c r="B1294" s="34">
        <f>Database!E1309</f>
        <v>0</v>
      </c>
      <c r="C1294" s="34">
        <f>Database!F1309</f>
        <v>0</v>
      </c>
      <c r="D1294" s="34">
        <f>Database!K1309</f>
        <v>0</v>
      </c>
      <c r="E1294" s="34">
        <f>Database!P1309</f>
        <v>0</v>
      </c>
      <c r="F1294" s="34">
        <f>Database!Q1309</f>
        <v>0</v>
      </c>
      <c r="G1294" s="462">
        <f>Database!R1309</f>
        <v>0</v>
      </c>
      <c r="H1294" s="35">
        <f>Database!N1309</f>
        <v>0</v>
      </c>
    </row>
    <row r="1295" spans="1:8" ht="23.25" x14ac:dyDescent="0.25">
      <c r="A1295" s="225" t="str">
        <f>Database!A1310</f>
        <v/>
      </c>
      <c r="B1295" s="34">
        <f>Database!E1310</f>
        <v>0</v>
      </c>
      <c r="C1295" s="34">
        <f>Database!F1310</f>
        <v>0</v>
      </c>
      <c r="D1295" s="34">
        <f>Database!K1310</f>
        <v>0</v>
      </c>
      <c r="E1295" s="34">
        <f>Database!P1310</f>
        <v>0</v>
      </c>
      <c r="F1295" s="34">
        <f>Database!Q1310</f>
        <v>0</v>
      </c>
      <c r="G1295" s="462">
        <f>Database!R1310</f>
        <v>0</v>
      </c>
      <c r="H1295" s="35">
        <f>Database!N1310</f>
        <v>0</v>
      </c>
    </row>
    <row r="1296" spans="1:8" ht="23.25" x14ac:dyDescent="0.25">
      <c r="A1296" s="225" t="str">
        <f>Database!A1311</f>
        <v/>
      </c>
      <c r="B1296" s="34">
        <f>Database!E1311</f>
        <v>0</v>
      </c>
      <c r="C1296" s="34">
        <f>Database!F1311</f>
        <v>0</v>
      </c>
      <c r="D1296" s="34">
        <f>Database!K1311</f>
        <v>0</v>
      </c>
      <c r="E1296" s="34">
        <f>Database!P1311</f>
        <v>0</v>
      </c>
      <c r="F1296" s="34">
        <f>Database!Q1311</f>
        <v>0</v>
      </c>
      <c r="G1296" s="462">
        <f>Database!R1311</f>
        <v>0</v>
      </c>
      <c r="H1296" s="35">
        <f>Database!N1311</f>
        <v>0</v>
      </c>
    </row>
    <row r="1297" spans="1:8" ht="23.25" x14ac:dyDescent="0.25">
      <c r="A1297" s="225" t="str">
        <f>Database!A1312</f>
        <v/>
      </c>
      <c r="B1297" s="34">
        <f>Database!E1312</f>
        <v>0</v>
      </c>
      <c r="C1297" s="34">
        <f>Database!F1312</f>
        <v>0</v>
      </c>
      <c r="D1297" s="34">
        <f>Database!K1312</f>
        <v>0</v>
      </c>
      <c r="E1297" s="34">
        <f>Database!P1312</f>
        <v>0</v>
      </c>
      <c r="F1297" s="34">
        <f>Database!Q1312</f>
        <v>0</v>
      </c>
      <c r="G1297" s="462">
        <f>Database!R1312</f>
        <v>0</v>
      </c>
      <c r="H1297" s="35">
        <f>Database!N1312</f>
        <v>0</v>
      </c>
    </row>
    <row r="1298" spans="1:8" ht="23.25" x14ac:dyDescent="0.25">
      <c r="A1298" s="225" t="str">
        <f>Database!A1313</f>
        <v/>
      </c>
      <c r="B1298" s="34">
        <f>Database!E1313</f>
        <v>0</v>
      </c>
      <c r="C1298" s="34">
        <f>Database!F1313</f>
        <v>0</v>
      </c>
      <c r="D1298" s="34">
        <f>Database!K1313</f>
        <v>0</v>
      </c>
      <c r="E1298" s="34">
        <f>Database!P1313</f>
        <v>0</v>
      </c>
      <c r="F1298" s="34">
        <f>Database!Q1313</f>
        <v>0</v>
      </c>
      <c r="G1298" s="462">
        <f>Database!R1313</f>
        <v>0</v>
      </c>
      <c r="H1298" s="35">
        <f>Database!N1313</f>
        <v>0</v>
      </c>
    </row>
    <row r="1299" spans="1:8" ht="23.25" x14ac:dyDescent="0.25">
      <c r="A1299" s="225" t="str">
        <f>Database!A1314</f>
        <v/>
      </c>
      <c r="B1299" s="34">
        <f>Database!E1314</f>
        <v>0</v>
      </c>
      <c r="C1299" s="34">
        <f>Database!F1314</f>
        <v>0</v>
      </c>
      <c r="D1299" s="34">
        <f>Database!K1314</f>
        <v>0</v>
      </c>
      <c r="E1299" s="34">
        <f>Database!P1314</f>
        <v>0</v>
      </c>
      <c r="F1299" s="34">
        <f>Database!Q1314</f>
        <v>0</v>
      </c>
      <c r="G1299" s="462">
        <f>Database!R1314</f>
        <v>0</v>
      </c>
      <c r="H1299" s="35">
        <f>Database!N1314</f>
        <v>0</v>
      </c>
    </row>
    <row r="1300" spans="1:8" ht="23.25" x14ac:dyDescent="0.25">
      <c r="A1300" s="225" t="str">
        <f>Database!A1315</f>
        <v/>
      </c>
      <c r="B1300" s="34">
        <f>Database!E1315</f>
        <v>0</v>
      </c>
      <c r="C1300" s="34">
        <f>Database!F1315</f>
        <v>0</v>
      </c>
      <c r="D1300" s="34">
        <f>Database!K1315</f>
        <v>0</v>
      </c>
      <c r="E1300" s="34">
        <f>Database!P1315</f>
        <v>0</v>
      </c>
      <c r="F1300" s="34">
        <f>Database!Q1315</f>
        <v>0</v>
      </c>
      <c r="G1300" s="462">
        <f>Database!R1315</f>
        <v>0</v>
      </c>
      <c r="H1300" s="35">
        <f>Database!N1315</f>
        <v>0</v>
      </c>
    </row>
    <row r="1301" spans="1:8" ht="23.25" x14ac:dyDescent="0.25">
      <c r="A1301" s="225" t="str">
        <f>Database!A1316</f>
        <v/>
      </c>
      <c r="B1301" s="34">
        <f>Database!E1316</f>
        <v>0</v>
      </c>
      <c r="C1301" s="34">
        <f>Database!F1316</f>
        <v>0</v>
      </c>
      <c r="D1301" s="34">
        <f>Database!K1316</f>
        <v>0</v>
      </c>
      <c r="E1301" s="34">
        <f>Database!P1316</f>
        <v>0</v>
      </c>
      <c r="F1301" s="34">
        <f>Database!Q1316</f>
        <v>0</v>
      </c>
      <c r="G1301" s="462">
        <f>Database!R1316</f>
        <v>0</v>
      </c>
      <c r="H1301" s="35">
        <f>Database!N1316</f>
        <v>0</v>
      </c>
    </row>
    <row r="1302" spans="1:8" ht="23.25" x14ac:dyDescent="0.25">
      <c r="A1302" s="225" t="str">
        <f>Database!A1317</f>
        <v/>
      </c>
      <c r="B1302" s="34">
        <f>Database!E1317</f>
        <v>0</v>
      </c>
      <c r="C1302" s="34">
        <f>Database!F1317</f>
        <v>0</v>
      </c>
      <c r="D1302" s="34">
        <f>Database!K1317</f>
        <v>0</v>
      </c>
      <c r="E1302" s="34">
        <f>Database!P1317</f>
        <v>0</v>
      </c>
      <c r="F1302" s="34">
        <f>Database!Q1317</f>
        <v>0</v>
      </c>
      <c r="G1302" s="462">
        <f>Database!R1317</f>
        <v>0</v>
      </c>
      <c r="H1302" s="35">
        <f>Database!N1317</f>
        <v>0</v>
      </c>
    </row>
    <row r="1303" spans="1:8" ht="23.25" x14ac:dyDescent="0.25">
      <c r="A1303" s="225" t="str">
        <f>Database!A1318</f>
        <v/>
      </c>
      <c r="B1303" s="34">
        <f>Database!E1318</f>
        <v>0</v>
      </c>
      <c r="C1303" s="34">
        <f>Database!F1318</f>
        <v>0</v>
      </c>
      <c r="D1303" s="34">
        <f>Database!K1318</f>
        <v>0</v>
      </c>
      <c r="E1303" s="34">
        <f>Database!P1318</f>
        <v>0</v>
      </c>
      <c r="F1303" s="34">
        <f>Database!Q1318</f>
        <v>0</v>
      </c>
      <c r="G1303" s="462">
        <f>Database!R1318</f>
        <v>0</v>
      </c>
      <c r="H1303" s="35">
        <f>Database!N1318</f>
        <v>0</v>
      </c>
    </row>
    <row r="1304" spans="1:8" ht="23.25" x14ac:dyDescent="0.25">
      <c r="A1304" s="225" t="str">
        <f>Database!A1319</f>
        <v/>
      </c>
      <c r="B1304" s="34">
        <f>Database!E1319</f>
        <v>0</v>
      </c>
      <c r="C1304" s="34">
        <f>Database!F1319</f>
        <v>0</v>
      </c>
      <c r="D1304" s="34">
        <f>Database!K1319</f>
        <v>0</v>
      </c>
      <c r="E1304" s="34">
        <f>Database!P1319</f>
        <v>0</v>
      </c>
      <c r="F1304" s="34">
        <f>Database!Q1319</f>
        <v>0</v>
      </c>
      <c r="G1304" s="462">
        <f>Database!R1319</f>
        <v>0</v>
      </c>
      <c r="H1304" s="35">
        <f>Database!N1319</f>
        <v>0</v>
      </c>
    </row>
    <row r="1305" spans="1:8" ht="23.25" x14ac:dyDescent="0.25">
      <c r="A1305" s="225" t="str">
        <f>Database!A1320</f>
        <v/>
      </c>
      <c r="B1305" s="34">
        <f>Database!E1320</f>
        <v>0</v>
      </c>
      <c r="C1305" s="34">
        <f>Database!F1320</f>
        <v>0</v>
      </c>
      <c r="D1305" s="34">
        <f>Database!K1320</f>
        <v>0</v>
      </c>
      <c r="E1305" s="34">
        <f>Database!P1320</f>
        <v>0</v>
      </c>
      <c r="F1305" s="34">
        <f>Database!Q1320</f>
        <v>0</v>
      </c>
      <c r="G1305" s="462">
        <f>Database!R1320</f>
        <v>0</v>
      </c>
      <c r="H1305" s="35">
        <f>Database!N1320</f>
        <v>0</v>
      </c>
    </row>
    <row r="1306" spans="1:8" ht="23.25" x14ac:dyDescent="0.25">
      <c r="A1306" s="225" t="str">
        <f>Database!A1321</f>
        <v/>
      </c>
      <c r="B1306" s="34">
        <f>Database!E1321</f>
        <v>0</v>
      </c>
      <c r="C1306" s="34">
        <f>Database!F1321</f>
        <v>0</v>
      </c>
      <c r="D1306" s="34">
        <f>Database!K1321</f>
        <v>0</v>
      </c>
      <c r="E1306" s="34">
        <f>Database!P1321</f>
        <v>0</v>
      </c>
      <c r="F1306" s="34">
        <f>Database!Q1321</f>
        <v>0</v>
      </c>
      <c r="G1306" s="462">
        <f>Database!R1321</f>
        <v>0</v>
      </c>
      <c r="H1306" s="35">
        <f>Database!N1321</f>
        <v>0</v>
      </c>
    </row>
    <row r="1307" spans="1:8" ht="23.25" x14ac:dyDescent="0.25">
      <c r="A1307" s="225" t="str">
        <f>Database!A1322</f>
        <v/>
      </c>
      <c r="B1307" s="34">
        <f>Database!E1322</f>
        <v>0</v>
      </c>
      <c r="C1307" s="34">
        <f>Database!F1322</f>
        <v>0</v>
      </c>
      <c r="D1307" s="34">
        <f>Database!K1322</f>
        <v>0</v>
      </c>
      <c r="E1307" s="34">
        <f>Database!P1322</f>
        <v>0</v>
      </c>
      <c r="F1307" s="34">
        <f>Database!Q1322</f>
        <v>0</v>
      </c>
      <c r="G1307" s="462">
        <f>Database!R1322</f>
        <v>0</v>
      </c>
      <c r="H1307" s="35">
        <f>Database!N1322</f>
        <v>0</v>
      </c>
    </row>
    <row r="1308" spans="1:8" ht="23.25" x14ac:dyDescent="0.25">
      <c r="A1308" s="225" t="str">
        <f>Database!A1323</f>
        <v/>
      </c>
      <c r="B1308" s="34">
        <f>Database!E1323</f>
        <v>0</v>
      </c>
      <c r="C1308" s="34">
        <f>Database!F1323</f>
        <v>0</v>
      </c>
      <c r="D1308" s="34">
        <f>Database!K1323</f>
        <v>0</v>
      </c>
      <c r="E1308" s="34">
        <f>Database!P1323</f>
        <v>0</v>
      </c>
      <c r="F1308" s="34">
        <f>Database!Q1323</f>
        <v>0</v>
      </c>
      <c r="G1308" s="462">
        <f>Database!R1323</f>
        <v>0</v>
      </c>
      <c r="H1308" s="35">
        <f>Database!N1323</f>
        <v>0</v>
      </c>
    </row>
    <row r="1309" spans="1:8" ht="23.25" x14ac:dyDescent="0.25">
      <c r="A1309" s="225" t="str">
        <f>Database!A1324</f>
        <v/>
      </c>
      <c r="B1309" s="34">
        <f>Database!E1324</f>
        <v>0</v>
      </c>
      <c r="C1309" s="34">
        <f>Database!F1324</f>
        <v>0</v>
      </c>
      <c r="D1309" s="34">
        <f>Database!K1324</f>
        <v>0</v>
      </c>
      <c r="E1309" s="34">
        <f>Database!P1324</f>
        <v>0</v>
      </c>
      <c r="F1309" s="34">
        <f>Database!Q1324</f>
        <v>0</v>
      </c>
      <c r="G1309" s="462">
        <f>Database!R1324</f>
        <v>0</v>
      </c>
      <c r="H1309" s="35">
        <f>Database!N1324</f>
        <v>0</v>
      </c>
    </row>
    <row r="1310" spans="1:8" ht="23.25" x14ac:dyDescent="0.25">
      <c r="A1310" s="225" t="str">
        <f>Database!A1325</f>
        <v/>
      </c>
      <c r="B1310" s="34">
        <f>Database!E1325</f>
        <v>0</v>
      </c>
      <c r="C1310" s="34">
        <f>Database!F1325</f>
        <v>0</v>
      </c>
      <c r="D1310" s="34">
        <f>Database!K1325</f>
        <v>0</v>
      </c>
      <c r="E1310" s="34">
        <f>Database!P1325</f>
        <v>0</v>
      </c>
      <c r="F1310" s="34">
        <f>Database!Q1325</f>
        <v>0</v>
      </c>
      <c r="G1310" s="462">
        <f>Database!R1325</f>
        <v>0</v>
      </c>
      <c r="H1310" s="35">
        <f>Database!N1325</f>
        <v>0</v>
      </c>
    </row>
    <row r="1311" spans="1:8" ht="23.25" x14ac:dyDescent="0.25">
      <c r="A1311" s="225" t="str">
        <f>Database!A1326</f>
        <v/>
      </c>
      <c r="B1311" s="34">
        <f>Database!E1326</f>
        <v>0</v>
      </c>
      <c r="C1311" s="34">
        <f>Database!F1326</f>
        <v>0</v>
      </c>
      <c r="D1311" s="34">
        <f>Database!K1326</f>
        <v>0</v>
      </c>
      <c r="E1311" s="34">
        <f>Database!P1326</f>
        <v>0</v>
      </c>
      <c r="F1311" s="34">
        <f>Database!Q1326</f>
        <v>0</v>
      </c>
      <c r="G1311" s="462">
        <f>Database!R1326</f>
        <v>0</v>
      </c>
      <c r="H1311" s="35">
        <f>Database!N1326</f>
        <v>0</v>
      </c>
    </row>
    <row r="1312" spans="1:8" ht="23.25" x14ac:dyDescent="0.25">
      <c r="A1312" s="225" t="str">
        <f>Database!A1327</f>
        <v/>
      </c>
      <c r="B1312" s="34">
        <f>Database!E1327</f>
        <v>0</v>
      </c>
      <c r="C1312" s="34">
        <f>Database!F1327</f>
        <v>0</v>
      </c>
      <c r="D1312" s="34">
        <f>Database!K1327</f>
        <v>0</v>
      </c>
      <c r="E1312" s="34">
        <f>Database!P1327</f>
        <v>0</v>
      </c>
      <c r="F1312" s="34">
        <f>Database!Q1327</f>
        <v>0</v>
      </c>
      <c r="G1312" s="462">
        <f>Database!R1327</f>
        <v>0</v>
      </c>
      <c r="H1312" s="35">
        <f>Database!N1327</f>
        <v>0</v>
      </c>
    </row>
    <row r="1313" spans="1:8" ht="23.25" x14ac:dyDescent="0.25">
      <c r="A1313" s="225" t="str">
        <f>Database!A1328</f>
        <v/>
      </c>
      <c r="B1313" s="34">
        <f>Database!E1328</f>
        <v>0</v>
      </c>
      <c r="C1313" s="34">
        <f>Database!F1328</f>
        <v>0</v>
      </c>
      <c r="D1313" s="34">
        <f>Database!K1328</f>
        <v>0</v>
      </c>
      <c r="E1313" s="34">
        <f>Database!P1328</f>
        <v>0</v>
      </c>
      <c r="F1313" s="34">
        <f>Database!Q1328</f>
        <v>0</v>
      </c>
      <c r="G1313" s="462">
        <f>Database!R1328</f>
        <v>0</v>
      </c>
      <c r="H1313" s="35">
        <f>Database!N1328</f>
        <v>0</v>
      </c>
    </row>
    <row r="1314" spans="1:8" ht="23.25" x14ac:dyDescent="0.25">
      <c r="A1314" s="225" t="str">
        <f>Database!A1329</f>
        <v/>
      </c>
      <c r="B1314" s="34">
        <f>Database!E1329</f>
        <v>0</v>
      </c>
      <c r="C1314" s="34">
        <f>Database!F1329</f>
        <v>0</v>
      </c>
      <c r="D1314" s="34">
        <f>Database!K1329</f>
        <v>0</v>
      </c>
      <c r="E1314" s="34">
        <f>Database!P1329</f>
        <v>0</v>
      </c>
      <c r="F1314" s="34">
        <f>Database!Q1329</f>
        <v>0</v>
      </c>
      <c r="G1314" s="462">
        <f>Database!R1329</f>
        <v>0</v>
      </c>
      <c r="H1314" s="35">
        <f>Database!N1329</f>
        <v>0</v>
      </c>
    </row>
    <row r="1315" spans="1:8" ht="23.25" x14ac:dyDescent="0.25">
      <c r="A1315" s="225" t="str">
        <f>Database!A1330</f>
        <v/>
      </c>
      <c r="B1315" s="34">
        <f>Database!E1330</f>
        <v>0</v>
      </c>
      <c r="C1315" s="34">
        <f>Database!F1330</f>
        <v>0</v>
      </c>
      <c r="D1315" s="34">
        <f>Database!K1330</f>
        <v>0</v>
      </c>
      <c r="E1315" s="34">
        <f>Database!P1330</f>
        <v>0</v>
      </c>
      <c r="F1315" s="34">
        <f>Database!Q1330</f>
        <v>0</v>
      </c>
      <c r="G1315" s="462">
        <f>Database!R1330</f>
        <v>0</v>
      </c>
      <c r="H1315" s="35">
        <f>Database!N1330</f>
        <v>0</v>
      </c>
    </row>
    <row r="1316" spans="1:8" ht="23.25" x14ac:dyDescent="0.25">
      <c r="A1316" s="225" t="str">
        <f>Database!A1331</f>
        <v/>
      </c>
      <c r="B1316" s="34">
        <f>Database!E1331</f>
        <v>0</v>
      </c>
      <c r="C1316" s="34">
        <f>Database!F1331</f>
        <v>0</v>
      </c>
      <c r="D1316" s="34">
        <f>Database!K1331</f>
        <v>0</v>
      </c>
      <c r="E1316" s="34">
        <f>Database!P1331</f>
        <v>0</v>
      </c>
      <c r="F1316" s="34">
        <f>Database!Q1331</f>
        <v>0</v>
      </c>
      <c r="G1316" s="462">
        <f>Database!R1331</f>
        <v>0</v>
      </c>
      <c r="H1316" s="35">
        <f>Database!N1331</f>
        <v>0</v>
      </c>
    </row>
    <row r="1317" spans="1:8" ht="23.25" x14ac:dyDescent="0.25">
      <c r="A1317" s="225" t="str">
        <f>Database!A1332</f>
        <v/>
      </c>
      <c r="B1317" s="34">
        <f>Database!E1332</f>
        <v>0</v>
      </c>
      <c r="C1317" s="34">
        <f>Database!F1332</f>
        <v>0</v>
      </c>
      <c r="D1317" s="34">
        <f>Database!K1332</f>
        <v>0</v>
      </c>
      <c r="E1317" s="34">
        <f>Database!P1332</f>
        <v>0</v>
      </c>
      <c r="F1317" s="34">
        <f>Database!Q1332</f>
        <v>0</v>
      </c>
      <c r="G1317" s="462">
        <f>Database!R1332</f>
        <v>0</v>
      </c>
      <c r="H1317" s="35">
        <f>Database!N1332</f>
        <v>0</v>
      </c>
    </row>
    <row r="1318" spans="1:8" ht="23.25" x14ac:dyDescent="0.25">
      <c r="A1318" s="225" t="str">
        <f>Database!A1333</f>
        <v/>
      </c>
      <c r="B1318" s="34">
        <f>Database!E1333</f>
        <v>0</v>
      </c>
      <c r="C1318" s="34">
        <f>Database!F1333</f>
        <v>0</v>
      </c>
      <c r="D1318" s="34">
        <f>Database!K1333</f>
        <v>0</v>
      </c>
      <c r="E1318" s="34">
        <f>Database!P1333</f>
        <v>0</v>
      </c>
      <c r="F1318" s="34">
        <f>Database!Q1333</f>
        <v>0</v>
      </c>
      <c r="G1318" s="462">
        <f>Database!R1333</f>
        <v>0</v>
      </c>
      <c r="H1318" s="35">
        <f>Database!N1333</f>
        <v>0</v>
      </c>
    </row>
    <row r="1319" spans="1:8" ht="23.25" x14ac:dyDescent="0.25">
      <c r="A1319" s="225" t="str">
        <f>Database!A1334</f>
        <v/>
      </c>
      <c r="B1319" s="34">
        <f>Database!E1334</f>
        <v>0</v>
      </c>
      <c r="C1319" s="34">
        <f>Database!F1334</f>
        <v>0</v>
      </c>
      <c r="D1319" s="34">
        <f>Database!K1334</f>
        <v>0</v>
      </c>
      <c r="E1319" s="34">
        <f>Database!P1334</f>
        <v>0</v>
      </c>
      <c r="F1319" s="34">
        <f>Database!Q1334</f>
        <v>0</v>
      </c>
      <c r="G1319" s="462">
        <f>Database!R1334</f>
        <v>0</v>
      </c>
      <c r="H1319" s="35">
        <f>Database!N1334</f>
        <v>0</v>
      </c>
    </row>
    <row r="1320" spans="1:8" ht="23.25" x14ac:dyDescent="0.25">
      <c r="A1320" s="225" t="str">
        <f>Database!A1335</f>
        <v/>
      </c>
      <c r="B1320" s="34">
        <f>Database!E1335</f>
        <v>0</v>
      </c>
      <c r="C1320" s="34">
        <f>Database!F1335</f>
        <v>0</v>
      </c>
      <c r="D1320" s="34">
        <f>Database!K1335</f>
        <v>0</v>
      </c>
      <c r="E1320" s="34">
        <f>Database!P1335</f>
        <v>0</v>
      </c>
      <c r="F1320" s="34">
        <f>Database!Q1335</f>
        <v>0</v>
      </c>
      <c r="G1320" s="462">
        <f>Database!R1335</f>
        <v>0</v>
      </c>
      <c r="H1320" s="35">
        <f>Database!N1335</f>
        <v>0</v>
      </c>
    </row>
    <row r="1321" spans="1:8" ht="23.25" x14ac:dyDescent="0.25">
      <c r="A1321" s="225" t="str">
        <f>Database!A1336</f>
        <v/>
      </c>
      <c r="B1321" s="34">
        <f>Database!E1336</f>
        <v>0</v>
      </c>
      <c r="C1321" s="34">
        <f>Database!F1336</f>
        <v>0</v>
      </c>
      <c r="D1321" s="34">
        <f>Database!K1336</f>
        <v>0</v>
      </c>
      <c r="E1321" s="34">
        <f>Database!P1336</f>
        <v>0</v>
      </c>
      <c r="F1321" s="34">
        <f>Database!Q1336</f>
        <v>0</v>
      </c>
      <c r="G1321" s="462">
        <f>Database!R1336</f>
        <v>0</v>
      </c>
      <c r="H1321" s="35">
        <f>Database!N1336</f>
        <v>0</v>
      </c>
    </row>
    <row r="1322" spans="1:8" ht="23.25" x14ac:dyDescent="0.25">
      <c r="A1322" s="225" t="str">
        <f>Database!A1337</f>
        <v/>
      </c>
      <c r="B1322" s="34">
        <f>Database!E1337</f>
        <v>0</v>
      </c>
      <c r="C1322" s="34">
        <f>Database!F1337</f>
        <v>0</v>
      </c>
      <c r="D1322" s="34">
        <f>Database!K1337</f>
        <v>0</v>
      </c>
      <c r="E1322" s="34">
        <f>Database!P1337</f>
        <v>0</v>
      </c>
      <c r="F1322" s="34">
        <f>Database!Q1337</f>
        <v>0</v>
      </c>
      <c r="G1322" s="462">
        <f>Database!R1337</f>
        <v>0</v>
      </c>
      <c r="H1322" s="35">
        <f>Database!N1337</f>
        <v>0</v>
      </c>
    </row>
    <row r="1323" spans="1:8" ht="23.25" x14ac:dyDescent="0.25">
      <c r="A1323" s="225" t="str">
        <f>Database!A1338</f>
        <v/>
      </c>
      <c r="B1323" s="34">
        <f>Database!E1338</f>
        <v>0</v>
      </c>
      <c r="C1323" s="34">
        <f>Database!F1338</f>
        <v>0</v>
      </c>
      <c r="D1323" s="34">
        <f>Database!K1338</f>
        <v>0</v>
      </c>
      <c r="E1323" s="34">
        <f>Database!P1338</f>
        <v>0</v>
      </c>
      <c r="F1323" s="34">
        <f>Database!Q1338</f>
        <v>0</v>
      </c>
      <c r="G1323" s="462">
        <f>Database!R1338</f>
        <v>0</v>
      </c>
      <c r="H1323" s="35">
        <f>Database!N1338</f>
        <v>0</v>
      </c>
    </row>
    <row r="1324" spans="1:8" ht="23.25" x14ac:dyDescent="0.25">
      <c r="A1324" s="225" t="str">
        <f>Database!A1339</f>
        <v/>
      </c>
      <c r="B1324" s="34">
        <f>Database!E1339</f>
        <v>0</v>
      </c>
      <c r="C1324" s="34">
        <f>Database!F1339</f>
        <v>0</v>
      </c>
      <c r="D1324" s="34">
        <f>Database!K1339</f>
        <v>0</v>
      </c>
      <c r="E1324" s="34">
        <f>Database!P1339</f>
        <v>0</v>
      </c>
      <c r="F1324" s="34">
        <f>Database!Q1339</f>
        <v>0</v>
      </c>
      <c r="G1324" s="462">
        <f>Database!R1339</f>
        <v>0</v>
      </c>
      <c r="H1324" s="35">
        <f>Database!N1339</f>
        <v>0</v>
      </c>
    </row>
    <row r="1325" spans="1:8" ht="23.25" x14ac:dyDescent="0.25">
      <c r="A1325" s="225" t="str">
        <f>Database!A1340</f>
        <v/>
      </c>
      <c r="B1325" s="34">
        <f>Database!E1340</f>
        <v>0</v>
      </c>
      <c r="C1325" s="34">
        <f>Database!F1340</f>
        <v>0</v>
      </c>
      <c r="D1325" s="34">
        <f>Database!K1340</f>
        <v>0</v>
      </c>
      <c r="E1325" s="34">
        <f>Database!P1340</f>
        <v>0</v>
      </c>
      <c r="F1325" s="34">
        <f>Database!Q1340</f>
        <v>0</v>
      </c>
      <c r="G1325" s="462">
        <f>Database!R1340</f>
        <v>0</v>
      </c>
      <c r="H1325" s="35">
        <f>Database!N1340</f>
        <v>0</v>
      </c>
    </row>
    <row r="1326" spans="1:8" ht="23.25" x14ac:dyDescent="0.25">
      <c r="A1326" s="225" t="str">
        <f>Database!A1341</f>
        <v/>
      </c>
      <c r="B1326" s="34">
        <f>Database!E1341</f>
        <v>0</v>
      </c>
      <c r="C1326" s="34">
        <f>Database!F1341</f>
        <v>0</v>
      </c>
      <c r="D1326" s="34">
        <f>Database!K1341</f>
        <v>0</v>
      </c>
      <c r="E1326" s="34">
        <f>Database!P1341</f>
        <v>0</v>
      </c>
      <c r="F1326" s="34">
        <f>Database!Q1341</f>
        <v>0</v>
      </c>
      <c r="G1326" s="462">
        <f>Database!R1341</f>
        <v>0</v>
      </c>
      <c r="H1326" s="35">
        <f>Database!N1341</f>
        <v>0</v>
      </c>
    </row>
    <row r="1327" spans="1:8" ht="23.25" x14ac:dyDescent="0.25">
      <c r="A1327" s="225" t="str">
        <f>Database!A1342</f>
        <v/>
      </c>
      <c r="B1327" s="34">
        <f>Database!E1342</f>
        <v>0</v>
      </c>
      <c r="C1327" s="34">
        <f>Database!F1342</f>
        <v>0</v>
      </c>
      <c r="D1327" s="34">
        <f>Database!K1342</f>
        <v>0</v>
      </c>
      <c r="E1327" s="34">
        <f>Database!P1342</f>
        <v>0</v>
      </c>
      <c r="F1327" s="34">
        <f>Database!Q1342</f>
        <v>0</v>
      </c>
      <c r="G1327" s="462">
        <f>Database!R1342</f>
        <v>0</v>
      </c>
      <c r="H1327" s="35">
        <f>Database!N1342</f>
        <v>0</v>
      </c>
    </row>
    <row r="1328" spans="1:8" ht="23.25" x14ac:dyDescent="0.25">
      <c r="A1328" s="225" t="str">
        <f>Database!A1343</f>
        <v/>
      </c>
      <c r="B1328" s="34">
        <f>Database!E1343</f>
        <v>0</v>
      </c>
      <c r="C1328" s="34">
        <f>Database!F1343</f>
        <v>0</v>
      </c>
      <c r="D1328" s="34">
        <f>Database!K1343</f>
        <v>0</v>
      </c>
      <c r="E1328" s="34">
        <f>Database!P1343</f>
        <v>0</v>
      </c>
      <c r="F1328" s="34">
        <f>Database!Q1343</f>
        <v>0</v>
      </c>
      <c r="G1328" s="462">
        <f>Database!R1343</f>
        <v>0</v>
      </c>
      <c r="H1328" s="35">
        <f>Database!N1343</f>
        <v>0</v>
      </c>
    </row>
    <row r="1329" spans="1:8" ht="23.25" x14ac:dyDescent="0.25">
      <c r="A1329" s="225" t="str">
        <f>Database!A1344</f>
        <v/>
      </c>
      <c r="B1329" s="34">
        <f>Database!E1344</f>
        <v>0</v>
      </c>
      <c r="C1329" s="34">
        <f>Database!F1344</f>
        <v>0</v>
      </c>
      <c r="D1329" s="34">
        <f>Database!K1344</f>
        <v>0</v>
      </c>
      <c r="E1329" s="34">
        <f>Database!P1344</f>
        <v>0</v>
      </c>
      <c r="F1329" s="34">
        <f>Database!Q1344</f>
        <v>0</v>
      </c>
      <c r="G1329" s="462">
        <f>Database!R1344</f>
        <v>0</v>
      </c>
      <c r="H1329" s="35">
        <f>Database!N1344</f>
        <v>0</v>
      </c>
    </row>
    <row r="1330" spans="1:8" ht="23.25" x14ac:dyDescent="0.25">
      <c r="A1330" s="225" t="str">
        <f>Database!A1345</f>
        <v/>
      </c>
      <c r="B1330" s="34">
        <f>Database!E1345</f>
        <v>0</v>
      </c>
      <c r="C1330" s="34">
        <f>Database!F1345</f>
        <v>0</v>
      </c>
      <c r="D1330" s="34">
        <f>Database!K1345</f>
        <v>0</v>
      </c>
      <c r="E1330" s="34">
        <f>Database!P1345</f>
        <v>0</v>
      </c>
      <c r="F1330" s="34">
        <f>Database!Q1345</f>
        <v>0</v>
      </c>
      <c r="G1330" s="462">
        <f>Database!R1345</f>
        <v>0</v>
      </c>
      <c r="H1330" s="35">
        <f>Database!N1345</f>
        <v>0</v>
      </c>
    </row>
    <row r="1331" spans="1:8" ht="23.25" x14ac:dyDescent="0.25">
      <c r="A1331" s="225" t="str">
        <f>Database!A1346</f>
        <v/>
      </c>
      <c r="B1331" s="34">
        <f>Database!E1346</f>
        <v>0</v>
      </c>
      <c r="C1331" s="34">
        <f>Database!F1346</f>
        <v>0</v>
      </c>
      <c r="D1331" s="34">
        <f>Database!K1346</f>
        <v>0</v>
      </c>
      <c r="E1331" s="34">
        <f>Database!P1346</f>
        <v>0</v>
      </c>
      <c r="F1331" s="34">
        <f>Database!Q1346</f>
        <v>0</v>
      </c>
      <c r="G1331" s="462">
        <f>Database!R1346</f>
        <v>0</v>
      </c>
      <c r="H1331" s="35">
        <f>Database!N1346</f>
        <v>0</v>
      </c>
    </row>
    <row r="1332" spans="1:8" ht="23.25" x14ac:dyDescent="0.25">
      <c r="A1332" s="225" t="str">
        <f>Database!A1347</f>
        <v/>
      </c>
      <c r="B1332" s="34">
        <f>Database!E1347</f>
        <v>0</v>
      </c>
      <c r="C1332" s="34">
        <f>Database!F1347</f>
        <v>0</v>
      </c>
      <c r="D1332" s="34">
        <f>Database!K1347</f>
        <v>0</v>
      </c>
      <c r="E1332" s="34">
        <f>Database!P1347</f>
        <v>0</v>
      </c>
      <c r="F1332" s="34">
        <f>Database!Q1347</f>
        <v>0</v>
      </c>
      <c r="G1332" s="462">
        <f>Database!R1347</f>
        <v>0</v>
      </c>
      <c r="H1332" s="35">
        <f>Database!N1347</f>
        <v>0</v>
      </c>
    </row>
    <row r="1333" spans="1:8" ht="23.25" x14ac:dyDescent="0.25">
      <c r="A1333" s="225" t="str">
        <f>Database!A1348</f>
        <v/>
      </c>
      <c r="B1333" s="34">
        <f>Database!E1348</f>
        <v>0</v>
      </c>
      <c r="C1333" s="34">
        <f>Database!F1348</f>
        <v>0</v>
      </c>
      <c r="D1333" s="34">
        <f>Database!K1348</f>
        <v>0</v>
      </c>
      <c r="E1333" s="34">
        <f>Database!P1348</f>
        <v>0</v>
      </c>
      <c r="F1333" s="34">
        <f>Database!Q1348</f>
        <v>0</v>
      </c>
      <c r="G1333" s="462">
        <f>Database!R1348</f>
        <v>0</v>
      </c>
      <c r="H1333" s="35">
        <f>Database!N1348</f>
        <v>0</v>
      </c>
    </row>
    <row r="1334" spans="1:8" ht="23.25" x14ac:dyDescent="0.25">
      <c r="A1334" s="225" t="str">
        <f>Database!A1349</f>
        <v/>
      </c>
      <c r="B1334" s="34">
        <f>Database!E1349</f>
        <v>0</v>
      </c>
      <c r="C1334" s="34">
        <f>Database!F1349</f>
        <v>0</v>
      </c>
      <c r="D1334" s="34">
        <f>Database!K1349</f>
        <v>0</v>
      </c>
      <c r="E1334" s="34">
        <f>Database!P1349</f>
        <v>0</v>
      </c>
      <c r="F1334" s="34">
        <f>Database!Q1349</f>
        <v>0</v>
      </c>
      <c r="G1334" s="462">
        <f>Database!R1349</f>
        <v>0</v>
      </c>
      <c r="H1334" s="35">
        <f>Database!N1349</f>
        <v>0</v>
      </c>
    </row>
    <row r="1335" spans="1:8" ht="23.25" x14ac:dyDescent="0.25">
      <c r="A1335" s="225" t="str">
        <f>Database!A1350</f>
        <v/>
      </c>
      <c r="B1335" s="34">
        <f>Database!E1350</f>
        <v>0</v>
      </c>
      <c r="C1335" s="34">
        <f>Database!F1350</f>
        <v>0</v>
      </c>
      <c r="D1335" s="34">
        <f>Database!K1350</f>
        <v>0</v>
      </c>
      <c r="E1335" s="34">
        <f>Database!P1350</f>
        <v>0</v>
      </c>
      <c r="F1335" s="34">
        <f>Database!Q1350</f>
        <v>0</v>
      </c>
      <c r="G1335" s="462">
        <f>Database!R1350</f>
        <v>0</v>
      </c>
      <c r="H1335" s="35">
        <f>Database!N1350</f>
        <v>0</v>
      </c>
    </row>
    <row r="1336" spans="1:8" ht="23.25" x14ac:dyDescent="0.25">
      <c r="A1336" s="225" t="str">
        <f>Database!A1351</f>
        <v/>
      </c>
      <c r="B1336" s="34">
        <f>Database!E1351</f>
        <v>0</v>
      </c>
      <c r="C1336" s="34">
        <f>Database!F1351</f>
        <v>0</v>
      </c>
      <c r="D1336" s="34">
        <f>Database!K1351</f>
        <v>0</v>
      </c>
      <c r="E1336" s="34">
        <f>Database!P1351</f>
        <v>0</v>
      </c>
      <c r="F1336" s="34">
        <f>Database!Q1351</f>
        <v>0</v>
      </c>
      <c r="G1336" s="462">
        <f>Database!R1351</f>
        <v>0</v>
      </c>
      <c r="H1336" s="35">
        <f>Database!N1351</f>
        <v>0</v>
      </c>
    </row>
    <row r="1337" spans="1:8" ht="23.25" x14ac:dyDescent="0.25">
      <c r="A1337" s="225" t="str">
        <f>Database!A1352</f>
        <v/>
      </c>
      <c r="B1337" s="34">
        <f>Database!E1352</f>
        <v>0</v>
      </c>
      <c r="C1337" s="34">
        <f>Database!F1352</f>
        <v>0</v>
      </c>
      <c r="D1337" s="34">
        <f>Database!K1352</f>
        <v>0</v>
      </c>
      <c r="E1337" s="34">
        <f>Database!P1352</f>
        <v>0</v>
      </c>
      <c r="F1337" s="34">
        <f>Database!Q1352</f>
        <v>0</v>
      </c>
      <c r="G1337" s="462">
        <f>Database!R1352</f>
        <v>0</v>
      </c>
      <c r="H1337" s="35">
        <f>Database!N1352</f>
        <v>0</v>
      </c>
    </row>
    <row r="1338" spans="1:8" ht="23.25" x14ac:dyDescent="0.25">
      <c r="A1338" s="225" t="str">
        <f>Database!A1353</f>
        <v/>
      </c>
      <c r="B1338" s="34">
        <f>Database!E1353</f>
        <v>0</v>
      </c>
      <c r="C1338" s="34">
        <f>Database!F1353</f>
        <v>0</v>
      </c>
      <c r="D1338" s="34">
        <f>Database!K1353</f>
        <v>0</v>
      </c>
      <c r="E1338" s="34">
        <f>Database!P1353</f>
        <v>0</v>
      </c>
      <c r="F1338" s="34">
        <f>Database!Q1353</f>
        <v>0</v>
      </c>
      <c r="G1338" s="462">
        <f>Database!R1353</f>
        <v>0</v>
      </c>
      <c r="H1338" s="35">
        <f>Database!N1353</f>
        <v>0</v>
      </c>
    </row>
    <row r="1339" spans="1:8" ht="23.25" x14ac:dyDescent="0.25">
      <c r="A1339" s="225" t="str">
        <f>Database!A1354</f>
        <v/>
      </c>
      <c r="B1339" s="34">
        <f>Database!E1354</f>
        <v>0</v>
      </c>
      <c r="C1339" s="34">
        <f>Database!F1354</f>
        <v>0</v>
      </c>
      <c r="D1339" s="34">
        <f>Database!K1354</f>
        <v>0</v>
      </c>
      <c r="E1339" s="34">
        <f>Database!P1354</f>
        <v>0</v>
      </c>
      <c r="F1339" s="34">
        <f>Database!Q1354</f>
        <v>0</v>
      </c>
      <c r="G1339" s="462">
        <f>Database!R1354</f>
        <v>0</v>
      </c>
      <c r="H1339" s="35">
        <f>Database!N1354</f>
        <v>0</v>
      </c>
    </row>
    <row r="1340" spans="1:8" ht="23.25" x14ac:dyDescent="0.25">
      <c r="A1340" s="225" t="str">
        <f>Database!A1355</f>
        <v/>
      </c>
      <c r="B1340" s="34">
        <f>Database!E1355</f>
        <v>0</v>
      </c>
      <c r="C1340" s="34">
        <f>Database!F1355</f>
        <v>0</v>
      </c>
      <c r="D1340" s="34">
        <f>Database!K1355</f>
        <v>0</v>
      </c>
      <c r="E1340" s="34">
        <f>Database!P1355</f>
        <v>0</v>
      </c>
      <c r="F1340" s="34">
        <f>Database!Q1355</f>
        <v>0</v>
      </c>
      <c r="G1340" s="462">
        <f>Database!R1355</f>
        <v>0</v>
      </c>
      <c r="H1340" s="35">
        <f>Database!N1355</f>
        <v>0</v>
      </c>
    </row>
    <row r="1341" spans="1:8" ht="23.25" x14ac:dyDescent="0.25">
      <c r="A1341" s="225" t="str">
        <f>Database!A1356</f>
        <v/>
      </c>
      <c r="B1341" s="34">
        <f>Database!E1356</f>
        <v>0</v>
      </c>
      <c r="C1341" s="34">
        <f>Database!F1356</f>
        <v>0</v>
      </c>
      <c r="D1341" s="34">
        <f>Database!K1356</f>
        <v>0</v>
      </c>
      <c r="E1341" s="34">
        <f>Database!P1356</f>
        <v>0</v>
      </c>
      <c r="F1341" s="34">
        <f>Database!Q1356</f>
        <v>0</v>
      </c>
      <c r="G1341" s="462">
        <f>Database!R1356</f>
        <v>0</v>
      </c>
      <c r="H1341" s="35">
        <f>Database!N1356</f>
        <v>0</v>
      </c>
    </row>
    <row r="1342" spans="1:8" ht="23.25" x14ac:dyDescent="0.25">
      <c r="A1342" s="225" t="str">
        <f>Database!A1357</f>
        <v/>
      </c>
      <c r="B1342" s="34">
        <f>Database!E1357</f>
        <v>0</v>
      </c>
      <c r="C1342" s="34">
        <f>Database!F1357</f>
        <v>0</v>
      </c>
      <c r="D1342" s="34">
        <f>Database!K1357</f>
        <v>0</v>
      </c>
      <c r="E1342" s="34">
        <f>Database!P1357</f>
        <v>0</v>
      </c>
      <c r="F1342" s="34">
        <f>Database!Q1357</f>
        <v>0</v>
      </c>
      <c r="G1342" s="462">
        <f>Database!R1357</f>
        <v>0</v>
      </c>
      <c r="H1342" s="35">
        <f>Database!N1357</f>
        <v>0</v>
      </c>
    </row>
    <row r="1343" spans="1:8" ht="23.25" x14ac:dyDescent="0.25">
      <c r="A1343" s="225" t="str">
        <f>Database!A1358</f>
        <v/>
      </c>
      <c r="B1343" s="34">
        <f>Database!E1358</f>
        <v>0</v>
      </c>
      <c r="C1343" s="34">
        <f>Database!F1358</f>
        <v>0</v>
      </c>
      <c r="D1343" s="34">
        <f>Database!K1358</f>
        <v>0</v>
      </c>
      <c r="E1343" s="34">
        <f>Database!P1358</f>
        <v>0</v>
      </c>
      <c r="F1343" s="34">
        <f>Database!Q1358</f>
        <v>0</v>
      </c>
      <c r="G1343" s="462">
        <f>Database!R1358</f>
        <v>0</v>
      </c>
      <c r="H1343" s="35">
        <f>Database!N1358</f>
        <v>0</v>
      </c>
    </row>
    <row r="1344" spans="1:8" ht="23.25" x14ac:dyDescent="0.25">
      <c r="A1344" s="225" t="str">
        <f>Database!A1359</f>
        <v/>
      </c>
      <c r="B1344" s="34">
        <f>Database!E1359</f>
        <v>0</v>
      </c>
      <c r="C1344" s="34">
        <f>Database!F1359</f>
        <v>0</v>
      </c>
      <c r="D1344" s="34">
        <f>Database!K1359</f>
        <v>0</v>
      </c>
      <c r="E1344" s="34">
        <f>Database!P1359</f>
        <v>0</v>
      </c>
      <c r="F1344" s="34">
        <f>Database!Q1359</f>
        <v>0</v>
      </c>
      <c r="G1344" s="462">
        <f>Database!R1359</f>
        <v>0</v>
      </c>
      <c r="H1344" s="35">
        <f>Database!N1359</f>
        <v>0</v>
      </c>
    </row>
    <row r="1345" spans="1:8" ht="23.25" x14ac:dyDescent="0.25">
      <c r="A1345" s="225" t="str">
        <f>Database!A1360</f>
        <v/>
      </c>
      <c r="B1345" s="34">
        <f>Database!E1360</f>
        <v>0</v>
      </c>
      <c r="C1345" s="34">
        <f>Database!F1360</f>
        <v>0</v>
      </c>
      <c r="D1345" s="34">
        <f>Database!K1360</f>
        <v>0</v>
      </c>
      <c r="E1345" s="34">
        <f>Database!P1360</f>
        <v>0</v>
      </c>
      <c r="F1345" s="34">
        <f>Database!Q1360</f>
        <v>0</v>
      </c>
      <c r="G1345" s="462">
        <f>Database!R1360</f>
        <v>0</v>
      </c>
      <c r="H1345" s="35">
        <f>Database!N1360</f>
        <v>0</v>
      </c>
    </row>
    <row r="1346" spans="1:8" ht="23.25" x14ac:dyDescent="0.25">
      <c r="A1346" s="225" t="str">
        <f>Database!A1361</f>
        <v/>
      </c>
      <c r="B1346" s="34">
        <f>Database!E1361</f>
        <v>0</v>
      </c>
      <c r="C1346" s="34">
        <f>Database!F1361</f>
        <v>0</v>
      </c>
      <c r="D1346" s="34">
        <f>Database!K1361</f>
        <v>0</v>
      </c>
      <c r="E1346" s="34">
        <f>Database!P1361</f>
        <v>0</v>
      </c>
      <c r="F1346" s="34">
        <f>Database!Q1361</f>
        <v>0</v>
      </c>
      <c r="G1346" s="462">
        <f>Database!R1361</f>
        <v>0</v>
      </c>
      <c r="H1346" s="35">
        <f>Database!N1361</f>
        <v>0</v>
      </c>
    </row>
    <row r="1347" spans="1:8" ht="23.25" x14ac:dyDescent="0.25">
      <c r="A1347" s="225" t="str">
        <f>Database!A1362</f>
        <v/>
      </c>
      <c r="B1347" s="34">
        <f>Database!E1362</f>
        <v>0</v>
      </c>
      <c r="C1347" s="34">
        <f>Database!F1362</f>
        <v>0</v>
      </c>
      <c r="D1347" s="34">
        <f>Database!K1362</f>
        <v>0</v>
      </c>
      <c r="E1347" s="34">
        <f>Database!P1362</f>
        <v>0</v>
      </c>
      <c r="F1347" s="34">
        <f>Database!Q1362</f>
        <v>0</v>
      </c>
      <c r="G1347" s="462">
        <f>Database!R1362</f>
        <v>0</v>
      </c>
      <c r="H1347" s="35">
        <f>Database!N1362</f>
        <v>0</v>
      </c>
    </row>
    <row r="1348" spans="1:8" ht="23.25" x14ac:dyDescent="0.25">
      <c r="A1348" s="225" t="str">
        <f>Database!A1363</f>
        <v/>
      </c>
      <c r="B1348" s="34">
        <f>Database!E1363</f>
        <v>0</v>
      </c>
      <c r="C1348" s="34">
        <f>Database!F1363</f>
        <v>0</v>
      </c>
      <c r="D1348" s="34">
        <f>Database!K1363</f>
        <v>0</v>
      </c>
      <c r="E1348" s="34">
        <f>Database!P1363</f>
        <v>0</v>
      </c>
      <c r="F1348" s="34">
        <f>Database!Q1363</f>
        <v>0</v>
      </c>
      <c r="G1348" s="462">
        <f>Database!R1363</f>
        <v>0</v>
      </c>
      <c r="H1348" s="35">
        <f>Database!N1363</f>
        <v>0</v>
      </c>
    </row>
    <row r="1349" spans="1:8" ht="23.25" x14ac:dyDescent="0.25">
      <c r="A1349" s="225" t="str">
        <f>Database!A1364</f>
        <v/>
      </c>
      <c r="B1349" s="34">
        <f>Database!E1364</f>
        <v>0</v>
      </c>
      <c r="C1349" s="34">
        <f>Database!F1364</f>
        <v>0</v>
      </c>
      <c r="D1349" s="34">
        <f>Database!K1364</f>
        <v>0</v>
      </c>
      <c r="E1349" s="34">
        <f>Database!P1364</f>
        <v>0</v>
      </c>
      <c r="F1349" s="34">
        <f>Database!Q1364</f>
        <v>0</v>
      </c>
      <c r="G1349" s="462">
        <f>Database!R1364</f>
        <v>0</v>
      </c>
      <c r="H1349" s="35">
        <f>Database!N1364</f>
        <v>0</v>
      </c>
    </row>
    <row r="1350" spans="1:8" ht="23.25" x14ac:dyDescent="0.25">
      <c r="A1350" s="225" t="str">
        <f>Database!A1365</f>
        <v/>
      </c>
      <c r="B1350" s="34">
        <f>Database!E1365</f>
        <v>0</v>
      </c>
      <c r="C1350" s="34">
        <f>Database!F1365</f>
        <v>0</v>
      </c>
      <c r="D1350" s="34">
        <f>Database!K1365</f>
        <v>0</v>
      </c>
      <c r="E1350" s="34">
        <f>Database!P1365</f>
        <v>0</v>
      </c>
      <c r="F1350" s="34">
        <f>Database!Q1365</f>
        <v>0</v>
      </c>
      <c r="G1350" s="462">
        <f>Database!R1365</f>
        <v>0</v>
      </c>
      <c r="H1350" s="35">
        <f>Database!N1365</f>
        <v>0</v>
      </c>
    </row>
    <row r="1351" spans="1:8" ht="23.25" x14ac:dyDescent="0.25">
      <c r="A1351" s="225" t="str">
        <f>Database!A1366</f>
        <v/>
      </c>
      <c r="B1351" s="34">
        <f>Database!E1366</f>
        <v>0</v>
      </c>
      <c r="C1351" s="34">
        <f>Database!F1366</f>
        <v>0</v>
      </c>
      <c r="D1351" s="34">
        <f>Database!K1366</f>
        <v>0</v>
      </c>
      <c r="E1351" s="34">
        <f>Database!P1366</f>
        <v>0</v>
      </c>
      <c r="F1351" s="34">
        <f>Database!Q1366</f>
        <v>0</v>
      </c>
      <c r="G1351" s="462">
        <f>Database!R1366</f>
        <v>0</v>
      </c>
      <c r="H1351" s="35">
        <f>Database!N1366</f>
        <v>0</v>
      </c>
    </row>
    <row r="1352" spans="1:8" ht="23.25" x14ac:dyDescent="0.25">
      <c r="A1352" s="225" t="str">
        <f>Database!A1367</f>
        <v/>
      </c>
      <c r="B1352" s="34">
        <f>Database!E1367</f>
        <v>0</v>
      </c>
      <c r="C1352" s="34">
        <f>Database!F1367</f>
        <v>0</v>
      </c>
      <c r="D1352" s="34">
        <f>Database!K1367</f>
        <v>0</v>
      </c>
      <c r="E1352" s="34">
        <f>Database!P1367</f>
        <v>0</v>
      </c>
      <c r="F1352" s="34">
        <f>Database!Q1367</f>
        <v>0</v>
      </c>
      <c r="G1352" s="462">
        <f>Database!R1367</f>
        <v>0</v>
      </c>
      <c r="H1352" s="35">
        <f>Database!N1367</f>
        <v>0</v>
      </c>
    </row>
    <row r="1353" spans="1:8" ht="23.25" x14ac:dyDescent="0.25">
      <c r="A1353" s="225" t="str">
        <f>Database!A1368</f>
        <v/>
      </c>
      <c r="B1353" s="34">
        <f>Database!E1368</f>
        <v>0</v>
      </c>
      <c r="C1353" s="34">
        <f>Database!F1368</f>
        <v>0</v>
      </c>
      <c r="D1353" s="34">
        <f>Database!K1368</f>
        <v>0</v>
      </c>
      <c r="E1353" s="34">
        <f>Database!P1368</f>
        <v>0</v>
      </c>
      <c r="F1353" s="34">
        <f>Database!Q1368</f>
        <v>0</v>
      </c>
      <c r="G1353" s="462">
        <f>Database!R1368</f>
        <v>0</v>
      </c>
      <c r="H1353" s="35">
        <f>Database!N1368</f>
        <v>0</v>
      </c>
    </row>
    <row r="1354" spans="1:8" ht="23.25" x14ac:dyDescent="0.25">
      <c r="A1354" s="225" t="str">
        <f>Database!A1369</f>
        <v/>
      </c>
      <c r="B1354" s="34">
        <f>Database!E1369</f>
        <v>0</v>
      </c>
      <c r="C1354" s="34">
        <f>Database!F1369</f>
        <v>0</v>
      </c>
      <c r="D1354" s="34">
        <f>Database!K1369</f>
        <v>0</v>
      </c>
      <c r="E1354" s="34">
        <f>Database!P1369</f>
        <v>0</v>
      </c>
      <c r="F1354" s="34">
        <f>Database!Q1369</f>
        <v>0</v>
      </c>
      <c r="G1354" s="462">
        <f>Database!R1369</f>
        <v>0</v>
      </c>
      <c r="H1354" s="35">
        <f>Database!N1369</f>
        <v>0</v>
      </c>
    </row>
    <row r="1355" spans="1:8" ht="23.25" x14ac:dyDescent="0.25">
      <c r="A1355" s="225" t="str">
        <f>Database!A1370</f>
        <v/>
      </c>
      <c r="B1355" s="34">
        <f>Database!E1370</f>
        <v>0</v>
      </c>
      <c r="C1355" s="34">
        <f>Database!F1370</f>
        <v>0</v>
      </c>
      <c r="D1355" s="34">
        <f>Database!K1370</f>
        <v>0</v>
      </c>
      <c r="E1355" s="34">
        <f>Database!P1370</f>
        <v>0</v>
      </c>
      <c r="F1355" s="34">
        <f>Database!Q1370</f>
        <v>0</v>
      </c>
      <c r="G1355" s="462">
        <f>Database!R1370</f>
        <v>0</v>
      </c>
      <c r="H1355" s="35">
        <f>Database!N1370</f>
        <v>0</v>
      </c>
    </row>
    <row r="1356" spans="1:8" ht="23.25" x14ac:dyDescent="0.25">
      <c r="A1356" s="225" t="str">
        <f>Database!A1371</f>
        <v/>
      </c>
      <c r="B1356" s="34">
        <f>Database!E1371</f>
        <v>0</v>
      </c>
      <c r="C1356" s="34">
        <f>Database!F1371</f>
        <v>0</v>
      </c>
      <c r="D1356" s="34">
        <f>Database!K1371</f>
        <v>0</v>
      </c>
      <c r="E1356" s="34">
        <f>Database!P1371</f>
        <v>0</v>
      </c>
      <c r="F1356" s="34">
        <f>Database!Q1371</f>
        <v>0</v>
      </c>
      <c r="G1356" s="462">
        <f>Database!R1371</f>
        <v>0</v>
      </c>
      <c r="H1356" s="35">
        <f>Database!N1371</f>
        <v>0</v>
      </c>
    </row>
    <row r="1357" spans="1:8" ht="23.25" x14ac:dyDescent="0.25">
      <c r="A1357" s="225" t="str">
        <f>Database!A1372</f>
        <v/>
      </c>
      <c r="B1357" s="34">
        <f>Database!E1372</f>
        <v>0</v>
      </c>
      <c r="C1357" s="34">
        <f>Database!F1372</f>
        <v>0</v>
      </c>
      <c r="D1357" s="34">
        <f>Database!K1372</f>
        <v>0</v>
      </c>
      <c r="E1357" s="34">
        <f>Database!P1372</f>
        <v>0</v>
      </c>
      <c r="F1357" s="34">
        <f>Database!Q1372</f>
        <v>0</v>
      </c>
      <c r="G1357" s="462">
        <f>Database!R1372</f>
        <v>0</v>
      </c>
      <c r="H1357" s="35">
        <f>Database!N1372</f>
        <v>0</v>
      </c>
    </row>
    <row r="1358" spans="1:8" ht="23.25" x14ac:dyDescent="0.25">
      <c r="A1358" s="225" t="str">
        <f>Database!A1373</f>
        <v/>
      </c>
      <c r="B1358" s="34">
        <f>Database!E1373</f>
        <v>0</v>
      </c>
      <c r="C1358" s="34">
        <f>Database!F1373</f>
        <v>0</v>
      </c>
      <c r="D1358" s="34">
        <f>Database!K1373</f>
        <v>0</v>
      </c>
      <c r="E1358" s="34">
        <f>Database!P1373</f>
        <v>0</v>
      </c>
      <c r="F1358" s="34">
        <f>Database!Q1373</f>
        <v>0</v>
      </c>
      <c r="G1358" s="462">
        <f>Database!R1373</f>
        <v>0</v>
      </c>
      <c r="H1358" s="35">
        <f>Database!N1373</f>
        <v>0</v>
      </c>
    </row>
    <row r="1359" spans="1:8" ht="23.25" x14ac:dyDescent="0.25">
      <c r="A1359" s="225" t="str">
        <f>Database!A1374</f>
        <v/>
      </c>
      <c r="B1359" s="34">
        <f>Database!E1374</f>
        <v>0</v>
      </c>
      <c r="C1359" s="34">
        <f>Database!F1374</f>
        <v>0</v>
      </c>
      <c r="D1359" s="34">
        <f>Database!K1374</f>
        <v>0</v>
      </c>
      <c r="E1359" s="34">
        <f>Database!P1374</f>
        <v>0</v>
      </c>
      <c r="F1359" s="34">
        <f>Database!Q1374</f>
        <v>0</v>
      </c>
      <c r="G1359" s="462">
        <f>Database!R1374</f>
        <v>0</v>
      </c>
      <c r="H1359" s="35">
        <f>Database!N1374</f>
        <v>0</v>
      </c>
    </row>
    <row r="1360" spans="1:8" ht="23.25" x14ac:dyDescent="0.25">
      <c r="A1360" s="225" t="str">
        <f>Database!A1375</f>
        <v/>
      </c>
      <c r="B1360" s="34">
        <f>Database!E1375</f>
        <v>0</v>
      </c>
      <c r="C1360" s="34">
        <f>Database!F1375</f>
        <v>0</v>
      </c>
      <c r="D1360" s="34">
        <f>Database!K1375</f>
        <v>0</v>
      </c>
      <c r="E1360" s="34">
        <f>Database!P1375</f>
        <v>0</v>
      </c>
      <c r="F1360" s="34">
        <f>Database!Q1375</f>
        <v>0</v>
      </c>
      <c r="G1360" s="462">
        <f>Database!R1375</f>
        <v>0</v>
      </c>
      <c r="H1360" s="35">
        <f>Database!N1375</f>
        <v>0</v>
      </c>
    </row>
    <row r="1361" spans="1:8" ht="23.25" x14ac:dyDescent="0.25">
      <c r="A1361" s="225" t="str">
        <f>Database!A1376</f>
        <v/>
      </c>
      <c r="B1361" s="34">
        <f>Database!E1376</f>
        <v>0</v>
      </c>
      <c r="C1361" s="34">
        <f>Database!F1376</f>
        <v>0</v>
      </c>
      <c r="D1361" s="34">
        <f>Database!K1376</f>
        <v>0</v>
      </c>
      <c r="E1361" s="34">
        <f>Database!P1376</f>
        <v>0</v>
      </c>
      <c r="F1361" s="34">
        <f>Database!Q1376</f>
        <v>0</v>
      </c>
      <c r="G1361" s="462">
        <f>Database!R1376</f>
        <v>0</v>
      </c>
      <c r="H1361" s="35">
        <f>Database!N1376</f>
        <v>0</v>
      </c>
    </row>
    <row r="1362" spans="1:8" ht="23.25" x14ac:dyDescent="0.25">
      <c r="A1362" s="225" t="str">
        <f>Database!A1377</f>
        <v/>
      </c>
      <c r="B1362" s="34">
        <f>Database!E1377</f>
        <v>0</v>
      </c>
      <c r="C1362" s="34">
        <f>Database!F1377</f>
        <v>0</v>
      </c>
      <c r="D1362" s="34">
        <f>Database!K1377</f>
        <v>0</v>
      </c>
      <c r="E1362" s="34">
        <f>Database!P1377</f>
        <v>0</v>
      </c>
      <c r="F1362" s="34">
        <f>Database!Q1377</f>
        <v>0</v>
      </c>
      <c r="G1362" s="462">
        <f>Database!R1377</f>
        <v>0</v>
      </c>
      <c r="H1362" s="35">
        <f>Database!N1377</f>
        <v>0</v>
      </c>
    </row>
    <row r="1363" spans="1:8" ht="23.25" x14ac:dyDescent="0.25">
      <c r="A1363" s="225" t="str">
        <f>Database!A1378</f>
        <v/>
      </c>
      <c r="B1363" s="34">
        <f>Database!E1378</f>
        <v>0</v>
      </c>
      <c r="C1363" s="34">
        <f>Database!F1378</f>
        <v>0</v>
      </c>
      <c r="D1363" s="34">
        <f>Database!K1378</f>
        <v>0</v>
      </c>
      <c r="E1363" s="34">
        <f>Database!P1378</f>
        <v>0</v>
      </c>
      <c r="F1363" s="34">
        <f>Database!Q1378</f>
        <v>0</v>
      </c>
      <c r="G1363" s="462">
        <f>Database!R1378</f>
        <v>0</v>
      </c>
      <c r="H1363" s="35">
        <f>Database!N1378</f>
        <v>0</v>
      </c>
    </row>
    <row r="1364" spans="1:8" ht="23.25" x14ac:dyDescent="0.25">
      <c r="A1364" s="225" t="str">
        <f>Database!A1379</f>
        <v/>
      </c>
      <c r="B1364" s="34">
        <f>Database!E1379</f>
        <v>0</v>
      </c>
      <c r="C1364" s="34">
        <f>Database!F1379</f>
        <v>0</v>
      </c>
      <c r="D1364" s="34">
        <f>Database!K1379</f>
        <v>0</v>
      </c>
      <c r="E1364" s="34">
        <f>Database!P1379</f>
        <v>0</v>
      </c>
      <c r="F1364" s="34">
        <f>Database!Q1379</f>
        <v>0</v>
      </c>
      <c r="G1364" s="462">
        <f>Database!R1379</f>
        <v>0</v>
      </c>
      <c r="H1364" s="35">
        <f>Database!N1379</f>
        <v>0</v>
      </c>
    </row>
    <row r="1365" spans="1:8" ht="23.25" x14ac:dyDescent="0.25">
      <c r="A1365" s="225" t="str">
        <f>Database!A1380</f>
        <v/>
      </c>
      <c r="B1365" s="34">
        <f>Database!E1380</f>
        <v>0</v>
      </c>
      <c r="C1365" s="34">
        <f>Database!F1380</f>
        <v>0</v>
      </c>
      <c r="D1365" s="34">
        <f>Database!K1380</f>
        <v>0</v>
      </c>
      <c r="E1365" s="34">
        <f>Database!P1380</f>
        <v>0</v>
      </c>
      <c r="F1365" s="34">
        <f>Database!Q1380</f>
        <v>0</v>
      </c>
      <c r="G1365" s="462">
        <f>Database!R1380</f>
        <v>0</v>
      </c>
      <c r="H1365" s="35">
        <f>Database!N1380</f>
        <v>0</v>
      </c>
    </row>
    <row r="1366" spans="1:8" ht="23.25" x14ac:dyDescent="0.25">
      <c r="A1366" s="225" t="str">
        <f>Database!A1381</f>
        <v/>
      </c>
      <c r="B1366" s="34">
        <f>Database!E1381</f>
        <v>0</v>
      </c>
      <c r="C1366" s="34">
        <f>Database!F1381</f>
        <v>0</v>
      </c>
      <c r="D1366" s="34">
        <f>Database!K1381</f>
        <v>0</v>
      </c>
      <c r="E1366" s="34">
        <f>Database!P1381</f>
        <v>0</v>
      </c>
      <c r="F1366" s="34">
        <f>Database!Q1381</f>
        <v>0</v>
      </c>
      <c r="G1366" s="462">
        <f>Database!R1381</f>
        <v>0</v>
      </c>
      <c r="H1366" s="35">
        <f>Database!N1381</f>
        <v>0</v>
      </c>
    </row>
    <row r="1367" spans="1:8" ht="23.25" x14ac:dyDescent="0.25">
      <c r="A1367" s="225" t="str">
        <f>Database!A1382</f>
        <v/>
      </c>
      <c r="B1367" s="34">
        <f>Database!E1382</f>
        <v>0</v>
      </c>
      <c r="C1367" s="34">
        <f>Database!F1382</f>
        <v>0</v>
      </c>
      <c r="D1367" s="34">
        <f>Database!K1382</f>
        <v>0</v>
      </c>
      <c r="E1367" s="34">
        <f>Database!P1382</f>
        <v>0</v>
      </c>
      <c r="F1367" s="34">
        <f>Database!Q1382</f>
        <v>0</v>
      </c>
      <c r="G1367" s="462">
        <f>Database!R1382</f>
        <v>0</v>
      </c>
      <c r="H1367" s="35">
        <f>Database!N1382</f>
        <v>0</v>
      </c>
    </row>
    <row r="1368" spans="1:8" ht="23.25" x14ac:dyDescent="0.25">
      <c r="A1368" s="225" t="str">
        <f>Database!A1383</f>
        <v/>
      </c>
      <c r="B1368" s="34">
        <f>Database!E1383</f>
        <v>0</v>
      </c>
      <c r="C1368" s="34">
        <f>Database!F1383</f>
        <v>0</v>
      </c>
      <c r="D1368" s="34">
        <f>Database!K1383</f>
        <v>0</v>
      </c>
      <c r="E1368" s="34">
        <f>Database!P1383</f>
        <v>0</v>
      </c>
      <c r="F1368" s="34">
        <f>Database!Q1383</f>
        <v>0</v>
      </c>
      <c r="G1368" s="462">
        <f>Database!R1383</f>
        <v>0</v>
      </c>
      <c r="H1368" s="35">
        <f>Database!N1383</f>
        <v>0</v>
      </c>
    </row>
    <row r="1369" spans="1:8" ht="23.25" x14ac:dyDescent="0.25">
      <c r="A1369" s="225" t="str">
        <f>Database!A1384</f>
        <v/>
      </c>
      <c r="B1369" s="34">
        <f>Database!E1384</f>
        <v>0</v>
      </c>
      <c r="C1369" s="34">
        <f>Database!F1384</f>
        <v>0</v>
      </c>
      <c r="D1369" s="34">
        <f>Database!K1384</f>
        <v>0</v>
      </c>
      <c r="E1369" s="34">
        <f>Database!P1384</f>
        <v>0</v>
      </c>
      <c r="F1369" s="34">
        <f>Database!Q1384</f>
        <v>0</v>
      </c>
      <c r="G1369" s="462">
        <f>Database!R1384</f>
        <v>0</v>
      </c>
      <c r="H1369" s="35">
        <f>Database!N1384</f>
        <v>0</v>
      </c>
    </row>
    <row r="1370" spans="1:8" ht="23.25" x14ac:dyDescent="0.25">
      <c r="A1370" s="225" t="str">
        <f>Database!A1385</f>
        <v/>
      </c>
      <c r="B1370" s="34">
        <f>Database!E1385</f>
        <v>0</v>
      </c>
      <c r="C1370" s="34">
        <f>Database!F1385</f>
        <v>0</v>
      </c>
      <c r="D1370" s="34">
        <f>Database!K1385</f>
        <v>0</v>
      </c>
      <c r="E1370" s="34">
        <f>Database!P1385</f>
        <v>0</v>
      </c>
      <c r="F1370" s="34">
        <f>Database!Q1385</f>
        <v>0</v>
      </c>
      <c r="G1370" s="462">
        <f>Database!R1385</f>
        <v>0</v>
      </c>
      <c r="H1370" s="35">
        <f>Database!N1385</f>
        <v>0</v>
      </c>
    </row>
    <row r="1371" spans="1:8" ht="23.25" x14ac:dyDescent="0.25">
      <c r="A1371" s="225" t="str">
        <f>Database!A1386</f>
        <v/>
      </c>
      <c r="B1371" s="34">
        <f>Database!E1386</f>
        <v>0</v>
      </c>
      <c r="C1371" s="34">
        <f>Database!F1386</f>
        <v>0</v>
      </c>
      <c r="D1371" s="34">
        <f>Database!K1386</f>
        <v>0</v>
      </c>
      <c r="E1371" s="34">
        <f>Database!P1386</f>
        <v>0</v>
      </c>
      <c r="F1371" s="34">
        <f>Database!Q1386</f>
        <v>0</v>
      </c>
      <c r="G1371" s="462">
        <f>Database!R1386</f>
        <v>0</v>
      </c>
      <c r="H1371" s="35">
        <f>Database!N1386</f>
        <v>0</v>
      </c>
    </row>
    <row r="1372" spans="1:8" ht="23.25" x14ac:dyDescent="0.25">
      <c r="A1372" s="225" t="str">
        <f>Database!A1387</f>
        <v/>
      </c>
      <c r="B1372" s="34">
        <f>Database!E1387</f>
        <v>0</v>
      </c>
      <c r="C1372" s="34">
        <f>Database!F1387</f>
        <v>0</v>
      </c>
      <c r="D1372" s="34">
        <f>Database!K1387</f>
        <v>0</v>
      </c>
      <c r="E1372" s="34">
        <f>Database!P1387</f>
        <v>0</v>
      </c>
      <c r="F1372" s="34">
        <f>Database!Q1387</f>
        <v>0</v>
      </c>
      <c r="G1372" s="462">
        <f>Database!R1387</f>
        <v>0</v>
      </c>
      <c r="H1372" s="35">
        <f>Database!N1387</f>
        <v>0</v>
      </c>
    </row>
    <row r="1373" spans="1:8" ht="23.25" x14ac:dyDescent="0.25">
      <c r="A1373" s="225" t="str">
        <f>Database!A1388</f>
        <v/>
      </c>
      <c r="B1373" s="34">
        <f>Database!E1388</f>
        <v>0</v>
      </c>
      <c r="C1373" s="34">
        <f>Database!F1388</f>
        <v>0</v>
      </c>
      <c r="D1373" s="34">
        <f>Database!K1388</f>
        <v>0</v>
      </c>
      <c r="E1373" s="34">
        <f>Database!P1388</f>
        <v>0</v>
      </c>
      <c r="F1373" s="34">
        <f>Database!Q1388</f>
        <v>0</v>
      </c>
      <c r="G1373" s="462">
        <f>Database!R1388</f>
        <v>0</v>
      </c>
      <c r="H1373" s="35">
        <f>Database!N1388</f>
        <v>0</v>
      </c>
    </row>
    <row r="1374" spans="1:8" ht="23.25" x14ac:dyDescent="0.25">
      <c r="A1374" s="225" t="str">
        <f>Database!A1389</f>
        <v/>
      </c>
      <c r="B1374" s="34">
        <f>Database!E1389</f>
        <v>0</v>
      </c>
      <c r="C1374" s="34">
        <f>Database!F1389</f>
        <v>0</v>
      </c>
      <c r="D1374" s="34">
        <f>Database!K1389</f>
        <v>0</v>
      </c>
      <c r="E1374" s="34">
        <f>Database!P1389</f>
        <v>0</v>
      </c>
      <c r="F1374" s="34">
        <f>Database!Q1389</f>
        <v>0</v>
      </c>
      <c r="G1374" s="462">
        <f>Database!R1389</f>
        <v>0</v>
      </c>
      <c r="H1374" s="35">
        <f>Database!N1389</f>
        <v>0</v>
      </c>
    </row>
    <row r="1375" spans="1:8" ht="23.25" x14ac:dyDescent="0.25">
      <c r="A1375" s="225" t="str">
        <f>Database!A1390</f>
        <v/>
      </c>
      <c r="B1375" s="34">
        <f>Database!E1390</f>
        <v>0</v>
      </c>
      <c r="C1375" s="34">
        <f>Database!F1390</f>
        <v>0</v>
      </c>
      <c r="D1375" s="34">
        <f>Database!K1390</f>
        <v>0</v>
      </c>
      <c r="E1375" s="34">
        <f>Database!P1390</f>
        <v>0</v>
      </c>
      <c r="F1375" s="34">
        <f>Database!Q1390</f>
        <v>0</v>
      </c>
      <c r="G1375" s="462">
        <f>Database!R1390</f>
        <v>0</v>
      </c>
      <c r="H1375" s="35">
        <f>Database!N1390</f>
        <v>0</v>
      </c>
    </row>
    <row r="1376" spans="1:8" ht="23.25" x14ac:dyDescent="0.25">
      <c r="A1376" s="225" t="str">
        <f>Database!A1391</f>
        <v/>
      </c>
      <c r="B1376" s="34">
        <f>Database!E1391</f>
        <v>0</v>
      </c>
      <c r="C1376" s="34">
        <f>Database!F1391</f>
        <v>0</v>
      </c>
      <c r="D1376" s="34">
        <f>Database!K1391</f>
        <v>0</v>
      </c>
      <c r="E1376" s="34">
        <f>Database!P1391</f>
        <v>0</v>
      </c>
      <c r="F1376" s="34">
        <f>Database!Q1391</f>
        <v>0</v>
      </c>
      <c r="G1376" s="462">
        <f>Database!R1391</f>
        <v>0</v>
      </c>
      <c r="H1376" s="35">
        <f>Database!N1391</f>
        <v>0</v>
      </c>
    </row>
    <row r="1377" spans="1:8" ht="23.25" x14ac:dyDescent="0.25">
      <c r="A1377" s="225" t="str">
        <f>Database!A1392</f>
        <v/>
      </c>
      <c r="B1377" s="34">
        <f>Database!E1392</f>
        <v>0</v>
      </c>
      <c r="C1377" s="34">
        <f>Database!F1392</f>
        <v>0</v>
      </c>
      <c r="D1377" s="34">
        <f>Database!K1392</f>
        <v>0</v>
      </c>
      <c r="E1377" s="34">
        <f>Database!P1392</f>
        <v>0</v>
      </c>
      <c r="F1377" s="34">
        <f>Database!Q1392</f>
        <v>0</v>
      </c>
      <c r="G1377" s="462">
        <f>Database!R1392</f>
        <v>0</v>
      </c>
      <c r="H1377" s="35">
        <f>Database!N1392</f>
        <v>0</v>
      </c>
    </row>
    <row r="1378" spans="1:8" ht="23.25" x14ac:dyDescent="0.25">
      <c r="A1378" s="225" t="str">
        <f>Database!A1393</f>
        <v/>
      </c>
      <c r="B1378" s="34">
        <f>Database!E1393</f>
        <v>0</v>
      </c>
      <c r="C1378" s="34">
        <f>Database!F1393</f>
        <v>0</v>
      </c>
      <c r="D1378" s="34">
        <f>Database!K1393</f>
        <v>0</v>
      </c>
      <c r="E1378" s="34">
        <f>Database!P1393</f>
        <v>0</v>
      </c>
      <c r="F1378" s="34">
        <f>Database!Q1393</f>
        <v>0</v>
      </c>
      <c r="G1378" s="462">
        <f>Database!R1393</f>
        <v>0</v>
      </c>
      <c r="H1378" s="35">
        <f>Database!N1393</f>
        <v>0</v>
      </c>
    </row>
    <row r="1379" spans="1:8" ht="23.25" x14ac:dyDescent="0.25">
      <c r="A1379" s="225" t="str">
        <f>Database!A1394</f>
        <v/>
      </c>
      <c r="B1379" s="34">
        <f>Database!E1394</f>
        <v>0</v>
      </c>
      <c r="C1379" s="34">
        <f>Database!F1394</f>
        <v>0</v>
      </c>
      <c r="D1379" s="34">
        <f>Database!K1394</f>
        <v>0</v>
      </c>
      <c r="E1379" s="34">
        <f>Database!P1394</f>
        <v>0</v>
      </c>
      <c r="F1379" s="34">
        <f>Database!Q1394</f>
        <v>0</v>
      </c>
      <c r="G1379" s="462">
        <f>Database!R1394</f>
        <v>0</v>
      </c>
      <c r="H1379" s="35">
        <f>Database!N1394</f>
        <v>0</v>
      </c>
    </row>
    <row r="1380" spans="1:8" ht="23.25" x14ac:dyDescent="0.25">
      <c r="A1380" s="225" t="str">
        <f>Database!A1395</f>
        <v/>
      </c>
      <c r="B1380" s="34">
        <f>Database!E1395</f>
        <v>0</v>
      </c>
      <c r="C1380" s="34">
        <f>Database!F1395</f>
        <v>0</v>
      </c>
      <c r="D1380" s="34">
        <f>Database!K1395</f>
        <v>0</v>
      </c>
      <c r="E1380" s="34">
        <f>Database!P1395</f>
        <v>0</v>
      </c>
      <c r="F1380" s="34">
        <f>Database!Q1395</f>
        <v>0</v>
      </c>
      <c r="G1380" s="462">
        <f>Database!R1395</f>
        <v>0</v>
      </c>
      <c r="H1380" s="35">
        <f>Database!N1395</f>
        <v>0</v>
      </c>
    </row>
    <row r="1381" spans="1:8" ht="23.25" x14ac:dyDescent="0.25">
      <c r="A1381" s="225" t="str">
        <f>Database!A1396</f>
        <v/>
      </c>
      <c r="B1381" s="34">
        <f>Database!E1396</f>
        <v>0</v>
      </c>
      <c r="C1381" s="34">
        <f>Database!F1396</f>
        <v>0</v>
      </c>
      <c r="D1381" s="34">
        <f>Database!K1396</f>
        <v>0</v>
      </c>
      <c r="E1381" s="34">
        <f>Database!P1396</f>
        <v>0</v>
      </c>
      <c r="F1381" s="34">
        <f>Database!Q1396</f>
        <v>0</v>
      </c>
      <c r="G1381" s="462">
        <f>Database!R1396</f>
        <v>0</v>
      </c>
      <c r="H1381" s="35">
        <f>Database!N1396</f>
        <v>0</v>
      </c>
    </row>
    <row r="1382" spans="1:8" ht="23.25" x14ac:dyDescent="0.25">
      <c r="A1382" s="225" t="str">
        <f>Database!A1397</f>
        <v/>
      </c>
      <c r="B1382" s="34">
        <f>Database!E1397</f>
        <v>0</v>
      </c>
      <c r="C1382" s="34">
        <f>Database!F1397</f>
        <v>0</v>
      </c>
      <c r="D1382" s="34">
        <f>Database!K1397</f>
        <v>0</v>
      </c>
      <c r="E1382" s="34">
        <f>Database!P1397</f>
        <v>0</v>
      </c>
      <c r="F1382" s="34">
        <f>Database!Q1397</f>
        <v>0</v>
      </c>
      <c r="G1382" s="462">
        <f>Database!R1397</f>
        <v>0</v>
      </c>
      <c r="H1382" s="35">
        <f>Database!N1397</f>
        <v>0</v>
      </c>
    </row>
    <row r="1383" spans="1:8" ht="23.25" x14ac:dyDescent="0.25">
      <c r="A1383" s="225" t="str">
        <f>Database!A1398</f>
        <v/>
      </c>
      <c r="B1383" s="34">
        <f>Database!E1398</f>
        <v>0</v>
      </c>
      <c r="C1383" s="34">
        <f>Database!F1398</f>
        <v>0</v>
      </c>
      <c r="D1383" s="34">
        <f>Database!K1398</f>
        <v>0</v>
      </c>
      <c r="E1383" s="34">
        <f>Database!P1398</f>
        <v>0</v>
      </c>
      <c r="F1383" s="34">
        <f>Database!Q1398</f>
        <v>0</v>
      </c>
      <c r="G1383" s="462">
        <f>Database!R1398</f>
        <v>0</v>
      </c>
      <c r="H1383" s="35">
        <f>Database!N1398</f>
        <v>0</v>
      </c>
    </row>
    <row r="1384" spans="1:8" ht="23.25" x14ac:dyDescent="0.25">
      <c r="A1384" s="225" t="str">
        <f>Database!A1399</f>
        <v/>
      </c>
      <c r="B1384" s="34">
        <f>Database!E1399</f>
        <v>0</v>
      </c>
      <c r="C1384" s="34">
        <f>Database!F1399</f>
        <v>0</v>
      </c>
      <c r="D1384" s="34">
        <f>Database!K1399</f>
        <v>0</v>
      </c>
      <c r="E1384" s="34">
        <f>Database!P1399</f>
        <v>0</v>
      </c>
      <c r="F1384" s="34">
        <f>Database!Q1399</f>
        <v>0</v>
      </c>
      <c r="G1384" s="462">
        <f>Database!R1399</f>
        <v>0</v>
      </c>
      <c r="H1384" s="35">
        <f>Database!N1399</f>
        <v>0</v>
      </c>
    </row>
    <row r="1385" spans="1:8" ht="23.25" x14ac:dyDescent="0.25">
      <c r="A1385" s="225" t="str">
        <f>Database!A1400</f>
        <v/>
      </c>
      <c r="B1385" s="34">
        <f>Database!E1400</f>
        <v>0</v>
      </c>
      <c r="C1385" s="34">
        <f>Database!F1400</f>
        <v>0</v>
      </c>
      <c r="D1385" s="34">
        <f>Database!K1400</f>
        <v>0</v>
      </c>
      <c r="E1385" s="34">
        <f>Database!P1400</f>
        <v>0</v>
      </c>
      <c r="F1385" s="34">
        <f>Database!Q1400</f>
        <v>0</v>
      </c>
      <c r="G1385" s="462">
        <f>Database!R1400</f>
        <v>0</v>
      </c>
      <c r="H1385" s="35">
        <f>Database!N1400</f>
        <v>0</v>
      </c>
    </row>
    <row r="1386" spans="1:8" ht="23.25" x14ac:dyDescent="0.25">
      <c r="A1386" s="225" t="str">
        <f>Database!A1401</f>
        <v/>
      </c>
      <c r="B1386" s="34">
        <f>Database!E1401</f>
        <v>0</v>
      </c>
      <c r="C1386" s="34">
        <f>Database!F1401</f>
        <v>0</v>
      </c>
      <c r="D1386" s="34">
        <f>Database!K1401</f>
        <v>0</v>
      </c>
      <c r="E1386" s="34">
        <f>Database!P1401</f>
        <v>0</v>
      </c>
      <c r="F1386" s="34">
        <f>Database!Q1401</f>
        <v>0</v>
      </c>
      <c r="G1386" s="462">
        <f>Database!R1401</f>
        <v>0</v>
      </c>
      <c r="H1386" s="35">
        <f>Database!N1401</f>
        <v>0</v>
      </c>
    </row>
    <row r="1387" spans="1:8" ht="23.25" x14ac:dyDescent="0.25">
      <c r="A1387" s="225" t="str">
        <f>Database!A1402</f>
        <v/>
      </c>
      <c r="B1387" s="34">
        <f>Database!E1402</f>
        <v>0</v>
      </c>
      <c r="C1387" s="34">
        <f>Database!F1402</f>
        <v>0</v>
      </c>
      <c r="D1387" s="34">
        <f>Database!K1402</f>
        <v>0</v>
      </c>
      <c r="E1387" s="34">
        <f>Database!P1402</f>
        <v>0</v>
      </c>
      <c r="F1387" s="34">
        <f>Database!Q1402</f>
        <v>0</v>
      </c>
      <c r="G1387" s="462">
        <f>Database!R1402</f>
        <v>0</v>
      </c>
      <c r="H1387" s="35">
        <f>Database!N1402</f>
        <v>0</v>
      </c>
    </row>
    <row r="1388" spans="1:8" ht="23.25" x14ac:dyDescent="0.25">
      <c r="A1388" s="225" t="str">
        <f>Database!A1403</f>
        <v/>
      </c>
      <c r="B1388" s="34">
        <f>Database!E1403</f>
        <v>0</v>
      </c>
      <c r="C1388" s="34">
        <f>Database!F1403</f>
        <v>0</v>
      </c>
      <c r="D1388" s="34">
        <f>Database!K1403</f>
        <v>0</v>
      </c>
      <c r="E1388" s="34">
        <f>Database!P1403</f>
        <v>0</v>
      </c>
      <c r="F1388" s="34">
        <f>Database!Q1403</f>
        <v>0</v>
      </c>
      <c r="G1388" s="462">
        <f>Database!R1403</f>
        <v>0</v>
      </c>
      <c r="H1388" s="35">
        <f>Database!N1403</f>
        <v>0</v>
      </c>
    </row>
    <row r="1389" spans="1:8" ht="23.25" x14ac:dyDescent="0.25">
      <c r="A1389" s="225" t="str">
        <f>Database!A1404</f>
        <v/>
      </c>
      <c r="B1389" s="34">
        <f>Database!E1404</f>
        <v>0</v>
      </c>
      <c r="C1389" s="34">
        <f>Database!F1404</f>
        <v>0</v>
      </c>
      <c r="D1389" s="34">
        <f>Database!K1404</f>
        <v>0</v>
      </c>
      <c r="E1389" s="34">
        <f>Database!P1404</f>
        <v>0</v>
      </c>
      <c r="F1389" s="34">
        <f>Database!Q1404</f>
        <v>0</v>
      </c>
      <c r="G1389" s="462">
        <f>Database!R1404</f>
        <v>0</v>
      </c>
      <c r="H1389" s="35">
        <f>Database!N1404</f>
        <v>0</v>
      </c>
    </row>
    <row r="1390" spans="1:8" ht="23.25" x14ac:dyDescent="0.25">
      <c r="A1390" s="225" t="str">
        <f>Database!A1405</f>
        <v/>
      </c>
      <c r="B1390" s="34">
        <f>Database!E1405</f>
        <v>0</v>
      </c>
      <c r="C1390" s="34">
        <f>Database!F1405</f>
        <v>0</v>
      </c>
      <c r="D1390" s="34">
        <f>Database!K1405</f>
        <v>0</v>
      </c>
      <c r="E1390" s="34">
        <f>Database!P1405</f>
        <v>0</v>
      </c>
      <c r="F1390" s="34">
        <f>Database!Q1405</f>
        <v>0</v>
      </c>
      <c r="G1390" s="462">
        <f>Database!R1405</f>
        <v>0</v>
      </c>
      <c r="H1390" s="35">
        <f>Database!N1405</f>
        <v>0</v>
      </c>
    </row>
    <row r="1391" spans="1:8" ht="23.25" x14ac:dyDescent="0.25">
      <c r="A1391" s="225" t="str">
        <f>Database!A1406</f>
        <v/>
      </c>
      <c r="B1391" s="34">
        <f>Database!E1406</f>
        <v>0</v>
      </c>
      <c r="C1391" s="34">
        <f>Database!F1406</f>
        <v>0</v>
      </c>
      <c r="D1391" s="34">
        <f>Database!K1406</f>
        <v>0</v>
      </c>
      <c r="E1391" s="34">
        <f>Database!P1406</f>
        <v>0</v>
      </c>
      <c r="F1391" s="34">
        <f>Database!Q1406</f>
        <v>0</v>
      </c>
      <c r="G1391" s="462">
        <f>Database!R1406</f>
        <v>0</v>
      </c>
      <c r="H1391" s="35">
        <f>Database!N1406</f>
        <v>0</v>
      </c>
    </row>
    <row r="1392" spans="1:8" ht="23.25" x14ac:dyDescent="0.25">
      <c r="A1392" s="225" t="str">
        <f>Database!A1407</f>
        <v/>
      </c>
      <c r="B1392" s="34">
        <f>Database!E1407</f>
        <v>0</v>
      </c>
      <c r="C1392" s="34">
        <f>Database!F1407</f>
        <v>0</v>
      </c>
      <c r="D1392" s="34">
        <f>Database!K1407</f>
        <v>0</v>
      </c>
      <c r="E1392" s="34">
        <f>Database!P1407</f>
        <v>0</v>
      </c>
      <c r="F1392" s="34">
        <f>Database!Q1407</f>
        <v>0</v>
      </c>
      <c r="G1392" s="462">
        <f>Database!R1407</f>
        <v>0</v>
      </c>
      <c r="H1392" s="35">
        <f>Database!N1407</f>
        <v>0</v>
      </c>
    </row>
    <row r="1393" spans="1:8" ht="23.25" x14ac:dyDescent="0.25">
      <c r="A1393" s="225" t="str">
        <f>Database!A1408</f>
        <v/>
      </c>
      <c r="B1393" s="34">
        <f>Database!E1408</f>
        <v>0</v>
      </c>
      <c r="C1393" s="34">
        <f>Database!F1408</f>
        <v>0</v>
      </c>
      <c r="D1393" s="34">
        <f>Database!K1408</f>
        <v>0</v>
      </c>
      <c r="E1393" s="34">
        <f>Database!P1408</f>
        <v>0</v>
      </c>
      <c r="F1393" s="34">
        <f>Database!Q1408</f>
        <v>0</v>
      </c>
      <c r="G1393" s="462">
        <f>Database!R1408</f>
        <v>0</v>
      </c>
      <c r="H1393" s="35">
        <f>Database!N1408</f>
        <v>0</v>
      </c>
    </row>
    <row r="1394" spans="1:8" ht="23.25" x14ac:dyDescent="0.25">
      <c r="A1394" s="225" t="str">
        <f>Database!A1409</f>
        <v/>
      </c>
      <c r="B1394" s="34">
        <f>Database!E1409</f>
        <v>0</v>
      </c>
      <c r="C1394" s="34">
        <f>Database!F1409</f>
        <v>0</v>
      </c>
      <c r="D1394" s="34">
        <f>Database!K1409</f>
        <v>0</v>
      </c>
      <c r="E1394" s="34">
        <f>Database!P1409</f>
        <v>0</v>
      </c>
      <c r="F1394" s="34">
        <f>Database!Q1409</f>
        <v>0</v>
      </c>
      <c r="G1394" s="462">
        <f>Database!R1409</f>
        <v>0</v>
      </c>
      <c r="H1394" s="35">
        <f>Database!N1409</f>
        <v>0</v>
      </c>
    </row>
    <row r="1395" spans="1:8" ht="23.25" x14ac:dyDescent="0.25">
      <c r="A1395" s="225" t="str">
        <f>Database!A1410</f>
        <v/>
      </c>
      <c r="B1395" s="34">
        <f>Database!E1410</f>
        <v>0</v>
      </c>
      <c r="C1395" s="34">
        <f>Database!F1410</f>
        <v>0</v>
      </c>
      <c r="D1395" s="34">
        <f>Database!K1410</f>
        <v>0</v>
      </c>
      <c r="E1395" s="34">
        <f>Database!P1410</f>
        <v>0</v>
      </c>
      <c r="F1395" s="34">
        <f>Database!Q1410</f>
        <v>0</v>
      </c>
      <c r="G1395" s="462">
        <f>Database!R1410</f>
        <v>0</v>
      </c>
      <c r="H1395" s="35">
        <f>Database!N1410</f>
        <v>0</v>
      </c>
    </row>
    <row r="1396" spans="1:8" ht="23.25" x14ac:dyDescent="0.25">
      <c r="A1396" s="225" t="str">
        <f>Database!A1411</f>
        <v/>
      </c>
      <c r="B1396" s="34">
        <f>Database!E1411</f>
        <v>0</v>
      </c>
      <c r="C1396" s="34">
        <f>Database!F1411</f>
        <v>0</v>
      </c>
      <c r="D1396" s="34">
        <f>Database!K1411</f>
        <v>0</v>
      </c>
      <c r="E1396" s="34">
        <f>Database!P1411</f>
        <v>0</v>
      </c>
      <c r="F1396" s="34">
        <f>Database!Q1411</f>
        <v>0</v>
      </c>
      <c r="G1396" s="462">
        <f>Database!R1411</f>
        <v>0</v>
      </c>
      <c r="H1396" s="35">
        <f>Database!N1411</f>
        <v>0</v>
      </c>
    </row>
    <row r="1397" spans="1:8" ht="23.25" x14ac:dyDescent="0.25">
      <c r="A1397" s="225" t="str">
        <f>Database!A1412</f>
        <v/>
      </c>
      <c r="B1397" s="34">
        <f>Database!E1412</f>
        <v>0</v>
      </c>
      <c r="C1397" s="34">
        <f>Database!F1412</f>
        <v>0</v>
      </c>
      <c r="D1397" s="34">
        <f>Database!K1412</f>
        <v>0</v>
      </c>
      <c r="E1397" s="34">
        <f>Database!P1412</f>
        <v>0</v>
      </c>
      <c r="F1397" s="34">
        <f>Database!Q1412</f>
        <v>0</v>
      </c>
      <c r="G1397" s="462">
        <f>Database!R1412</f>
        <v>0</v>
      </c>
      <c r="H1397" s="35">
        <f>Database!N1412</f>
        <v>0</v>
      </c>
    </row>
    <row r="1398" spans="1:8" ht="23.25" x14ac:dyDescent="0.25">
      <c r="A1398" s="225" t="str">
        <f>Database!A1413</f>
        <v/>
      </c>
      <c r="B1398" s="34">
        <f>Database!E1413</f>
        <v>0</v>
      </c>
      <c r="C1398" s="34">
        <f>Database!F1413</f>
        <v>0</v>
      </c>
      <c r="D1398" s="34">
        <f>Database!K1413</f>
        <v>0</v>
      </c>
      <c r="E1398" s="34">
        <f>Database!P1413</f>
        <v>0</v>
      </c>
      <c r="F1398" s="34">
        <f>Database!Q1413</f>
        <v>0</v>
      </c>
      <c r="G1398" s="462">
        <f>Database!R1413</f>
        <v>0</v>
      </c>
      <c r="H1398" s="35">
        <f>Database!N1413</f>
        <v>0</v>
      </c>
    </row>
    <row r="1399" spans="1:8" ht="23.25" x14ac:dyDescent="0.25">
      <c r="A1399" s="225" t="str">
        <f>Database!A1414</f>
        <v/>
      </c>
      <c r="B1399" s="34">
        <f>Database!E1414</f>
        <v>0</v>
      </c>
      <c r="C1399" s="34">
        <f>Database!F1414</f>
        <v>0</v>
      </c>
      <c r="D1399" s="34">
        <f>Database!K1414</f>
        <v>0</v>
      </c>
      <c r="E1399" s="34">
        <f>Database!P1414</f>
        <v>0</v>
      </c>
      <c r="F1399" s="34">
        <f>Database!Q1414</f>
        <v>0</v>
      </c>
      <c r="G1399" s="462">
        <f>Database!R1414</f>
        <v>0</v>
      </c>
      <c r="H1399" s="35">
        <f>Database!N1414</f>
        <v>0</v>
      </c>
    </row>
    <row r="1400" spans="1:8" ht="23.25" x14ac:dyDescent="0.25">
      <c r="A1400" s="225" t="str">
        <f>Database!A1415</f>
        <v/>
      </c>
      <c r="B1400" s="34">
        <f>Database!E1415</f>
        <v>0</v>
      </c>
      <c r="C1400" s="34">
        <f>Database!F1415</f>
        <v>0</v>
      </c>
      <c r="D1400" s="34">
        <f>Database!K1415</f>
        <v>0</v>
      </c>
      <c r="E1400" s="34">
        <f>Database!P1415</f>
        <v>0</v>
      </c>
      <c r="F1400" s="34">
        <f>Database!Q1415</f>
        <v>0</v>
      </c>
      <c r="G1400" s="462">
        <f>Database!R1415</f>
        <v>0</v>
      </c>
      <c r="H1400" s="35">
        <f>Database!N1415</f>
        <v>0</v>
      </c>
    </row>
    <row r="1401" spans="1:8" ht="23.25" x14ac:dyDescent="0.25">
      <c r="A1401" s="225" t="str">
        <f>Database!A1416</f>
        <v/>
      </c>
      <c r="B1401" s="34">
        <f>Database!E1416</f>
        <v>0</v>
      </c>
      <c r="C1401" s="34">
        <f>Database!F1416</f>
        <v>0</v>
      </c>
      <c r="D1401" s="34">
        <f>Database!K1416</f>
        <v>0</v>
      </c>
      <c r="E1401" s="34">
        <f>Database!P1416</f>
        <v>0</v>
      </c>
      <c r="F1401" s="34">
        <f>Database!Q1416</f>
        <v>0</v>
      </c>
      <c r="G1401" s="462">
        <f>Database!R1416</f>
        <v>0</v>
      </c>
      <c r="H1401" s="35">
        <f>Database!N1416</f>
        <v>0</v>
      </c>
    </row>
    <row r="1402" spans="1:8" ht="23.25" x14ac:dyDescent="0.25">
      <c r="A1402" s="225" t="str">
        <f>Database!A1417</f>
        <v/>
      </c>
      <c r="B1402" s="34">
        <f>Database!E1417</f>
        <v>0</v>
      </c>
      <c r="C1402" s="34">
        <f>Database!F1417</f>
        <v>0</v>
      </c>
      <c r="D1402" s="34">
        <f>Database!K1417</f>
        <v>0</v>
      </c>
      <c r="E1402" s="34">
        <f>Database!P1417</f>
        <v>0</v>
      </c>
      <c r="F1402" s="34">
        <f>Database!Q1417</f>
        <v>0</v>
      </c>
      <c r="G1402" s="462">
        <f>Database!R1417</f>
        <v>0</v>
      </c>
      <c r="H1402" s="35">
        <f>Database!N1417</f>
        <v>0</v>
      </c>
    </row>
    <row r="1403" spans="1:8" ht="23.25" x14ac:dyDescent="0.25">
      <c r="A1403" s="225" t="str">
        <f>Database!A1418</f>
        <v/>
      </c>
      <c r="B1403" s="34">
        <f>Database!E1418</f>
        <v>0</v>
      </c>
      <c r="C1403" s="34">
        <f>Database!F1418</f>
        <v>0</v>
      </c>
      <c r="D1403" s="34">
        <f>Database!K1418</f>
        <v>0</v>
      </c>
      <c r="E1403" s="34">
        <f>Database!P1418</f>
        <v>0</v>
      </c>
      <c r="F1403" s="34">
        <f>Database!Q1418</f>
        <v>0</v>
      </c>
      <c r="G1403" s="462">
        <f>Database!R1418</f>
        <v>0</v>
      </c>
      <c r="H1403" s="35">
        <f>Database!N1418</f>
        <v>0</v>
      </c>
    </row>
    <row r="1404" spans="1:8" ht="23.25" x14ac:dyDescent="0.25">
      <c r="A1404" s="225" t="str">
        <f>Database!A1419</f>
        <v/>
      </c>
      <c r="B1404" s="34">
        <f>Database!E1419</f>
        <v>0</v>
      </c>
      <c r="C1404" s="34">
        <f>Database!F1419</f>
        <v>0</v>
      </c>
      <c r="D1404" s="34">
        <f>Database!K1419</f>
        <v>0</v>
      </c>
      <c r="E1404" s="34">
        <f>Database!P1419</f>
        <v>0</v>
      </c>
      <c r="F1404" s="34">
        <f>Database!Q1419</f>
        <v>0</v>
      </c>
      <c r="G1404" s="462">
        <f>Database!R1419</f>
        <v>0</v>
      </c>
      <c r="H1404" s="35">
        <f>Database!N1419</f>
        <v>0</v>
      </c>
    </row>
    <row r="1405" spans="1:8" ht="23.25" x14ac:dyDescent="0.25">
      <c r="A1405" s="225" t="str">
        <f>Database!A1420</f>
        <v/>
      </c>
      <c r="B1405" s="34">
        <f>Database!E1420</f>
        <v>0</v>
      </c>
      <c r="C1405" s="34">
        <f>Database!F1420</f>
        <v>0</v>
      </c>
      <c r="D1405" s="34">
        <f>Database!K1420</f>
        <v>0</v>
      </c>
      <c r="E1405" s="34">
        <f>Database!P1420</f>
        <v>0</v>
      </c>
      <c r="F1405" s="34">
        <f>Database!Q1420</f>
        <v>0</v>
      </c>
      <c r="G1405" s="462">
        <f>Database!R1420</f>
        <v>0</v>
      </c>
      <c r="H1405" s="35">
        <f>Database!N1420</f>
        <v>0</v>
      </c>
    </row>
    <row r="1406" spans="1:8" ht="23.25" x14ac:dyDescent="0.25">
      <c r="A1406" s="225" t="str">
        <f>Database!A1421</f>
        <v/>
      </c>
      <c r="B1406" s="34">
        <f>Database!E1421</f>
        <v>0</v>
      </c>
      <c r="C1406" s="34">
        <f>Database!F1421</f>
        <v>0</v>
      </c>
      <c r="D1406" s="34">
        <f>Database!K1421</f>
        <v>0</v>
      </c>
      <c r="E1406" s="34">
        <f>Database!P1421</f>
        <v>0</v>
      </c>
      <c r="F1406" s="34">
        <f>Database!Q1421</f>
        <v>0</v>
      </c>
      <c r="G1406" s="462">
        <f>Database!R1421</f>
        <v>0</v>
      </c>
      <c r="H1406" s="35">
        <f>Database!N1421</f>
        <v>0</v>
      </c>
    </row>
    <row r="1407" spans="1:8" ht="23.25" x14ac:dyDescent="0.25">
      <c r="A1407" s="225" t="str">
        <f>Database!A1422</f>
        <v/>
      </c>
      <c r="B1407" s="34">
        <f>Database!E1422</f>
        <v>0</v>
      </c>
      <c r="C1407" s="34">
        <f>Database!F1422</f>
        <v>0</v>
      </c>
      <c r="D1407" s="34">
        <f>Database!K1422</f>
        <v>0</v>
      </c>
      <c r="E1407" s="34">
        <f>Database!P1422</f>
        <v>0</v>
      </c>
      <c r="F1407" s="34">
        <f>Database!Q1422</f>
        <v>0</v>
      </c>
      <c r="G1407" s="462">
        <f>Database!R1422</f>
        <v>0</v>
      </c>
      <c r="H1407" s="35">
        <f>Database!N1422</f>
        <v>0</v>
      </c>
    </row>
    <row r="1408" spans="1:8" ht="23.25" x14ac:dyDescent="0.25">
      <c r="A1408" s="225">
        <f>Database!A1423</f>
        <v>0</v>
      </c>
      <c r="B1408" s="34">
        <f>Database!E1423</f>
        <v>0</v>
      </c>
      <c r="C1408" s="34">
        <f>Database!F1423</f>
        <v>0</v>
      </c>
      <c r="D1408" s="34">
        <f>Database!K1423</f>
        <v>0</v>
      </c>
      <c r="E1408" s="34">
        <f>Database!P1423</f>
        <v>0</v>
      </c>
      <c r="F1408" s="34">
        <f>Database!Q1423</f>
        <v>0</v>
      </c>
      <c r="G1408" s="462">
        <f>Database!R1423</f>
        <v>0</v>
      </c>
      <c r="H1408" s="35">
        <f>Database!N1423</f>
        <v>0</v>
      </c>
    </row>
    <row r="1409" spans="1:8" ht="23.25" x14ac:dyDescent="0.25">
      <c r="A1409" s="225">
        <f>Database!A1424</f>
        <v>0</v>
      </c>
      <c r="B1409" s="34">
        <f>Database!E1424</f>
        <v>0</v>
      </c>
      <c r="C1409" s="34">
        <f>Database!F1424</f>
        <v>0</v>
      </c>
      <c r="D1409" s="34">
        <f>Database!K1424</f>
        <v>0</v>
      </c>
      <c r="E1409" s="34">
        <f>Database!P1424</f>
        <v>0</v>
      </c>
      <c r="F1409" s="34">
        <f>Database!Q1424</f>
        <v>0</v>
      </c>
      <c r="G1409" s="462">
        <f>Database!R1424</f>
        <v>0</v>
      </c>
      <c r="H1409" s="35">
        <f>Database!N1424</f>
        <v>0</v>
      </c>
    </row>
    <row r="1410" spans="1:8" ht="23.25" x14ac:dyDescent="0.25">
      <c r="A1410" s="225">
        <f>Database!A1425</f>
        <v>0</v>
      </c>
      <c r="B1410" s="34">
        <f>Database!E1425</f>
        <v>0</v>
      </c>
      <c r="C1410" s="34">
        <f>Database!F1425</f>
        <v>0</v>
      </c>
      <c r="D1410" s="34">
        <f>Database!K1425</f>
        <v>0</v>
      </c>
      <c r="E1410" s="34">
        <f>Database!P1425</f>
        <v>0</v>
      </c>
      <c r="F1410" s="34">
        <f>Database!Q1425</f>
        <v>0</v>
      </c>
      <c r="G1410" s="462">
        <f>Database!R1425</f>
        <v>0</v>
      </c>
      <c r="H1410" s="35">
        <f>Database!N1425</f>
        <v>0</v>
      </c>
    </row>
    <row r="1411" spans="1:8" ht="23.25" x14ac:dyDescent="0.25">
      <c r="A1411" s="225">
        <f>Database!A1426</f>
        <v>0</v>
      </c>
      <c r="B1411" s="34">
        <f>Database!E1426</f>
        <v>0</v>
      </c>
      <c r="C1411" s="34">
        <f>Database!F1426</f>
        <v>0</v>
      </c>
      <c r="D1411" s="34">
        <f>Database!K1426</f>
        <v>0</v>
      </c>
      <c r="E1411" s="34">
        <f>Database!P1426</f>
        <v>0</v>
      </c>
      <c r="F1411" s="34">
        <f>Database!Q1426</f>
        <v>0</v>
      </c>
      <c r="G1411" s="462">
        <f>Database!R1426</f>
        <v>0</v>
      </c>
      <c r="H1411" s="35">
        <f>Database!N1426</f>
        <v>0</v>
      </c>
    </row>
    <row r="1412" spans="1:8" ht="23.25" x14ac:dyDescent="0.25">
      <c r="A1412" s="225">
        <f>Database!A1427</f>
        <v>0</v>
      </c>
      <c r="B1412" s="34">
        <f>Database!E1427</f>
        <v>0</v>
      </c>
      <c r="C1412" s="34">
        <f>Database!F1427</f>
        <v>0</v>
      </c>
      <c r="D1412" s="34">
        <f>Database!K1427</f>
        <v>0</v>
      </c>
      <c r="E1412" s="34">
        <f>Database!P1427</f>
        <v>0</v>
      </c>
      <c r="F1412" s="34">
        <f>Database!Q1427</f>
        <v>0</v>
      </c>
      <c r="G1412" s="462">
        <f>Database!R1427</f>
        <v>0</v>
      </c>
      <c r="H1412" s="35">
        <f>Database!N1427</f>
        <v>0</v>
      </c>
    </row>
    <row r="1413" spans="1:8" ht="23.25" x14ac:dyDescent="0.25">
      <c r="A1413" s="225">
        <f>Database!A1428</f>
        <v>0</v>
      </c>
      <c r="B1413" s="34">
        <f>Database!E1428</f>
        <v>0</v>
      </c>
      <c r="C1413" s="34">
        <f>Database!F1428</f>
        <v>0</v>
      </c>
      <c r="D1413" s="34">
        <f>Database!K1428</f>
        <v>0</v>
      </c>
      <c r="E1413" s="34">
        <f>Database!P1428</f>
        <v>0</v>
      </c>
      <c r="F1413" s="34">
        <f>Database!Q1428</f>
        <v>0</v>
      </c>
      <c r="G1413" s="462">
        <f>Database!R1428</f>
        <v>0</v>
      </c>
      <c r="H1413" s="35">
        <f>Database!N1428</f>
        <v>0</v>
      </c>
    </row>
    <row r="1414" spans="1:8" ht="23.25" x14ac:dyDescent="0.25">
      <c r="A1414" s="225">
        <f>Database!A1429</f>
        <v>0</v>
      </c>
      <c r="B1414" s="34">
        <f>Database!E1429</f>
        <v>0</v>
      </c>
      <c r="C1414" s="34">
        <f>Database!F1429</f>
        <v>0</v>
      </c>
      <c r="D1414" s="34">
        <f>Database!K1429</f>
        <v>0</v>
      </c>
      <c r="E1414" s="34">
        <f>Database!P1429</f>
        <v>0</v>
      </c>
      <c r="F1414" s="34">
        <f>Database!Q1429</f>
        <v>0</v>
      </c>
      <c r="G1414" s="462">
        <f>Database!R1429</f>
        <v>0</v>
      </c>
      <c r="H1414" s="35">
        <f>Database!N1429</f>
        <v>0</v>
      </c>
    </row>
    <row r="1415" spans="1:8" ht="23.25" x14ac:dyDescent="0.25">
      <c r="A1415" s="225">
        <f>Database!A1430</f>
        <v>0</v>
      </c>
      <c r="B1415" s="34">
        <f>Database!E1430</f>
        <v>0</v>
      </c>
      <c r="C1415" s="34">
        <f>Database!F1430</f>
        <v>0</v>
      </c>
      <c r="D1415" s="34">
        <f>Database!K1430</f>
        <v>0</v>
      </c>
      <c r="E1415" s="34">
        <f>Database!P1430</f>
        <v>0</v>
      </c>
      <c r="F1415" s="34">
        <f>Database!Q1430</f>
        <v>0</v>
      </c>
      <c r="G1415" s="462">
        <f>Database!R1430</f>
        <v>0</v>
      </c>
      <c r="H1415" s="35">
        <f>Database!N1430</f>
        <v>0</v>
      </c>
    </row>
    <row r="1416" spans="1:8" ht="23.25" x14ac:dyDescent="0.25">
      <c r="A1416" s="225">
        <f>Database!A1431</f>
        <v>0</v>
      </c>
      <c r="B1416" s="34">
        <f>Database!E1431</f>
        <v>0</v>
      </c>
      <c r="C1416" s="34">
        <f>Database!F1431</f>
        <v>0</v>
      </c>
      <c r="D1416" s="34">
        <f>Database!K1431</f>
        <v>0</v>
      </c>
      <c r="E1416" s="34">
        <f>Database!P1431</f>
        <v>0</v>
      </c>
      <c r="F1416" s="34">
        <f>Database!Q1431</f>
        <v>0</v>
      </c>
      <c r="G1416" s="462">
        <f>Database!R1431</f>
        <v>0</v>
      </c>
      <c r="H1416" s="35">
        <f>Database!N1431</f>
        <v>0</v>
      </c>
    </row>
    <row r="1417" spans="1:8" ht="23.25" x14ac:dyDescent="0.25">
      <c r="A1417" s="225">
        <f>Database!A1432</f>
        <v>0</v>
      </c>
      <c r="B1417" s="34">
        <f>Database!E1432</f>
        <v>0</v>
      </c>
      <c r="C1417" s="34">
        <f>Database!F1432</f>
        <v>0</v>
      </c>
      <c r="D1417" s="34">
        <f>Database!K1432</f>
        <v>0</v>
      </c>
      <c r="E1417" s="34">
        <f>Database!P1432</f>
        <v>0</v>
      </c>
      <c r="F1417" s="34">
        <f>Database!Q1432</f>
        <v>0</v>
      </c>
      <c r="G1417" s="462">
        <f>Database!R1432</f>
        <v>0</v>
      </c>
      <c r="H1417" s="35">
        <f>Database!N1432</f>
        <v>0</v>
      </c>
    </row>
    <row r="1418" spans="1:8" ht="23.25" x14ac:dyDescent="0.25">
      <c r="A1418" s="225">
        <f>Database!A1433</f>
        <v>0</v>
      </c>
      <c r="B1418" s="34">
        <f>Database!E1433</f>
        <v>0</v>
      </c>
      <c r="C1418" s="34">
        <f>Database!F1433</f>
        <v>0</v>
      </c>
      <c r="D1418" s="34">
        <f>Database!K1433</f>
        <v>0</v>
      </c>
      <c r="E1418" s="34">
        <f>Database!P1433</f>
        <v>0</v>
      </c>
      <c r="F1418" s="34">
        <f>Database!Q1433</f>
        <v>0</v>
      </c>
      <c r="G1418" s="462">
        <f>Database!R1433</f>
        <v>0</v>
      </c>
      <c r="H1418" s="35">
        <f>Database!N1433</f>
        <v>0</v>
      </c>
    </row>
    <row r="1419" spans="1:8" ht="23.25" x14ac:dyDescent="0.25">
      <c r="A1419" s="225">
        <f>Database!A1434</f>
        <v>0</v>
      </c>
      <c r="B1419" s="34">
        <f>Database!E1434</f>
        <v>0</v>
      </c>
      <c r="C1419" s="34">
        <f>Database!F1434</f>
        <v>0</v>
      </c>
      <c r="D1419" s="34">
        <f>Database!K1434</f>
        <v>0</v>
      </c>
      <c r="E1419" s="34">
        <f>Database!P1434</f>
        <v>0</v>
      </c>
      <c r="F1419" s="34">
        <f>Database!Q1434</f>
        <v>0</v>
      </c>
      <c r="G1419" s="462">
        <f>Database!R1434</f>
        <v>0</v>
      </c>
      <c r="H1419" s="35">
        <f>Database!N1434</f>
        <v>0</v>
      </c>
    </row>
    <row r="1420" spans="1:8" ht="23.25" x14ac:dyDescent="0.25">
      <c r="A1420" s="225">
        <f>Database!A1435</f>
        <v>0</v>
      </c>
      <c r="B1420" s="34">
        <f>Database!E1435</f>
        <v>0</v>
      </c>
      <c r="C1420" s="34">
        <f>Database!F1435</f>
        <v>0</v>
      </c>
      <c r="D1420" s="34">
        <f>Database!K1435</f>
        <v>0</v>
      </c>
      <c r="E1420" s="34">
        <f>Database!P1435</f>
        <v>0</v>
      </c>
      <c r="F1420" s="34">
        <f>Database!Q1435</f>
        <v>0</v>
      </c>
      <c r="G1420" s="462">
        <f>Database!R1435</f>
        <v>0</v>
      </c>
      <c r="H1420" s="35">
        <f>Database!N1435</f>
        <v>0</v>
      </c>
    </row>
    <row r="1421" spans="1:8" ht="23.25" x14ac:dyDescent="0.25">
      <c r="A1421" s="225">
        <f>Database!A1436</f>
        <v>0</v>
      </c>
      <c r="B1421" s="34">
        <f>Database!E1436</f>
        <v>0</v>
      </c>
      <c r="C1421" s="34">
        <f>Database!F1436</f>
        <v>0</v>
      </c>
      <c r="D1421" s="34">
        <f>Database!K1436</f>
        <v>0</v>
      </c>
      <c r="E1421" s="34">
        <f>Database!P1436</f>
        <v>0</v>
      </c>
      <c r="F1421" s="34">
        <f>Database!Q1436</f>
        <v>0</v>
      </c>
      <c r="G1421" s="462">
        <f>Database!R1436</f>
        <v>0</v>
      </c>
      <c r="H1421" s="35">
        <f>Database!N1436</f>
        <v>0</v>
      </c>
    </row>
    <row r="1422" spans="1:8" ht="23.25" x14ac:dyDescent="0.25">
      <c r="A1422" s="225">
        <f>Database!A1437</f>
        <v>0</v>
      </c>
      <c r="B1422" s="34">
        <f>Database!E1437</f>
        <v>0</v>
      </c>
      <c r="C1422" s="34">
        <f>Database!F1437</f>
        <v>0</v>
      </c>
      <c r="D1422" s="34">
        <f>Database!K1437</f>
        <v>0</v>
      </c>
      <c r="E1422" s="34">
        <f>Database!P1437</f>
        <v>0</v>
      </c>
      <c r="F1422" s="34">
        <f>Database!Q1437</f>
        <v>0</v>
      </c>
      <c r="G1422" s="462">
        <f>Database!R1437</f>
        <v>0</v>
      </c>
      <c r="H1422" s="35">
        <f>Database!N1437</f>
        <v>0</v>
      </c>
    </row>
    <row r="1423" spans="1:8" ht="23.25" x14ac:dyDescent="0.25">
      <c r="A1423" s="225">
        <f>Database!A1438</f>
        <v>0</v>
      </c>
      <c r="B1423" s="34">
        <f>Database!E1438</f>
        <v>0</v>
      </c>
      <c r="C1423" s="34">
        <f>Database!F1438</f>
        <v>0</v>
      </c>
      <c r="D1423" s="34">
        <f>Database!K1438</f>
        <v>0</v>
      </c>
      <c r="E1423" s="34">
        <f>Database!P1438</f>
        <v>0</v>
      </c>
      <c r="F1423" s="34">
        <f>Database!Q1438</f>
        <v>0</v>
      </c>
      <c r="G1423" s="462">
        <f>Database!R1438</f>
        <v>0</v>
      </c>
      <c r="H1423" s="35">
        <f>Database!N1438</f>
        <v>0</v>
      </c>
    </row>
    <row r="1424" spans="1:8" ht="23.25" x14ac:dyDescent="0.25">
      <c r="A1424" s="225">
        <f>Database!A1439</f>
        <v>0</v>
      </c>
      <c r="B1424" s="34">
        <f>Database!E1439</f>
        <v>0</v>
      </c>
      <c r="C1424" s="34">
        <f>Database!F1439</f>
        <v>0</v>
      </c>
      <c r="D1424" s="34">
        <f>Database!K1439</f>
        <v>0</v>
      </c>
      <c r="E1424" s="34">
        <f>Database!P1439</f>
        <v>0</v>
      </c>
      <c r="F1424" s="34">
        <f>Database!Q1439</f>
        <v>0</v>
      </c>
      <c r="G1424" s="462">
        <f>Database!R1439</f>
        <v>0</v>
      </c>
      <c r="H1424" s="35">
        <f>Database!N1439</f>
        <v>0</v>
      </c>
    </row>
    <row r="1425" spans="1:8" ht="23.25" x14ac:dyDescent="0.25">
      <c r="A1425" s="225">
        <f>Database!A1440</f>
        <v>0</v>
      </c>
      <c r="B1425" s="34">
        <f>Database!E1440</f>
        <v>0</v>
      </c>
      <c r="C1425" s="34">
        <f>Database!F1440</f>
        <v>0</v>
      </c>
      <c r="D1425" s="34">
        <f>Database!K1440</f>
        <v>0</v>
      </c>
      <c r="E1425" s="34">
        <f>Database!P1440</f>
        <v>0</v>
      </c>
      <c r="F1425" s="34">
        <f>Database!Q1440</f>
        <v>0</v>
      </c>
      <c r="G1425" s="462">
        <f>Database!R1440</f>
        <v>0</v>
      </c>
      <c r="H1425" s="35">
        <f>Database!N1440</f>
        <v>0</v>
      </c>
    </row>
    <row r="1426" spans="1:8" ht="23.25" x14ac:dyDescent="0.25">
      <c r="A1426" s="225">
        <f>Database!A1441</f>
        <v>0</v>
      </c>
      <c r="B1426" s="34">
        <f>Database!E1441</f>
        <v>0</v>
      </c>
      <c r="C1426" s="34">
        <f>Database!F1441</f>
        <v>0</v>
      </c>
      <c r="D1426" s="34">
        <f>Database!K1441</f>
        <v>0</v>
      </c>
      <c r="E1426" s="34">
        <f>Database!P1441</f>
        <v>0</v>
      </c>
      <c r="F1426" s="34">
        <f>Database!Q1441</f>
        <v>0</v>
      </c>
      <c r="G1426" s="462">
        <f>Database!R1441</f>
        <v>0</v>
      </c>
      <c r="H1426" s="35">
        <f>Database!N1441</f>
        <v>0</v>
      </c>
    </row>
    <row r="1427" spans="1:8" ht="23.25" x14ac:dyDescent="0.25">
      <c r="A1427" s="225">
        <f>Database!A1442</f>
        <v>0</v>
      </c>
      <c r="B1427" s="34">
        <f>Database!E1442</f>
        <v>0</v>
      </c>
      <c r="C1427" s="34">
        <f>Database!F1442</f>
        <v>0</v>
      </c>
      <c r="D1427" s="34">
        <f>Database!K1442</f>
        <v>0</v>
      </c>
      <c r="E1427" s="34">
        <f>Database!P1442</f>
        <v>0</v>
      </c>
      <c r="F1427" s="34">
        <f>Database!Q1442</f>
        <v>0</v>
      </c>
      <c r="G1427" s="462">
        <f>Database!R1442</f>
        <v>0</v>
      </c>
      <c r="H1427" s="35">
        <f>Database!N1442</f>
        <v>0</v>
      </c>
    </row>
    <row r="1428" spans="1:8" ht="23.25" x14ac:dyDescent="0.25">
      <c r="A1428" s="225">
        <f>Database!A1443</f>
        <v>0</v>
      </c>
      <c r="B1428" s="34">
        <f>Database!E1443</f>
        <v>0</v>
      </c>
      <c r="C1428" s="34">
        <f>Database!F1443</f>
        <v>0</v>
      </c>
      <c r="D1428" s="34">
        <f>Database!K1443</f>
        <v>0</v>
      </c>
      <c r="E1428" s="34">
        <f>Database!P1443</f>
        <v>0</v>
      </c>
      <c r="F1428" s="34">
        <f>Database!Q1443</f>
        <v>0</v>
      </c>
      <c r="G1428" s="462">
        <f>Database!R1443</f>
        <v>0</v>
      </c>
      <c r="H1428" s="35">
        <f>Database!N1443</f>
        <v>0</v>
      </c>
    </row>
    <row r="1429" spans="1:8" ht="23.25" x14ac:dyDescent="0.25">
      <c r="A1429" s="225">
        <f>Database!A1444</f>
        <v>0</v>
      </c>
      <c r="B1429" s="34">
        <f>Database!E1444</f>
        <v>0</v>
      </c>
      <c r="C1429" s="34">
        <f>Database!F1444</f>
        <v>0</v>
      </c>
      <c r="D1429" s="34">
        <f>Database!K1444</f>
        <v>0</v>
      </c>
      <c r="E1429" s="34">
        <f>Database!P1444</f>
        <v>0</v>
      </c>
      <c r="F1429" s="34">
        <f>Database!Q1444</f>
        <v>0</v>
      </c>
      <c r="G1429" s="462">
        <f>Database!R1444</f>
        <v>0</v>
      </c>
      <c r="H1429" s="35">
        <f>Database!N1444</f>
        <v>0</v>
      </c>
    </row>
    <row r="1430" spans="1:8" ht="23.25" x14ac:dyDescent="0.25">
      <c r="A1430" s="225">
        <f>Database!A1445</f>
        <v>0</v>
      </c>
      <c r="B1430" s="34">
        <f>Database!E1445</f>
        <v>0</v>
      </c>
      <c r="C1430" s="34">
        <f>Database!F1445</f>
        <v>0</v>
      </c>
      <c r="D1430" s="34">
        <f>Database!K1445</f>
        <v>0</v>
      </c>
      <c r="E1430" s="34">
        <f>Database!P1445</f>
        <v>0</v>
      </c>
      <c r="F1430" s="34">
        <f>Database!Q1445</f>
        <v>0</v>
      </c>
      <c r="G1430" s="462">
        <f>Database!R1445</f>
        <v>0</v>
      </c>
      <c r="H1430" s="35">
        <f>Database!N1445</f>
        <v>0</v>
      </c>
    </row>
    <row r="1431" spans="1:8" ht="23.25" x14ac:dyDescent="0.25">
      <c r="A1431" s="225">
        <f>Database!A1446</f>
        <v>0</v>
      </c>
      <c r="B1431" s="34">
        <f>Database!E1446</f>
        <v>0</v>
      </c>
      <c r="C1431" s="34">
        <f>Database!F1446</f>
        <v>0</v>
      </c>
      <c r="D1431" s="34">
        <f>Database!K1446</f>
        <v>0</v>
      </c>
      <c r="E1431" s="34">
        <f>Database!P1446</f>
        <v>0</v>
      </c>
      <c r="F1431" s="34">
        <f>Database!Q1446</f>
        <v>0</v>
      </c>
      <c r="G1431" s="462">
        <f>Database!R1446</f>
        <v>0</v>
      </c>
      <c r="H1431" s="35">
        <f>Database!N1446</f>
        <v>0</v>
      </c>
    </row>
    <row r="1432" spans="1:8" ht="23.25" x14ac:dyDescent="0.25">
      <c r="A1432" s="225">
        <f>Database!A1447</f>
        <v>0</v>
      </c>
      <c r="B1432" s="34">
        <f>Database!E1447</f>
        <v>0</v>
      </c>
      <c r="C1432" s="34">
        <f>Database!F1447</f>
        <v>0</v>
      </c>
      <c r="D1432" s="34">
        <f>Database!K1447</f>
        <v>0</v>
      </c>
      <c r="E1432" s="34">
        <f>Database!P1447</f>
        <v>0</v>
      </c>
      <c r="F1432" s="34">
        <f>Database!Q1447</f>
        <v>0</v>
      </c>
      <c r="G1432" s="462">
        <f>Database!R1447</f>
        <v>0</v>
      </c>
      <c r="H1432" s="35">
        <f>Database!N1447</f>
        <v>0</v>
      </c>
    </row>
    <row r="1433" spans="1:8" ht="23.25" x14ac:dyDescent="0.25">
      <c r="A1433" s="225">
        <f>Database!A1448</f>
        <v>0</v>
      </c>
      <c r="B1433" s="34">
        <f>Database!E1448</f>
        <v>0</v>
      </c>
      <c r="C1433" s="34">
        <f>Database!F1448</f>
        <v>0</v>
      </c>
      <c r="D1433" s="34">
        <f>Database!K1448</f>
        <v>0</v>
      </c>
      <c r="E1433" s="34">
        <f>Database!P1448</f>
        <v>0</v>
      </c>
      <c r="F1433" s="34">
        <f>Database!Q1448</f>
        <v>0</v>
      </c>
      <c r="G1433" s="462">
        <f>Database!R1448</f>
        <v>0</v>
      </c>
      <c r="H1433" s="35">
        <f>Database!N1448</f>
        <v>0</v>
      </c>
    </row>
    <row r="1434" spans="1:8" ht="23.25" x14ac:dyDescent="0.25">
      <c r="A1434" s="225">
        <f>Database!A1449</f>
        <v>0</v>
      </c>
      <c r="B1434" s="34">
        <f>Database!E1449</f>
        <v>0</v>
      </c>
      <c r="C1434" s="34">
        <f>Database!F1449</f>
        <v>0</v>
      </c>
      <c r="D1434" s="34">
        <f>Database!K1449</f>
        <v>0</v>
      </c>
      <c r="E1434" s="34">
        <f>Database!P1449</f>
        <v>0</v>
      </c>
      <c r="F1434" s="34">
        <f>Database!Q1449</f>
        <v>0</v>
      </c>
      <c r="G1434" s="462">
        <f>Database!R1449</f>
        <v>0</v>
      </c>
      <c r="H1434" s="35">
        <f>Database!N1449</f>
        <v>0</v>
      </c>
    </row>
    <row r="1435" spans="1:8" ht="23.25" x14ac:dyDescent="0.25">
      <c r="A1435" s="225">
        <f>Database!A1450</f>
        <v>0</v>
      </c>
      <c r="B1435" s="34">
        <f>Database!E1450</f>
        <v>0</v>
      </c>
      <c r="C1435" s="34">
        <f>Database!F1450</f>
        <v>0</v>
      </c>
      <c r="D1435" s="34">
        <f>Database!K1450</f>
        <v>0</v>
      </c>
      <c r="E1435" s="34">
        <f>Database!P1450</f>
        <v>0</v>
      </c>
      <c r="F1435" s="34">
        <f>Database!Q1450</f>
        <v>0</v>
      </c>
      <c r="G1435" s="462">
        <f>Database!R1450</f>
        <v>0</v>
      </c>
      <c r="H1435" s="35">
        <f>Database!N1450</f>
        <v>0</v>
      </c>
    </row>
    <row r="1436" spans="1:8" ht="23.25" x14ac:dyDescent="0.25">
      <c r="A1436" s="225">
        <f>Database!A1451</f>
        <v>0</v>
      </c>
      <c r="B1436" s="34">
        <f>Database!E1451</f>
        <v>0</v>
      </c>
      <c r="C1436" s="34">
        <f>Database!F1451</f>
        <v>0</v>
      </c>
      <c r="D1436" s="34">
        <f>Database!K1451</f>
        <v>0</v>
      </c>
      <c r="E1436" s="34">
        <f>Database!P1451</f>
        <v>0</v>
      </c>
      <c r="F1436" s="34">
        <f>Database!Q1451</f>
        <v>0</v>
      </c>
      <c r="G1436" s="462">
        <f>Database!R1451</f>
        <v>0</v>
      </c>
      <c r="H1436" s="35">
        <f>Database!N1451</f>
        <v>0</v>
      </c>
    </row>
    <row r="1437" spans="1:8" ht="23.25" x14ac:dyDescent="0.25">
      <c r="A1437" s="225">
        <f>Database!A1452</f>
        <v>0</v>
      </c>
      <c r="B1437" s="34">
        <f>Database!E1452</f>
        <v>0</v>
      </c>
      <c r="C1437" s="34">
        <f>Database!F1452</f>
        <v>0</v>
      </c>
      <c r="D1437" s="34">
        <f>Database!K1452</f>
        <v>0</v>
      </c>
      <c r="E1437" s="34">
        <f>Database!P1452</f>
        <v>0</v>
      </c>
      <c r="F1437" s="34">
        <f>Database!Q1452</f>
        <v>0</v>
      </c>
      <c r="G1437" s="462">
        <f>Database!R1452</f>
        <v>0</v>
      </c>
      <c r="H1437" s="35">
        <f>Database!N1452</f>
        <v>0</v>
      </c>
    </row>
    <row r="1438" spans="1:8" ht="23.25" x14ac:dyDescent="0.25">
      <c r="A1438" s="225">
        <f>Database!A1453</f>
        <v>0</v>
      </c>
      <c r="B1438" s="34">
        <f>Database!E1453</f>
        <v>0</v>
      </c>
      <c r="C1438" s="34">
        <f>Database!F1453</f>
        <v>0</v>
      </c>
      <c r="D1438" s="34">
        <f>Database!K1453</f>
        <v>0</v>
      </c>
      <c r="E1438" s="34">
        <f>Database!P1453</f>
        <v>0</v>
      </c>
      <c r="F1438" s="34">
        <f>Database!Q1453</f>
        <v>0</v>
      </c>
      <c r="G1438" s="462">
        <f>Database!R1453</f>
        <v>0</v>
      </c>
      <c r="H1438" s="35">
        <f>Database!N1453</f>
        <v>0</v>
      </c>
    </row>
    <row r="1439" spans="1:8" ht="23.25" x14ac:dyDescent="0.25">
      <c r="A1439" s="225">
        <f>Database!A1454</f>
        <v>0</v>
      </c>
      <c r="B1439" s="34">
        <f>Database!E1454</f>
        <v>0</v>
      </c>
      <c r="C1439" s="34">
        <f>Database!F1454</f>
        <v>0</v>
      </c>
      <c r="D1439" s="34">
        <f>Database!K1454</f>
        <v>0</v>
      </c>
      <c r="E1439" s="34">
        <f>Database!P1454</f>
        <v>0</v>
      </c>
      <c r="F1439" s="34">
        <f>Database!Q1454</f>
        <v>0</v>
      </c>
      <c r="G1439" s="462">
        <f>Database!R1454</f>
        <v>0</v>
      </c>
      <c r="H1439" s="35">
        <f>Database!N1454</f>
        <v>0</v>
      </c>
    </row>
    <row r="1440" spans="1:8" ht="23.25" x14ac:dyDescent="0.25">
      <c r="A1440" s="225">
        <f>Database!A1455</f>
        <v>0</v>
      </c>
      <c r="B1440" s="34">
        <f>Database!E1455</f>
        <v>0</v>
      </c>
      <c r="C1440" s="34">
        <f>Database!F1455</f>
        <v>0</v>
      </c>
      <c r="D1440" s="34">
        <f>Database!K1455</f>
        <v>0</v>
      </c>
      <c r="E1440" s="34">
        <f>Database!P1455</f>
        <v>0</v>
      </c>
      <c r="F1440" s="34">
        <f>Database!Q1455</f>
        <v>0</v>
      </c>
      <c r="G1440" s="462">
        <f>Database!R1455</f>
        <v>0</v>
      </c>
      <c r="H1440" s="35">
        <f>Database!N1455</f>
        <v>0</v>
      </c>
    </row>
    <row r="1441" spans="1:8" ht="23.25" x14ac:dyDescent="0.25">
      <c r="A1441" s="225">
        <f>Database!A1456</f>
        <v>0</v>
      </c>
      <c r="B1441" s="34">
        <f>Database!E1456</f>
        <v>0</v>
      </c>
      <c r="C1441" s="34">
        <f>Database!F1456</f>
        <v>0</v>
      </c>
      <c r="D1441" s="34">
        <f>Database!K1456</f>
        <v>0</v>
      </c>
      <c r="E1441" s="34">
        <f>Database!P1456</f>
        <v>0</v>
      </c>
      <c r="F1441" s="34">
        <f>Database!Q1456</f>
        <v>0</v>
      </c>
      <c r="G1441" s="462">
        <f>Database!R1456</f>
        <v>0</v>
      </c>
      <c r="H1441" s="35">
        <f>Database!N1456</f>
        <v>0</v>
      </c>
    </row>
    <row r="1442" spans="1:8" ht="23.25" x14ac:dyDescent="0.25">
      <c r="A1442" s="225">
        <f>Database!A1457</f>
        <v>0</v>
      </c>
      <c r="B1442" s="34">
        <f>Database!E1457</f>
        <v>0</v>
      </c>
      <c r="C1442" s="34">
        <f>Database!F1457</f>
        <v>0</v>
      </c>
      <c r="D1442" s="34">
        <f>Database!K1457</f>
        <v>0</v>
      </c>
      <c r="E1442" s="34">
        <f>Database!P1457</f>
        <v>0</v>
      </c>
      <c r="F1442" s="34">
        <f>Database!Q1457</f>
        <v>0</v>
      </c>
      <c r="G1442" s="462">
        <f>Database!R1457</f>
        <v>0</v>
      </c>
      <c r="H1442" s="35">
        <f>Database!N1457</f>
        <v>0</v>
      </c>
    </row>
    <row r="1443" spans="1:8" ht="23.25" x14ac:dyDescent="0.25">
      <c r="A1443" s="225">
        <f>Database!A1458</f>
        <v>0</v>
      </c>
      <c r="B1443" s="34">
        <f>Database!E1458</f>
        <v>0</v>
      </c>
      <c r="C1443" s="34">
        <f>Database!F1458</f>
        <v>0</v>
      </c>
      <c r="D1443" s="34">
        <f>Database!K1458</f>
        <v>0</v>
      </c>
      <c r="E1443" s="34">
        <f>Database!P1458</f>
        <v>0</v>
      </c>
      <c r="F1443" s="34">
        <f>Database!Q1458</f>
        <v>0</v>
      </c>
      <c r="G1443" s="462">
        <f>Database!R1458</f>
        <v>0</v>
      </c>
      <c r="H1443" s="35">
        <f>Database!N1458</f>
        <v>0</v>
      </c>
    </row>
    <row r="1444" spans="1:8" ht="23.25" x14ac:dyDescent="0.25">
      <c r="A1444" s="225">
        <f>Database!A1459</f>
        <v>0</v>
      </c>
      <c r="B1444" s="34">
        <f>Database!E1459</f>
        <v>0</v>
      </c>
      <c r="C1444" s="34">
        <f>Database!F1459</f>
        <v>0</v>
      </c>
      <c r="D1444" s="34">
        <f>Database!K1459</f>
        <v>0</v>
      </c>
      <c r="E1444" s="34">
        <f>Database!P1459</f>
        <v>0</v>
      </c>
      <c r="F1444" s="34">
        <f>Database!Q1459</f>
        <v>0</v>
      </c>
      <c r="G1444" s="462">
        <f>Database!R1459</f>
        <v>0</v>
      </c>
      <c r="H1444" s="35">
        <f>Database!N1459</f>
        <v>0</v>
      </c>
    </row>
    <row r="1445" spans="1:8" ht="23.25" x14ac:dyDescent="0.25">
      <c r="A1445" s="225">
        <f>Database!A1460</f>
        <v>0</v>
      </c>
      <c r="B1445" s="34">
        <f>Database!E1460</f>
        <v>0</v>
      </c>
      <c r="C1445" s="34">
        <f>Database!F1460</f>
        <v>0</v>
      </c>
      <c r="D1445" s="34">
        <f>Database!K1460</f>
        <v>0</v>
      </c>
      <c r="E1445" s="34">
        <f>Database!P1460</f>
        <v>0</v>
      </c>
      <c r="F1445" s="34">
        <f>Database!Q1460</f>
        <v>0</v>
      </c>
      <c r="G1445" s="462">
        <f>Database!R1460</f>
        <v>0</v>
      </c>
      <c r="H1445" s="35">
        <f>Database!N1460</f>
        <v>0</v>
      </c>
    </row>
    <row r="1446" spans="1:8" ht="23.25" x14ac:dyDescent="0.25">
      <c r="A1446" s="225">
        <f>Database!A1461</f>
        <v>0</v>
      </c>
      <c r="B1446" s="34">
        <f>Database!E1461</f>
        <v>0</v>
      </c>
      <c r="C1446" s="34">
        <f>Database!F1461</f>
        <v>0</v>
      </c>
      <c r="D1446" s="34">
        <f>Database!K1461</f>
        <v>0</v>
      </c>
      <c r="E1446" s="34">
        <f>Database!P1461</f>
        <v>0</v>
      </c>
      <c r="F1446" s="34">
        <f>Database!Q1461</f>
        <v>0</v>
      </c>
      <c r="G1446" s="462">
        <f>Database!R1461</f>
        <v>0</v>
      </c>
      <c r="H1446" s="35">
        <f>Database!N1461</f>
        <v>0</v>
      </c>
    </row>
    <row r="1447" spans="1:8" ht="23.25" x14ac:dyDescent="0.25">
      <c r="A1447" s="225">
        <f>Database!A1462</f>
        <v>0</v>
      </c>
      <c r="B1447" s="34">
        <f>Database!E1462</f>
        <v>0</v>
      </c>
      <c r="C1447" s="34">
        <f>Database!F1462</f>
        <v>0</v>
      </c>
      <c r="D1447" s="34">
        <f>Database!K1462</f>
        <v>0</v>
      </c>
      <c r="E1447" s="34">
        <f>Database!P1462</f>
        <v>0</v>
      </c>
      <c r="F1447" s="34">
        <f>Database!Q1462</f>
        <v>0</v>
      </c>
      <c r="G1447" s="462">
        <f>Database!R1462</f>
        <v>0</v>
      </c>
      <c r="H1447" s="35">
        <f>Database!N1462</f>
        <v>0</v>
      </c>
    </row>
    <row r="1448" spans="1:8" ht="23.25" x14ac:dyDescent="0.25">
      <c r="A1448" s="225">
        <f>Database!A1463</f>
        <v>0</v>
      </c>
      <c r="B1448" s="34">
        <f>Database!E1463</f>
        <v>0</v>
      </c>
      <c r="C1448" s="34">
        <f>Database!F1463</f>
        <v>0</v>
      </c>
      <c r="D1448" s="34">
        <f>Database!K1463</f>
        <v>0</v>
      </c>
      <c r="E1448" s="34">
        <f>Database!P1463</f>
        <v>0</v>
      </c>
      <c r="F1448" s="34">
        <f>Database!Q1463</f>
        <v>0</v>
      </c>
      <c r="G1448" s="462">
        <f>Database!R1463</f>
        <v>0</v>
      </c>
      <c r="H1448" s="35">
        <f>Database!N1463</f>
        <v>0</v>
      </c>
    </row>
    <row r="1449" spans="1:8" ht="23.25" x14ac:dyDescent="0.25">
      <c r="A1449" s="225">
        <f>Database!A1464</f>
        <v>0</v>
      </c>
      <c r="B1449" s="34">
        <f>Database!E1464</f>
        <v>0</v>
      </c>
      <c r="C1449" s="34">
        <f>Database!F1464</f>
        <v>0</v>
      </c>
      <c r="D1449" s="34">
        <f>Database!K1464</f>
        <v>0</v>
      </c>
      <c r="E1449" s="34">
        <f>Database!P1464</f>
        <v>0</v>
      </c>
      <c r="F1449" s="34">
        <f>Database!Q1464</f>
        <v>0</v>
      </c>
      <c r="G1449" s="462">
        <f>Database!R1464</f>
        <v>0</v>
      </c>
      <c r="H1449" s="35">
        <f>Database!N1464</f>
        <v>0</v>
      </c>
    </row>
    <row r="1450" spans="1:8" ht="23.25" x14ac:dyDescent="0.25">
      <c r="A1450" s="225">
        <f>Database!A1465</f>
        <v>0</v>
      </c>
      <c r="B1450" s="34">
        <f>Database!E1465</f>
        <v>0</v>
      </c>
      <c r="C1450" s="34">
        <f>Database!F1465</f>
        <v>0</v>
      </c>
      <c r="D1450" s="34">
        <f>Database!K1465</f>
        <v>0</v>
      </c>
      <c r="E1450" s="34">
        <f>Database!P1465</f>
        <v>0</v>
      </c>
      <c r="F1450" s="34">
        <f>Database!Q1465</f>
        <v>0</v>
      </c>
      <c r="G1450" s="462">
        <f>Database!R1465</f>
        <v>0</v>
      </c>
      <c r="H1450" s="35">
        <f>Database!N1465</f>
        <v>0</v>
      </c>
    </row>
    <row r="1451" spans="1:8" ht="23.25" x14ac:dyDescent="0.25">
      <c r="A1451" s="225">
        <f>Database!A1466</f>
        <v>0</v>
      </c>
      <c r="B1451" s="34">
        <f>Database!E1466</f>
        <v>0</v>
      </c>
      <c r="C1451" s="34">
        <f>Database!F1466</f>
        <v>0</v>
      </c>
      <c r="D1451" s="34">
        <f>Database!K1466</f>
        <v>0</v>
      </c>
      <c r="E1451" s="34">
        <f>Database!P1466</f>
        <v>0</v>
      </c>
      <c r="F1451" s="34">
        <f>Database!Q1466</f>
        <v>0</v>
      </c>
      <c r="G1451" s="462">
        <f>Database!R1466</f>
        <v>0</v>
      </c>
      <c r="H1451" s="35">
        <f>Database!N1466</f>
        <v>0</v>
      </c>
    </row>
    <row r="1452" spans="1:8" ht="23.25" x14ac:dyDescent="0.25">
      <c r="A1452" s="225">
        <f>Database!A1467</f>
        <v>0</v>
      </c>
      <c r="B1452" s="34">
        <f>Database!E1467</f>
        <v>0</v>
      </c>
      <c r="C1452" s="34">
        <f>Database!F1467</f>
        <v>0</v>
      </c>
      <c r="D1452" s="34">
        <f>Database!K1467</f>
        <v>0</v>
      </c>
      <c r="E1452" s="34">
        <f>Database!P1467</f>
        <v>0</v>
      </c>
      <c r="F1452" s="34">
        <f>Database!Q1467</f>
        <v>0</v>
      </c>
      <c r="G1452" s="462">
        <f>Database!R1467</f>
        <v>0</v>
      </c>
      <c r="H1452" s="35">
        <f>Database!N1467</f>
        <v>0</v>
      </c>
    </row>
    <row r="1453" spans="1:8" ht="23.25" x14ac:dyDescent="0.25">
      <c r="A1453" s="225">
        <f>Database!A1468</f>
        <v>0</v>
      </c>
      <c r="B1453" s="34">
        <f>Database!E1468</f>
        <v>0</v>
      </c>
      <c r="C1453" s="34">
        <f>Database!F1468</f>
        <v>0</v>
      </c>
      <c r="D1453" s="34">
        <f>Database!K1468</f>
        <v>0</v>
      </c>
      <c r="E1453" s="34">
        <f>Database!P1468</f>
        <v>0</v>
      </c>
      <c r="F1453" s="34">
        <f>Database!Q1468</f>
        <v>0</v>
      </c>
      <c r="G1453" s="462">
        <f>Database!R1468</f>
        <v>0</v>
      </c>
      <c r="H1453" s="35">
        <f>Database!N1468</f>
        <v>0</v>
      </c>
    </row>
    <row r="1454" spans="1:8" ht="23.25" x14ac:dyDescent="0.25">
      <c r="A1454" s="225">
        <f>Database!A1469</f>
        <v>0</v>
      </c>
      <c r="B1454" s="34">
        <f>Database!E1469</f>
        <v>0</v>
      </c>
      <c r="C1454" s="34">
        <f>Database!F1469</f>
        <v>0</v>
      </c>
      <c r="D1454" s="34">
        <f>Database!K1469</f>
        <v>0</v>
      </c>
      <c r="E1454" s="34">
        <f>Database!P1469</f>
        <v>0</v>
      </c>
      <c r="F1454" s="34">
        <f>Database!Q1469</f>
        <v>0</v>
      </c>
      <c r="G1454" s="462">
        <f>Database!R1469</f>
        <v>0</v>
      </c>
      <c r="H1454" s="35">
        <f>Database!N1469</f>
        <v>0</v>
      </c>
    </row>
    <row r="1455" spans="1:8" ht="23.25" x14ac:dyDescent="0.25">
      <c r="A1455" s="225">
        <f>Database!A1470</f>
        <v>0</v>
      </c>
      <c r="B1455" s="34">
        <f>Database!E1470</f>
        <v>0</v>
      </c>
      <c r="C1455" s="34">
        <f>Database!F1470</f>
        <v>0</v>
      </c>
      <c r="D1455" s="34">
        <f>Database!K1470</f>
        <v>0</v>
      </c>
      <c r="E1455" s="34">
        <f>Database!P1470</f>
        <v>0</v>
      </c>
      <c r="F1455" s="34">
        <f>Database!Q1470</f>
        <v>0</v>
      </c>
      <c r="G1455" s="462">
        <f>Database!R1470</f>
        <v>0</v>
      </c>
      <c r="H1455" s="35">
        <f>Database!N1470</f>
        <v>0</v>
      </c>
    </row>
    <row r="1456" spans="1:8" ht="23.25" x14ac:dyDescent="0.25">
      <c r="A1456" s="225">
        <f>Database!A1471</f>
        <v>0</v>
      </c>
      <c r="B1456" s="34">
        <f>Database!E1471</f>
        <v>0</v>
      </c>
      <c r="C1456" s="34">
        <f>Database!F1471</f>
        <v>0</v>
      </c>
      <c r="D1456" s="34">
        <f>Database!K1471</f>
        <v>0</v>
      </c>
      <c r="E1456" s="34">
        <f>Database!P1471</f>
        <v>0</v>
      </c>
      <c r="F1456" s="34">
        <f>Database!Q1471</f>
        <v>0</v>
      </c>
      <c r="G1456" s="462">
        <f>Database!R1471</f>
        <v>0</v>
      </c>
      <c r="H1456" s="35">
        <f>Database!N1471</f>
        <v>0</v>
      </c>
    </row>
    <row r="1457" spans="1:8" ht="23.25" x14ac:dyDescent="0.25">
      <c r="A1457" s="225">
        <f>Database!A1472</f>
        <v>0</v>
      </c>
      <c r="B1457" s="34">
        <f>Database!E1472</f>
        <v>0</v>
      </c>
      <c r="C1457" s="34">
        <f>Database!F1472</f>
        <v>0</v>
      </c>
      <c r="D1457" s="34">
        <f>Database!K1472</f>
        <v>0</v>
      </c>
      <c r="E1457" s="34">
        <f>Database!P1472</f>
        <v>0</v>
      </c>
      <c r="F1457" s="34">
        <f>Database!Q1472</f>
        <v>0</v>
      </c>
      <c r="G1457" s="462">
        <f>Database!R1472</f>
        <v>0</v>
      </c>
      <c r="H1457" s="35">
        <f>Database!N1472</f>
        <v>0</v>
      </c>
    </row>
    <row r="1458" spans="1:8" ht="23.25" x14ac:dyDescent="0.25">
      <c r="A1458" s="225">
        <f>Database!A1473</f>
        <v>0</v>
      </c>
      <c r="B1458" s="34">
        <f>Database!E1473</f>
        <v>0</v>
      </c>
      <c r="C1458" s="34">
        <f>Database!F1473</f>
        <v>0</v>
      </c>
      <c r="D1458" s="34">
        <f>Database!K1473</f>
        <v>0</v>
      </c>
      <c r="E1458" s="34">
        <f>Database!P1473</f>
        <v>0</v>
      </c>
      <c r="F1458" s="34">
        <f>Database!Q1473</f>
        <v>0</v>
      </c>
      <c r="G1458" s="462">
        <f>Database!R1473</f>
        <v>0</v>
      </c>
      <c r="H1458" s="35">
        <f>Database!N1473</f>
        <v>0</v>
      </c>
    </row>
    <row r="1459" spans="1:8" ht="23.25" x14ac:dyDescent="0.25">
      <c r="A1459" s="225">
        <f>Database!A1474</f>
        <v>0</v>
      </c>
      <c r="B1459" s="34">
        <f>Database!E1474</f>
        <v>0</v>
      </c>
      <c r="C1459" s="34">
        <f>Database!F1474</f>
        <v>0</v>
      </c>
      <c r="D1459" s="34">
        <f>Database!K1474</f>
        <v>0</v>
      </c>
      <c r="E1459" s="34">
        <f>Database!P1474</f>
        <v>0</v>
      </c>
      <c r="F1459" s="34">
        <f>Database!Q1474</f>
        <v>0</v>
      </c>
      <c r="G1459" s="462">
        <f>Database!R1474</f>
        <v>0</v>
      </c>
      <c r="H1459" s="35">
        <f>Database!N1474</f>
        <v>0</v>
      </c>
    </row>
    <row r="1460" spans="1:8" ht="23.25" x14ac:dyDescent="0.25">
      <c r="A1460" s="225">
        <f>Database!A1475</f>
        <v>0</v>
      </c>
      <c r="B1460" s="34">
        <f>Database!E1475</f>
        <v>0</v>
      </c>
      <c r="C1460" s="34">
        <f>Database!F1475</f>
        <v>0</v>
      </c>
      <c r="D1460" s="34">
        <f>Database!K1475</f>
        <v>0</v>
      </c>
      <c r="E1460" s="34">
        <f>Database!P1475</f>
        <v>0</v>
      </c>
      <c r="F1460" s="34">
        <f>Database!Q1475</f>
        <v>0</v>
      </c>
      <c r="G1460" s="462">
        <f>Database!R1475</f>
        <v>0</v>
      </c>
      <c r="H1460" s="35">
        <f>Database!N1475</f>
        <v>0</v>
      </c>
    </row>
    <row r="1461" spans="1:8" ht="23.25" x14ac:dyDescent="0.25">
      <c r="A1461" s="225">
        <f>Database!A1476</f>
        <v>0</v>
      </c>
      <c r="B1461" s="34">
        <f>Database!E1476</f>
        <v>0</v>
      </c>
      <c r="C1461" s="34">
        <f>Database!F1476</f>
        <v>0</v>
      </c>
      <c r="D1461" s="34">
        <f>Database!K1476</f>
        <v>0</v>
      </c>
      <c r="E1461" s="34">
        <f>Database!P1476</f>
        <v>0</v>
      </c>
      <c r="F1461" s="34">
        <f>Database!Q1476</f>
        <v>0</v>
      </c>
      <c r="G1461" s="462">
        <f>Database!R1476</f>
        <v>0</v>
      </c>
      <c r="H1461" s="35">
        <f>Database!N1476</f>
        <v>0</v>
      </c>
    </row>
    <row r="1462" spans="1:8" ht="23.25" x14ac:dyDescent="0.25">
      <c r="A1462" s="225">
        <f>Database!A1477</f>
        <v>0</v>
      </c>
      <c r="B1462" s="34">
        <f>Database!E1477</f>
        <v>0</v>
      </c>
      <c r="C1462" s="34">
        <f>Database!F1477</f>
        <v>0</v>
      </c>
      <c r="D1462" s="34">
        <f>Database!K1477</f>
        <v>0</v>
      </c>
      <c r="E1462" s="34">
        <f>Database!P1477</f>
        <v>0</v>
      </c>
      <c r="F1462" s="34">
        <f>Database!Q1477</f>
        <v>0</v>
      </c>
      <c r="G1462" s="462">
        <f>Database!R1477</f>
        <v>0</v>
      </c>
      <c r="H1462" s="35">
        <f>Database!N1477</f>
        <v>0</v>
      </c>
    </row>
    <row r="1463" spans="1:8" ht="23.25" x14ac:dyDescent="0.25">
      <c r="A1463" s="225">
        <f>Database!A1478</f>
        <v>0</v>
      </c>
      <c r="B1463" s="34">
        <f>Database!E1478</f>
        <v>0</v>
      </c>
      <c r="C1463" s="34">
        <f>Database!F1478</f>
        <v>0</v>
      </c>
      <c r="D1463" s="34">
        <f>Database!K1478</f>
        <v>0</v>
      </c>
      <c r="E1463" s="34">
        <f>Database!P1478</f>
        <v>0</v>
      </c>
      <c r="F1463" s="34">
        <f>Database!Q1478</f>
        <v>0</v>
      </c>
      <c r="G1463" s="462">
        <f>Database!R1478</f>
        <v>0</v>
      </c>
      <c r="H1463" s="35">
        <f>Database!N1478</f>
        <v>0</v>
      </c>
    </row>
    <row r="1464" spans="1:8" ht="23.25" x14ac:dyDescent="0.25">
      <c r="A1464" s="225">
        <f>Database!A1479</f>
        <v>0</v>
      </c>
      <c r="B1464" s="34">
        <f>Database!E1479</f>
        <v>0</v>
      </c>
      <c r="C1464" s="34">
        <f>Database!F1479</f>
        <v>0</v>
      </c>
      <c r="D1464" s="34">
        <f>Database!K1479</f>
        <v>0</v>
      </c>
      <c r="E1464" s="34">
        <f>Database!P1479</f>
        <v>0</v>
      </c>
      <c r="F1464" s="34">
        <f>Database!Q1479</f>
        <v>0</v>
      </c>
      <c r="G1464" s="462">
        <f>Database!R1479</f>
        <v>0</v>
      </c>
      <c r="H1464" s="35">
        <f>Database!N1479</f>
        <v>0</v>
      </c>
    </row>
    <row r="1465" spans="1:8" ht="23.25" x14ac:dyDescent="0.25">
      <c r="A1465" s="225">
        <f>Database!A1480</f>
        <v>0</v>
      </c>
      <c r="B1465" s="34">
        <f>Database!E1480</f>
        <v>0</v>
      </c>
      <c r="C1465" s="34">
        <f>Database!F1480</f>
        <v>0</v>
      </c>
      <c r="D1465" s="34">
        <f>Database!K1480</f>
        <v>0</v>
      </c>
      <c r="E1465" s="34">
        <f>Database!P1480</f>
        <v>0</v>
      </c>
      <c r="F1465" s="34">
        <f>Database!Q1480</f>
        <v>0</v>
      </c>
      <c r="G1465" s="462">
        <f>Database!R1480</f>
        <v>0</v>
      </c>
      <c r="H1465" s="35">
        <f>Database!N1480</f>
        <v>0</v>
      </c>
    </row>
    <row r="1466" spans="1:8" ht="23.25" x14ac:dyDescent="0.25">
      <c r="A1466" s="225">
        <f>Database!A1481</f>
        <v>0</v>
      </c>
      <c r="B1466" s="34">
        <f>Database!E1481</f>
        <v>0</v>
      </c>
      <c r="C1466" s="34">
        <f>Database!F1481</f>
        <v>0</v>
      </c>
      <c r="D1466" s="34">
        <f>Database!K1481</f>
        <v>0</v>
      </c>
      <c r="E1466" s="34">
        <f>Database!P1481</f>
        <v>0</v>
      </c>
      <c r="F1466" s="34">
        <f>Database!Q1481</f>
        <v>0</v>
      </c>
      <c r="G1466" s="462">
        <f>Database!R1481</f>
        <v>0</v>
      </c>
      <c r="H1466" s="35">
        <f>Database!N1481</f>
        <v>0</v>
      </c>
    </row>
    <row r="1467" spans="1:8" ht="23.25" x14ac:dyDescent="0.25">
      <c r="A1467" s="225">
        <f>Database!A1482</f>
        <v>0</v>
      </c>
      <c r="B1467" s="34">
        <f>Database!E1482</f>
        <v>0</v>
      </c>
      <c r="C1467" s="34">
        <f>Database!F1482</f>
        <v>0</v>
      </c>
      <c r="D1467" s="34">
        <f>Database!K1482</f>
        <v>0</v>
      </c>
      <c r="E1467" s="34">
        <f>Database!P1482</f>
        <v>0</v>
      </c>
      <c r="F1467" s="34">
        <f>Database!Q1482</f>
        <v>0</v>
      </c>
      <c r="G1467" s="462">
        <f>Database!R1482</f>
        <v>0</v>
      </c>
      <c r="H1467" s="35">
        <f>Database!N1482</f>
        <v>0</v>
      </c>
    </row>
    <row r="1468" spans="1:8" ht="23.25" x14ac:dyDescent="0.25">
      <c r="A1468" s="225">
        <f>Database!A1483</f>
        <v>0</v>
      </c>
      <c r="B1468" s="34">
        <f>Database!E1483</f>
        <v>0</v>
      </c>
      <c r="C1468" s="34">
        <f>Database!F1483</f>
        <v>0</v>
      </c>
      <c r="D1468" s="34">
        <f>Database!K1483</f>
        <v>0</v>
      </c>
      <c r="E1468" s="34">
        <f>Database!P1483</f>
        <v>0</v>
      </c>
      <c r="F1468" s="34">
        <f>Database!Q1483</f>
        <v>0</v>
      </c>
      <c r="G1468" s="462">
        <f>Database!R1483</f>
        <v>0</v>
      </c>
      <c r="H1468" s="35">
        <f>Database!N1483</f>
        <v>0</v>
      </c>
    </row>
    <row r="1469" spans="1:8" ht="23.25" x14ac:dyDescent="0.25">
      <c r="A1469" s="225">
        <f>Database!A1484</f>
        <v>0</v>
      </c>
      <c r="B1469" s="34">
        <f>Database!E1484</f>
        <v>0</v>
      </c>
      <c r="C1469" s="34">
        <f>Database!F1484</f>
        <v>0</v>
      </c>
      <c r="D1469" s="34">
        <f>Database!K1484</f>
        <v>0</v>
      </c>
      <c r="E1469" s="34">
        <f>Database!P1484</f>
        <v>0</v>
      </c>
      <c r="F1469" s="34">
        <f>Database!Q1484</f>
        <v>0</v>
      </c>
      <c r="G1469" s="462">
        <f>Database!R1484</f>
        <v>0</v>
      </c>
      <c r="H1469" s="35">
        <f>Database!N1484</f>
        <v>0</v>
      </c>
    </row>
    <row r="1470" spans="1:8" ht="23.25" x14ac:dyDescent="0.25">
      <c r="A1470" s="225">
        <f>Database!A1485</f>
        <v>0</v>
      </c>
      <c r="B1470" s="34">
        <f>Database!E1485</f>
        <v>0</v>
      </c>
      <c r="C1470" s="34">
        <f>Database!F1485</f>
        <v>0</v>
      </c>
      <c r="D1470" s="34">
        <f>Database!K1485</f>
        <v>0</v>
      </c>
      <c r="E1470" s="34">
        <f>Database!P1485</f>
        <v>0</v>
      </c>
      <c r="F1470" s="34">
        <f>Database!Q1485</f>
        <v>0</v>
      </c>
      <c r="G1470" s="462">
        <f>Database!R1485</f>
        <v>0</v>
      </c>
      <c r="H1470" s="35">
        <f>Database!N1485</f>
        <v>0</v>
      </c>
    </row>
    <row r="1471" spans="1:8" ht="23.25" x14ac:dyDescent="0.25">
      <c r="A1471" s="225">
        <f>Database!A1486</f>
        <v>0</v>
      </c>
      <c r="B1471" s="34">
        <f>Database!E1486</f>
        <v>0</v>
      </c>
      <c r="C1471" s="34">
        <f>Database!F1486</f>
        <v>0</v>
      </c>
      <c r="D1471" s="34">
        <f>Database!K1486</f>
        <v>0</v>
      </c>
      <c r="E1471" s="34">
        <f>Database!P1486</f>
        <v>0</v>
      </c>
      <c r="F1471" s="34">
        <f>Database!Q1486</f>
        <v>0</v>
      </c>
      <c r="G1471" s="462">
        <f>Database!R1486</f>
        <v>0</v>
      </c>
      <c r="H1471" s="35">
        <f>Database!N1486</f>
        <v>0</v>
      </c>
    </row>
    <row r="1472" spans="1:8" ht="23.25" x14ac:dyDescent="0.25">
      <c r="A1472" s="225">
        <f>Database!A1487</f>
        <v>0</v>
      </c>
      <c r="B1472" s="34">
        <f>Database!E1487</f>
        <v>0</v>
      </c>
      <c r="C1472" s="34">
        <f>Database!F1487</f>
        <v>0</v>
      </c>
      <c r="D1472" s="34">
        <f>Database!K1487</f>
        <v>0</v>
      </c>
      <c r="E1472" s="34">
        <f>Database!P1487</f>
        <v>0</v>
      </c>
      <c r="F1472" s="34">
        <f>Database!Q1487</f>
        <v>0</v>
      </c>
      <c r="G1472" s="462">
        <f>Database!R1487</f>
        <v>0</v>
      </c>
      <c r="H1472" s="35">
        <f>Database!N1487</f>
        <v>0</v>
      </c>
    </row>
    <row r="1473" spans="1:8" ht="23.25" x14ac:dyDescent="0.25">
      <c r="A1473" s="225">
        <f>Database!A1488</f>
        <v>0</v>
      </c>
      <c r="B1473" s="34">
        <f>Database!E1488</f>
        <v>0</v>
      </c>
      <c r="C1473" s="34">
        <f>Database!F1488</f>
        <v>0</v>
      </c>
      <c r="D1473" s="34">
        <f>Database!K1488</f>
        <v>0</v>
      </c>
      <c r="E1473" s="34">
        <f>Database!P1488</f>
        <v>0</v>
      </c>
      <c r="F1473" s="34">
        <f>Database!Q1488</f>
        <v>0</v>
      </c>
      <c r="G1473" s="462">
        <f>Database!R1488</f>
        <v>0</v>
      </c>
      <c r="H1473" s="35">
        <f>Database!N1488</f>
        <v>0</v>
      </c>
    </row>
    <row r="1474" spans="1:8" ht="23.25" x14ac:dyDescent="0.25">
      <c r="A1474" s="225">
        <f>Database!A1489</f>
        <v>0</v>
      </c>
      <c r="B1474" s="34">
        <f>Database!E1489</f>
        <v>0</v>
      </c>
      <c r="C1474" s="34">
        <f>Database!F1489</f>
        <v>0</v>
      </c>
      <c r="D1474" s="34">
        <f>Database!K1489</f>
        <v>0</v>
      </c>
      <c r="E1474" s="34">
        <f>Database!P1489</f>
        <v>0</v>
      </c>
      <c r="F1474" s="34">
        <f>Database!Q1489</f>
        <v>0</v>
      </c>
      <c r="G1474" s="462">
        <f>Database!R1489</f>
        <v>0</v>
      </c>
      <c r="H1474" s="35">
        <f>Database!N1489</f>
        <v>0</v>
      </c>
    </row>
    <row r="1475" spans="1:8" ht="23.25" x14ac:dyDescent="0.25">
      <c r="A1475" s="225">
        <f>Database!A1490</f>
        <v>0</v>
      </c>
      <c r="B1475" s="34">
        <f>Database!E1490</f>
        <v>0</v>
      </c>
      <c r="C1475" s="34">
        <f>Database!F1490</f>
        <v>0</v>
      </c>
      <c r="D1475" s="34">
        <f>Database!K1490</f>
        <v>0</v>
      </c>
      <c r="E1475" s="34">
        <f>Database!P1490</f>
        <v>0</v>
      </c>
      <c r="F1475" s="34">
        <f>Database!Q1490</f>
        <v>0</v>
      </c>
      <c r="G1475" s="462">
        <f>Database!R1490</f>
        <v>0</v>
      </c>
      <c r="H1475" s="35">
        <f>Database!N1490</f>
        <v>0</v>
      </c>
    </row>
    <row r="1476" spans="1:8" ht="23.25" x14ac:dyDescent="0.25">
      <c r="A1476" s="225">
        <f>Database!A1491</f>
        <v>0</v>
      </c>
      <c r="B1476" s="34">
        <f>Database!E1491</f>
        <v>0</v>
      </c>
      <c r="C1476" s="34">
        <f>Database!F1491</f>
        <v>0</v>
      </c>
      <c r="D1476" s="34">
        <f>Database!K1491</f>
        <v>0</v>
      </c>
      <c r="E1476" s="34">
        <f>Database!P1491</f>
        <v>0</v>
      </c>
      <c r="F1476" s="34">
        <f>Database!Q1491</f>
        <v>0</v>
      </c>
      <c r="G1476" s="462">
        <f>Database!R1491</f>
        <v>0</v>
      </c>
      <c r="H1476" s="35">
        <f>Database!N1491</f>
        <v>0</v>
      </c>
    </row>
    <row r="1477" spans="1:8" ht="23.25" x14ac:dyDescent="0.25">
      <c r="A1477" s="225">
        <f>Database!A1492</f>
        <v>0</v>
      </c>
      <c r="B1477" s="34">
        <f>Database!E1492</f>
        <v>0</v>
      </c>
      <c r="C1477" s="34">
        <f>Database!F1492</f>
        <v>0</v>
      </c>
      <c r="D1477" s="34">
        <f>Database!K1492</f>
        <v>0</v>
      </c>
      <c r="E1477" s="34">
        <f>Database!P1492</f>
        <v>0</v>
      </c>
      <c r="F1477" s="34">
        <f>Database!Q1492</f>
        <v>0</v>
      </c>
      <c r="G1477" s="462">
        <f>Database!R1492</f>
        <v>0</v>
      </c>
      <c r="H1477" s="35">
        <f>Database!N1492</f>
        <v>0</v>
      </c>
    </row>
    <row r="1478" spans="1:8" ht="23.25" x14ac:dyDescent="0.25">
      <c r="A1478" s="225">
        <f>Database!A1493</f>
        <v>0</v>
      </c>
      <c r="B1478" s="34">
        <f>Database!E1493</f>
        <v>0</v>
      </c>
      <c r="C1478" s="34">
        <f>Database!F1493</f>
        <v>0</v>
      </c>
      <c r="D1478" s="34">
        <f>Database!K1493</f>
        <v>0</v>
      </c>
      <c r="E1478" s="34">
        <f>Database!P1493</f>
        <v>0</v>
      </c>
      <c r="F1478" s="34">
        <f>Database!Q1493</f>
        <v>0</v>
      </c>
      <c r="G1478" s="462">
        <f>Database!R1493</f>
        <v>0</v>
      </c>
      <c r="H1478" s="35">
        <f>Database!N1493</f>
        <v>0</v>
      </c>
    </row>
    <row r="1479" spans="1:8" ht="23.25" x14ac:dyDescent="0.25">
      <c r="A1479" s="225">
        <f>Database!A1494</f>
        <v>0</v>
      </c>
      <c r="B1479" s="34">
        <f>Database!E1494</f>
        <v>0</v>
      </c>
      <c r="C1479" s="34">
        <f>Database!F1494</f>
        <v>0</v>
      </c>
      <c r="D1479" s="34">
        <f>Database!K1494</f>
        <v>0</v>
      </c>
      <c r="E1479" s="34">
        <f>Database!P1494</f>
        <v>0</v>
      </c>
      <c r="F1479" s="34">
        <f>Database!Q1494</f>
        <v>0</v>
      </c>
      <c r="G1479" s="462">
        <f>Database!R1494</f>
        <v>0</v>
      </c>
      <c r="H1479" s="35">
        <f>Database!N1494</f>
        <v>0</v>
      </c>
    </row>
    <row r="1480" spans="1:8" ht="23.25" x14ac:dyDescent="0.25">
      <c r="A1480" s="225">
        <f>Database!A1495</f>
        <v>0</v>
      </c>
      <c r="B1480" s="34">
        <f>Database!E1495</f>
        <v>0</v>
      </c>
      <c r="C1480" s="34">
        <f>Database!F1495</f>
        <v>0</v>
      </c>
      <c r="D1480" s="34">
        <f>Database!K1495</f>
        <v>0</v>
      </c>
      <c r="E1480" s="34">
        <f>Database!P1495</f>
        <v>0</v>
      </c>
      <c r="F1480" s="34">
        <f>Database!Q1495</f>
        <v>0</v>
      </c>
      <c r="G1480" s="462">
        <f>Database!R1495</f>
        <v>0</v>
      </c>
      <c r="H1480" s="35">
        <f>Database!N1495</f>
        <v>0</v>
      </c>
    </row>
    <row r="1481" spans="1:8" ht="23.25" x14ac:dyDescent="0.25">
      <c r="A1481" s="225">
        <f>Database!A1496</f>
        <v>0</v>
      </c>
      <c r="B1481" s="34">
        <f>Database!E1496</f>
        <v>0</v>
      </c>
      <c r="C1481" s="34">
        <f>Database!F1496</f>
        <v>0</v>
      </c>
      <c r="D1481" s="34">
        <f>Database!K1496</f>
        <v>0</v>
      </c>
      <c r="E1481" s="34">
        <f>Database!P1496</f>
        <v>0</v>
      </c>
      <c r="F1481" s="34">
        <f>Database!Q1496</f>
        <v>0</v>
      </c>
      <c r="G1481" s="462">
        <f>Database!R1496</f>
        <v>0</v>
      </c>
      <c r="H1481" s="35">
        <f>Database!N1496</f>
        <v>0</v>
      </c>
    </row>
    <row r="1482" spans="1:8" ht="23.25" x14ac:dyDescent="0.25">
      <c r="A1482" s="225">
        <f>Database!A1497</f>
        <v>0</v>
      </c>
      <c r="B1482" s="34">
        <f>Database!E1497</f>
        <v>0</v>
      </c>
      <c r="C1482" s="34">
        <f>Database!F1497</f>
        <v>0</v>
      </c>
      <c r="D1482" s="34">
        <f>Database!K1497</f>
        <v>0</v>
      </c>
      <c r="E1482" s="34">
        <f>Database!P1497</f>
        <v>0</v>
      </c>
      <c r="F1482" s="34">
        <f>Database!Q1497</f>
        <v>0</v>
      </c>
      <c r="G1482" s="462">
        <f>Database!R1497</f>
        <v>0</v>
      </c>
      <c r="H1482" s="35">
        <f>Database!N1497</f>
        <v>0</v>
      </c>
    </row>
    <row r="1483" spans="1:8" ht="23.25" x14ac:dyDescent="0.25">
      <c r="A1483" s="225">
        <f>Database!A1498</f>
        <v>0</v>
      </c>
      <c r="B1483" s="34">
        <f>Database!E1498</f>
        <v>0</v>
      </c>
      <c r="C1483" s="34">
        <f>Database!F1498</f>
        <v>0</v>
      </c>
      <c r="D1483" s="34">
        <f>Database!K1498</f>
        <v>0</v>
      </c>
      <c r="E1483" s="34">
        <f>Database!P1498</f>
        <v>0</v>
      </c>
      <c r="F1483" s="34">
        <f>Database!Q1498</f>
        <v>0</v>
      </c>
      <c r="G1483" s="462">
        <f>Database!R1498</f>
        <v>0</v>
      </c>
      <c r="H1483" s="35">
        <f>Database!N1498</f>
        <v>0</v>
      </c>
    </row>
    <row r="1484" spans="1:8" ht="23.25" x14ac:dyDescent="0.25">
      <c r="A1484" s="225">
        <f>Database!A1499</f>
        <v>0</v>
      </c>
      <c r="B1484" s="34">
        <f>Database!E1499</f>
        <v>0</v>
      </c>
      <c r="C1484" s="34">
        <f>Database!F1499</f>
        <v>0</v>
      </c>
      <c r="D1484" s="34">
        <f>Database!K1499</f>
        <v>0</v>
      </c>
      <c r="E1484" s="34">
        <f>Database!P1499</f>
        <v>0</v>
      </c>
      <c r="F1484" s="34">
        <f>Database!Q1499</f>
        <v>0</v>
      </c>
      <c r="G1484" s="462">
        <f>Database!R1499</f>
        <v>0</v>
      </c>
      <c r="H1484" s="35">
        <f>Database!N1499</f>
        <v>0</v>
      </c>
    </row>
    <row r="1485" spans="1:8" ht="23.25" x14ac:dyDescent="0.25">
      <c r="A1485" s="225">
        <f>Database!A1500</f>
        <v>0</v>
      </c>
      <c r="B1485" s="34">
        <f>Database!E1500</f>
        <v>0</v>
      </c>
      <c r="C1485" s="34">
        <f>Database!F1500</f>
        <v>0</v>
      </c>
      <c r="D1485" s="34">
        <f>Database!K1500</f>
        <v>0</v>
      </c>
      <c r="E1485" s="34">
        <f>Database!P1500</f>
        <v>0</v>
      </c>
      <c r="F1485" s="34">
        <f>Database!Q1500</f>
        <v>0</v>
      </c>
      <c r="G1485" s="462">
        <f>Database!R1500</f>
        <v>0</v>
      </c>
      <c r="H1485" s="35">
        <f>Database!N1500</f>
        <v>0</v>
      </c>
    </row>
    <row r="1486" spans="1:8" ht="23.25" x14ac:dyDescent="0.25">
      <c r="A1486" s="225">
        <f>Database!A1501</f>
        <v>0</v>
      </c>
      <c r="B1486" s="34">
        <f>Database!E1501</f>
        <v>0</v>
      </c>
      <c r="C1486" s="34">
        <f>Database!F1501</f>
        <v>0</v>
      </c>
      <c r="D1486" s="34">
        <f>Database!K1501</f>
        <v>0</v>
      </c>
      <c r="E1486" s="34">
        <f>Database!P1501</f>
        <v>0</v>
      </c>
      <c r="F1486" s="34">
        <f>Database!Q1501</f>
        <v>0</v>
      </c>
      <c r="G1486" s="462">
        <f>Database!R1501</f>
        <v>0</v>
      </c>
      <c r="H1486" s="35">
        <f>Database!N1501</f>
        <v>0</v>
      </c>
    </row>
    <row r="1487" spans="1:8" ht="23.25" x14ac:dyDescent="0.25">
      <c r="A1487" s="225">
        <f>Database!A1502</f>
        <v>0</v>
      </c>
      <c r="B1487" s="34">
        <f>Database!E1502</f>
        <v>0</v>
      </c>
      <c r="C1487" s="34">
        <f>Database!F1502</f>
        <v>0</v>
      </c>
      <c r="D1487" s="34">
        <f>Database!K1502</f>
        <v>0</v>
      </c>
      <c r="E1487" s="34">
        <f>Database!P1502</f>
        <v>0</v>
      </c>
      <c r="F1487" s="34">
        <f>Database!Q1502</f>
        <v>0</v>
      </c>
      <c r="G1487" s="462">
        <f>Database!R1502</f>
        <v>0</v>
      </c>
      <c r="H1487" s="35">
        <f>Database!N1502</f>
        <v>0</v>
      </c>
    </row>
    <row r="1488" spans="1:8" ht="23.25" x14ac:dyDescent="0.25">
      <c r="A1488" s="225">
        <f>Database!A1503</f>
        <v>0</v>
      </c>
      <c r="B1488" s="34">
        <f>Database!E1503</f>
        <v>0</v>
      </c>
      <c r="C1488" s="34">
        <f>Database!F1503</f>
        <v>0</v>
      </c>
      <c r="D1488" s="34">
        <f>Database!K1503</f>
        <v>0</v>
      </c>
      <c r="E1488" s="34">
        <f>Database!P1503</f>
        <v>0</v>
      </c>
      <c r="F1488" s="34">
        <f>Database!Q1503</f>
        <v>0</v>
      </c>
      <c r="G1488" s="462">
        <f>Database!R1503</f>
        <v>0</v>
      </c>
      <c r="H1488" s="35">
        <f>Database!N1503</f>
        <v>0</v>
      </c>
    </row>
    <row r="1489" spans="1:8" ht="23.25" x14ac:dyDescent="0.25">
      <c r="A1489" s="225">
        <f>Database!A1504</f>
        <v>0</v>
      </c>
      <c r="B1489" s="34">
        <f>Database!E1504</f>
        <v>0</v>
      </c>
      <c r="C1489" s="34">
        <f>Database!F1504</f>
        <v>0</v>
      </c>
      <c r="D1489" s="34">
        <f>Database!K1504</f>
        <v>0</v>
      </c>
      <c r="E1489" s="34">
        <f>Database!P1504</f>
        <v>0</v>
      </c>
      <c r="F1489" s="34">
        <f>Database!Q1504</f>
        <v>0</v>
      </c>
      <c r="G1489" s="462">
        <f>Database!R1504</f>
        <v>0</v>
      </c>
      <c r="H1489" s="35">
        <f>Database!N1504</f>
        <v>0</v>
      </c>
    </row>
    <row r="1490" spans="1:8" ht="23.25" x14ac:dyDescent="0.25">
      <c r="A1490" s="225">
        <f>Database!A1505</f>
        <v>0</v>
      </c>
      <c r="B1490" s="34">
        <f>Database!E1505</f>
        <v>0</v>
      </c>
      <c r="C1490" s="34">
        <f>Database!F1505</f>
        <v>0</v>
      </c>
      <c r="D1490" s="34">
        <f>Database!K1505</f>
        <v>0</v>
      </c>
      <c r="E1490" s="34">
        <f>Database!P1505</f>
        <v>0</v>
      </c>
      <c r="F1490" s="34">
        <f>Database!Q1505</f>
        <v>0</v>
      </c>
      <c r="G1490" s="462">
        <f>Database!R1505</f>
        <v>0</v>
      </c>
      <c r="H1490" s="35">
        <f>Database!N1505</f>
        <v>0</v>
      </c>
    </row>
    <row r="1491" spans="1:8" ht="23.25" x14ac:dyDescent="0.25">
      <c r="A1491" s="225">
        <f>Database!A1506</f>
        <v>0</v>
      </c>
      <c r="B1491" s="34">
        <f>Database!E1506</f>
        <v>0</v>
      </c>
      <c r="C1491" s="34">
        <f>Database!F1506</f>
        <v>0</v>
      </c>
      <c r="D1491" s="34">
        <f>Database!K1506</f>
        <v>0</v>
      </c>
      <c r="E1491" s="34">
        <f>Database!P1506</f>
        <v>0</v>
      </c>
      <c r="F1491" s="34">
        <f>Database!Q1506</f>
        <v>0</v>
      </c>
      <c r="G1491" s="462">
        <f>Database!R1506</f>
        <v>0</v>
      </c>
      <c r="H1491" s="35">
        <f>Database!N1506</f>
        <v>0</v>
      </c>
    </row>
    <row r="1492" spans="1:8" ht="23.25" x14ac:dyDescent="0.25">
      <c r="A1492" s="225">
        <f>Database!A1507</f>
        <v>0</v>
      </c>
      <c r="B1492" s="34">
        <f>Database!E1507</f>
        <v>0</v>
      </c>
      <c r="C1492" s="34">
        <f>Database!F1507</f>
        <v>0</v>
      </c>
      <c r="D1492" s="34">
        <f>Database!K1507</f>
        <v>0</v>
      </c>
      <c r="E1492" s="34">
        <f>Database!P1507</f>
        <v>0</v>
      </c>
      <c r="F1492" s="34">
        <f>Database!Q1507</f>
        <v>0</v>
      </c>
      <c r="G1492" s="462">
        <f>Database!R1507</f>
        <v>0</v>
      </c>
      <c r="H1492" s="35">
        <f>Database!N1507</f>
        <v>0</v>
      </c>
    </row>
    <row r="1493" spans="1:8" ht="23.25" x14ac:dyDescent="0.25">
      <c r="A1493" s="225">
        <f>Database!A1508</f>
        <v>0</v>
      </c>
      <c r="B1493" s="34">
        <f>Database!E1508</f>
        <v>0</v>
      </c>
      <c r="C1493" s="34">
        <f>Database!F1508</f>
        <v>0</v>
      </c>
      <c r="D1493" s="34">
        <f>Database!K1508</f>
        <v>0</v>
      </c>
      <c r="E1493" s="34">
        <f>Database!P1508</f>
        <v>0</v>
      </c>
      <c r="F1493" s="34">
        <f>Database!Q1508</f>
        <v>0</v>
      </c>
      <c r="G1493" s="462">
        <f>Database!R1508</f>
        <v>0</v>
      </c>
      <c r="H1493" s="35">
        <f>Database!N1508</f>
        <v>0</v>
      </c>
    </row>
    <row r="1494" spans="1:8" ht="23.25" x14ac:dyDescent="0.25">
      <c r="A1494" s="225">
        <f>Database!A1509</f>
        <v>0</v>
      </c>
      <c r="B1494" s="34">
        <f>Database!E1509</f>
        <v>0</v>
      </c>
      <c r="C1494" s="34">
        <f>Database!F1509</f>
        <v>0</v>
      </c>
      <c r="D1494" s="34">
        <f>Database!K1509</f>
        <v>0</v>
      </c>
      <c r="E1494" s="34">
        <f>Database!P1509</f>
        <v>0</v>
      </c>
      <c r="F1494" s="34">
        <f>Database!Q1509</f>
        <v>0</v>
      </c>
      <c r="G1494" s="462">
        <f>Database!R1509</f>
        <v>0</v>
      </c>
      <c r="H1494" s="35">
        <f>Database!N1509</f>
        <v>0</v>
      </c>
    </row>
    <row r="1495" spans="1:8" ht="23.25" x14ac:dyDescent="0.25">
      <c r="A1495" s="225">
        <f>Database!A1510</f>
        <v>0</v>
      </c>
      <c r="B1495" s="34">
        <f>Database!E1510</f>
        <v>0</v>
      </c>
      <c r="C1495" s="34">
        <f>Database!F1510</f>
        <v>0</v>
      </c>
      <c r="D1495" s="34">
        <f>Database!K1510</f>
        <v>0</v>
      </c>
      <c r="E1495" s="34">
        <f>Database!P1510</f>
        <v>0</v>
      </c>
      <c r="F1495" s="34">
        <f>Database!Q1510</f>
        <v>0</v>
      </c>
      <c r="G1495" s="462">
        <f>Database!R1510</f>
        <v>0</v>
      </c>
      <c r="H1495" s="35">
        <f>Database!N1510</f>
        <v>0</v>
      </c>
    </row>
    <row r="1496" spans="1:8" ht="23.25" x14ac:dyDescent="0.25">
      <c r="A1496" s="225">
        <f>Database!A1511</f>
        <v>0</v>
      </c>
      <c r="B1496" s="34">
        <f>Database!E1511</f>
        <v>0</v>
      </c>
      <c r="C1496" s="34">
        <f>Database!F1511</f>
        <v>0</v>
      </c>
      <c r="D1496" s="34">
        <f>Database!K1511</f>
        <v>0</v>
      </c>
      <c r="E1496" s="34">
        <f>Database!P1511</f>
        <v>0</v>
      </c>
      <c r="F1496" s="34">
        <f>Database!Q1511</f>
        <v>0</v>
      </c>
      <c r="G1496" s="462">
        <f>Database!R1511</f>
        <v>0</v>
      </c>
      <c r="H1496" s="35">
        <f>Database!N1511</f>
        <v>0</v>
      </c>
    </row>
    <row r="1497" spans="1:8" ht="23.25" x14ac:dyDescent="0.25">
      <c r="A1497" s="225">
        <f>Database!A1512</f>
        <v>0</v>
      </c>
      <c r="B1497" s="34">
        <f>Database!E1512</f>
        <v>0</v>
      </c>
      <c r="C1497" s="34">
        <f>Database!F1512</f>
        <v>0</v>
      </c>
      <c r="D1497" s="34">
        <f>Database!K1512</f>
        <v>0</v>
      </c>
      <c r="E1497" s="34">
        <f>Database!P1512</f>
        <v>0</v>
      </c>
      <c r="F1497" s="34">
        <f>Database!Q1512</f>
        <v>0</v>
      </c>
      <c r="G1497" s="462">
        <f>Database!R1512</f>
        <v>0</v>
      </c>
      <c r="H1497" s="35">
        <f>Database!N1512</f>
        <v>0</v>
      </c>
    </row>
    <row r="1498" spans="1:8" ht="23.25" x14ac:dyDescent="0.25">
      <c r="A1498" s="225">
        <f>Database!A1513</f>
        <v>0</v>
      </c>
      <c r="B1498" s="34">
        <f>Database!E1513</f>
        <v>0</v>
      </c>
      <c r="C1498" s="34">
        <f>Database!F1513</f>
        <v>0</v>
      </c>
      <c r="D1498" s="34">
        <f>Database!K1513</f>
        <v>0</v>
      </c>
      <c r="E1498" s="34">
        <f>Database!P1513</f>
        <v>0</v>
      </c>
      <c r="F1498" s="34">
        <f>Database!Q1513</f>
        <v>0</v>
      </c>
      <c r="G1498" s="462">
        <f>Database!R1513</f>
        <v>0</v>
      </c>
      <c r="H1498" s="35">
        <f>Database!N1513</f>
        <v>0</v>
      </c>
    </row>
    <row r="1499" spans="1:8" ht="23.25" x14ac:dyDescent="0.25">
      <c r="A1499" s="225">
        <f>Database!A1514</f>
        <v>0</v>
      </c>
      <c r="B1499" s="34">
        <f>Database!E1514</f>
        <v>0</v>
      </c>
      <c r="C1499" s="34">
        <f>Database!F1514</f>
        <v>0</v>
      </c>
      <c r="D1499" s="34">
        <f>Database!K1514</f>
        <v>0</v>
      </c>
      <c r="E1499" s="34">
        <f>Database!P1514</f>
        <v>0</v>
      </c>
      <c r="F1499" s="34">
        <f>Database!Q1514</f>
        <v>0</v>
      </c>
      <c r="G1499" s="462">
        <f>Database!R1514</f>
        <v>0</v>
      </c>
      <c r="H1499" s="35">
        <f>Database!N1514</f>
        <v>0</v>
      </c>
    </row>
    <row r="1500" spans="1:8" ht="23.25" x14ac:dyDescent="0.25">
      <c r="A1500" s="225">
        <f>Database!A1515</f>
        <v>0</v>
      </c>
      <c r="B1500" s="34">
        <f>Database!E1515</f>
        <v>0</v>
      </c>
      <c r="C1500" s="34">
        <f>Database!F1515</f>
        <v>0</v>
      </c>
      <c r="D1500" s="34">
        <f>Database!K1515</f>
        <v>0</v>
      </c>
      <c r="E1500" s="34">
        <f>Database!P1515</f>
        <v>0</v>
      </c>
      <c r="F1500" s="34">
        <f>Database!Q1515</f>
        <v>0</v>
      </c>
      <c r="G1500" s="462">
        <f>Database!R1515</f>
        <v>0</v>
      </c>
      <c r="H1500" s="35">
        <f>Database!N1515</f>
        <v>0</v>
      </c>
    </row>
    <row r="1501" spans="1:8" ht="23.25" x14ac:dyDescent="0.25">
      <c r="A1501" s="225">
        <f>Database!A1516</f>
        <v>0</v>
      </c>
      <c r="B1501" s="34">
        <f>Database!E1516</f>
        <v>0</v>
      </c>
      <c r="C1501" s="34">
        <f>Database!F1516</f>
        <v>0</v>
      </c>
      <c r="D1501" s="34">
        <f>Database!K1516</f>
        <v>0</v>
      </c>
      <c r="E1501" s="34">
        <f>Database!P1516</f>
        <v>0</v>
      </c>
      <c r="F1501" s="34">
        <f>Database!Q1516</f>
        <v>0</v>
      </c>
      <c r="G1501" s="462">
        <f>Database!R1516</f>
        <v>0</v>
      </c>
      <c r="H1501" s="35">
        <f>Database!N1516</f>
        <v>0</v>
      </c>
    </row>
    <row r="1502" spans="1:8" ht="23.25" x14ac:dyDescent="0.25">
      <c r="A1502" s="225">
        <f>Database!A1517</f>
        <v>0</v>
      </c>
      <c r="B1502" s="34">
        <f>Database!E1517</f>
        <v>0</v>
      </c>
      <c r="C1502" s="34">
        <f>Database!F1517</f>
        <v>0</v>
      </c>
      <c r="D1502" s="34">
        <f>Database!K1517</f>
        <v>0</v>
      </c>
      <c r="E1502" s="34">
        <f>Database!P1517</f>
        <v>0</v>
      </c>
      <c r="F1502" s="34">
        <f>Database!Q1517</f>
        <v>0</v>
      </c>
      <c r="G1502" s="462">
        <f>Database!R1517</f>
        <v>0</v>
      </c>
      <c r="H1502" s="35">
        <f>Database!N1517</f>
        <v>0</v>
      </c>
    </row>
    <row r="1503" spans="1:8" ht="23.25" x14ac:dyDescent="0.25">
      <c r="A1503" s="225">
        <f>Database!A1518</f>
        <v>0</v>
      </c>
      <c r="B1503" s="34">
        <f>Database!E1518</f>
        <v>0</v>
      </c>
      <c r="C1503" s="34">
        <f>Database!F1518</f>
        <v>0</v>
      </c>
      <c r="D1503" s="34">
        <f>Database!K1518</f>
        <v>0</v>
      </c>
      <c r="E1503" s="34">
        <f>Database!P1518</f>
        <v>0</v>
      </c>
      <c r="F1503" s="34">
        <f>Database!Q1518</f>
        <v>0</v>
      </c>
      <c r="G1503" s="462">
        <f>Database!R1518</f>
        <v>0</v>
      </c>
      <c r="H1503" s="35">
        <f>Database!N1518</f>
        <v>0</v>
      </c>
    </row>
    <row r="1504" spans="1:8" ht="23.25" x14ac:dyDescent="0.25">
      <c r="A1504" s="225">
        <f>Database!A1519</f>
        <v>0</v>
      </c>
      <c r="B1504" s="34">
        <f>Database!E1519</f>
        <v>0</v>
      </c>
      <c r="C1504" s="34">
        <f>Database!F1519</f>
        <v>0</v>
      </c>
      <c r="D1504" s="34">
        <f>Database!K1519</f>
        <v>0</v>
      </c>
      <c r="E1504" s="34">
        <f>Database!P1519</f>
        <v>0</v>
      </c>
      <c r="F1504" s="34">
        <f>Database!Q1519</f>
        <v>0</v>
      </c>
      <c r="G1504" s="462">
        <f>Database!R1519</f>
        <v>0</v>
      </c>
      <c r="H1504" s="35">
        <f>Database!N1519</f>
        <v>0</v>
      </c>
    </row>
    <row r="1505" spans="1:8" ht="23.25" x14ac:dyDescent="0.25">
      <c r="A1505" s="225">
        <f>Database!A1520</f>
        <v>0</v>
      </c>
      <c r="B1505" s="34">
        <f>Database!E1520</f>
        <v>0</v>
      </c>
      <c r="C1505" s="34">
        <f>Database!F1520</f>
        <v>0</v>
      </c>
      <c r="D1505" s="34">
        <f>Database!K1520</f>
        <v>0</v>
      </c>
      <c r="E1505" s="34">
        <f>Database!P1520</f>
        <v>0</v>
      </c>
      <c r="F1505" s="34">
        <f>Database!Q1520</f>
        <v>0</v>
      </c>
      <c r="G1505" s="462">
        <f>Database!R1520</f>
        <v>0</v>
      </c>
      <c r="H1505" s="35">
        <f>Database!N1520</f>
        <v>0</v>
      </c>
    </row>
    <row r="1506" spans="1:8" ht="23.25" x14ac:dyDescent="0.25">
      <c r="A1506" s="225">
        <f>Database!A1521</f>
        <v>0</v>
      </c>
      <c r="B1506" s="34">
        <f>Database!E1521</f>
        <v>0</v>
      </c>
      <c r="C1506" s="34">
        <f>Database!F1521</f>
        <v>0</v>
      </c>
      <c r="D1506" s="34">
        <f>Database!K1521</f>
        <v>0</v>
      </c>
      <c r="E1506" s="34">
        <f>Database!P1521</f>
        <v>0</v>
      </c>
      <c r="F1506" s="34">
        <f>Database!Q1521</f>
        <v>0</v>
      </c>
      <c r="G1506" s="462">
        <f>Database!R1521</f>
        <v>0</v>
      </c>
      <c r="H1506" s="35">
        <f>Database!N1521</f>
        <v>0</v>
      </c>
    </row>
    <row r="1507" spans="1:8" ht="23.25" x14ac:dyDescent="0.25">
      <c r="A1507" s="225">
        <f>Database!A1522</f>
        <v>0</v>
      </c>
      <c r="B1507" s="34">
        <f>Database!E1522</f>
        <v>0</v>
      </c>
      <c r="C1507" s="34">
        <f>Database!F1522</f>
        <v>0</v>
      </c>
      <c r="D1507" s="34">
        <f>Database!K1522</f>
        <v>0</v>
      </c>
      <c r="E1507" s="34">
        <f>Database!P1522</f>
        <v>0</v>
      </c>
      <c r="F1507" s="34">
        <f>Database!Q1522</f>
        <v>0</v>
      </c>
      <c r="G1507" s="462">
        <f>Database!R1522</f>
        <v>0</v>
      </c>
      <c r="H1507" s="35">
        <f>Database!N1522</f>
        <v>0</v>
      </c>
    </row>
    <row r="1508" spans="1:8" ht="23.25" x14ac:dyDescent="0.25">
      <c r="A1508" s="225">
        <f>Database!A1523</f>
        <v>0</v>
      </c>
      <c r="B1508" s="34">
        <f>Database!E1523</f>
        <v>0</v>
      </c>
      <c r="C1508" s="34">
        <f>Database!F1523</f>
        <v>0</v>
      </c>
      <c r="D1508" s="34">
        <f>Database!K1523</f>
        <v>0</v>
      </c>
      <c r="E1508" s="34">
        <f>Database!P1523</f>
        <v>0</v>
      </c>
      <c r="F1508" s="34">
        <f>Database!Q1523</f>
        <v>0</v>
      </c>
      <c r="G1508" s="462">
        <f>Database!R1523</f>
        <v>0</v>
      </c>
      <c r="H1508" s="35">
        <f>Database!N1523</f>
        <v>0</v>
      </c>
    </row>
    <row r="1509" spans="1:8" ht="23.25" x14ac:dyDescent="0.25">
      <c r="A1509" s="225">
        <f>Database!A1524</f>
        <v>0</v>
      </c>
      <c r="B1509" s="34">
        <f>Database!E1524</f>
        <v>0</v>
      </c>
      <c r="C1509" s="34">
        <f>Database!F1524</f>
        <v>0</v>
      </c>
      <c r="D1509" s="34">
        <f>Database!K1524</f>
        <v>0</v>
      </c>
      <c r="E1509" s="34">
        <f>Database!P1524</f>
        <v>0</v>
      </c>
      <c r="F1509" s="34">
        <f>Database!Q1524</f>
        <v>0</v>
      </c>
      <c r="G1509" s="462">
        <f>Database!R1524</f>
        <v>0</v>
      </c>
      <c r="H1509" s="35">
        <f>Database!N1524</f>
        <v>0</v>
      </c>
    </row>
    <row r="1510" spans="1:8" ht="23.25" x14ac:dyDescent="0.25">
      <c r="A1510" s="225">
        <f>Database!A1525</f>
        <v>0</v>
      </c>
      <c r="B1510" s="34">
        <f>Database!E1525</f>
        <v>0</v>
      </c>
      <c r="C1510" s="34">
        <f>Database!F1525</f>
        <v>0</v>
      </c>
      <c r="D1510" s="34">
        <f>Database!K1525</f>
        <v>0</v>
      </c>
      <c r="E1510" s="34">
        <f>Database!P1525</f>
        <v>0</v>
      </c>
      <c r="F1510" s="34">
        <f>Database!Q1525</f>
        <v>0</v>
      </c>
      <c r="G1510" s="462">
        <f>Database!R1525</f>
        <v>0</v>
      </c>
      <c r="H1510" s="35">
        <f>Database!N1525</f>
        <v>0</v>
      </c>
    </row>
    <row r="1511" spans="1:8" ht="23.25" x14ac:dyDescent="0.25">
      <c r="A1511" s="225">
        <f>Database!A1526</f>
        <v>0</v>
      </c>
      <c r="B1511" s="34">
        <f>Database!E1526</f>
        <v>0</v>
      </c>
      <c r="C1511" s="34">
        <f>Database!F1526</f>
        <v>0</v>
      </c>
      <c r="D1511" s="34">
        <f>Database!K1526</f>
        <v>0</v>
      </c>
      <c r="E1511" s="34">
        <f>Database!P1526</f>
        <v>0</v>
      </c>
      <c r="F1511" s="34">
        <f>Database!Q1526</f>
        <v>0</v>
      </c>
      <c r="G1511" s="462">
        <f>Database!R1526</f>
        <v>0</v>
      </c>
      <c r="H1511" s="35">
        <f>Database!N1526</f>
        <v>0</v>
      </c>
    </row>
    <row r="1512" spans="1:8" ht="23.25" x14ac:dyDescent="0.25">
      <c r="A1512" s="225">
        <f>Database!A1527</f>
        <v>0</v>
      </c>
      <c r="B1512" s="34">
        <f>Database!E1527</f>
        <v>0</v>
      </c>
      <c r="C1512" s="34">
        <f>Database!F1527</f>
        <v>0</v>
      </c>
      <c r="D1512" s="34">
        <f>Database!K1527</f>
        <v>0</v>
      </c>
      <c r="E1512" s="34">
        <f>Database!P1527</f>
        <v>0</v>
      </c>
      <c r="F1512" s="34">
        <f>Database!Q1527</f>
        <v>0</v>
      </c>
      <c r="G1512" s="462">
        <f>Database!R1527</f>
        <v>0</v>
      </c>
      <c r="H1512" s="35">
        <f>Database!N1527</f>
        <v>0</v>
      </c>
    </row>
    <row r="1513" spans="1:8" ht="23.25" x14ac:dyDescent="0.25">
      <c r="A1513" s="225">
        <f>Database!A1528</f>
        <v>0</v>
      </c>
      <c r="B1513" s="34">
        <f>Database!E1528</f>
        <v>0</v>
      </c>
      <c r="C1513" s="34">
        <f>Database!F1528</f>
        <v>0</v>
      </c>
      <c r="D1513" s="34">
        <f>Database!K1528</f>
        <v>0</v>
      </c>
      <c r="E1513" s="34">
        <f>Database!P1528</f>
        <v>0</v>
      </c>
      <c r="F1513" s="34">
        <f>Database!Q1528</f>
        <v>0</v>
      </c>
      <c r="G1513" s="462">
        <f>Database!R1528</f>
        <v>0</v>
      </c>
      <c r="H1513" s="35">
        <f>Database!N1528</f>
        <v>0</v>
      </c>
    </row>
    <row r="1514" spans="1:8" ht="23.25" x14ac:dyDescent="0.25">
      <c r="A1514" s="225">
        <f>Database!A1529</f>
        <v>0</v>
      </c>
      <c r="B1514" s="34">
        <f>Database!E1529</f>
        <v>0</v>
      </c>
      <c r="C1514" s="34">
        <f>Database!F1529</f>
        <v>0</v>
      </c>
      <c r="D1514" s="34">
        <f>Database!K1529</f>
        <v>0</v>
      </c>
      <c r="E1514" s="34">
        <f>Database!P1529</f>
        <v>0</v>
      </c>
      <c r="F1514" s="34">
        <f>Database!Q1529</f>
        <v>0</v>
      </c>
      <c r="G1514" s="462">
        <f>Database!R1529</f>
        <v>0</v>
      </c>
      <c r="H1514" s="35">
        <f>Database!N1529</f>
        <v>0</v>
      </c>
    </row>
    <row r="1515" spans="1:8" ht="23.25" x14ac:dyDescent="0.25">
      <c r="A1515" s="225">
        <f>Database!A1530</f>
        <v>0</v>
      </c>
      <c r="B1515" s="34">
        <f>Database!E1530</f>
        <v>0</v>
      </c>
      <c r="C1515" s="34">
        <f>Database!F1530</f>
        <v>0</v>
      </c>
      <c r="D1515" s="34">
        <f>Database!K1530</f>
        <v>0</v>
      </c>
      <c r="E1515" s="34">
        <f>Database!P1530</f>
        <v>0</v>
      </c>
      <c r="F1515" s="34">
        <f>Database!Q1530</f>
        <v>0</v>
      </c>
      <c r="G1515" s="462">
        <f>Database!R1530</f>
        <v>0</v>
      </c>
      <c r="H1515" s="35">
        <f>Database!N1530</f>
        <v>0</v>
      </c>
    </row>
    <row r="1516" spans="1:8" ht="23.25" x14ac:dyDescent="0.25">
      <c r="A1516" s="225">
        <f>Database!A1531</f>
        <v>0</v>
      </c>
      <c r="B1516" s="34">
        <f>Database!E1531</f>
        <v>0</v>
      </c>
      <c r="C1516" s="34">
        <f>Database!F1531</f>
        <v>0</v>
      </c>
      <c r="D1516" s="34">
        <f>Database!K1531</f>
        <v>0</v>
      </c>
      <c r="E1516" s="34">
        <f>Database!P1531</f>
        <v>0</v>
      </c>
      <c r="F1516" s="34">
        <f>Database!Q1531</f>
        <v>0</v>
      </c>
      <c r="G1516" s="462">
        <f>Database!R1531</f>
        <v>0</v>
      </c>
      <c r="H1516" s="35">
        <f>Database!N1531</f>
        <v>0</v>
      </c>
    </row>
    <row r="1517" spans="1:8" ht="23.25" x14ac:dyDescent="0.25">
      <c r="A1517" s="225">
        <f>Database!A1532</f>
        <v>0</v>
      </c>
      <c r="B1517" s="34">
        <f>Database!E1532</f>
        <v>0</v>
      </c>
      <c r="C1517" s="34">
        <f>Database!F1532</f>
        <v>0</v>
      </c>
      <c r="D1517" s="34">
        <f>Database!K1532</f>
        <v>0</v>
      </c>
      <c r="E1517" s="34">
        <f>Database!P1532</f>
        <v>0</v>
      </c>
      <c r="F1517" s="34">
        <f>Database!Q1532</f>
        <v>0</v>
      </c>
      <c r="G1517" s="462">
        <f>Database!R1532</f>
        <v>0</v>
      </c>
      <c r="H1517" s="35">
        <f>Database!N1532</f>
        <v>0</v>
      </c>
    </row>
    <row r="1518" spans="1:8" ht="23.25" x14ac:dyDescent="0.25">
      <c r="A1518" s="225">
        <f>Database!A1533</f>
        <v>0</v>
      </c>
      <c r="B1518" s="34">
        <f>Database!E1533</f>
        <v>0</v>
      </c>
      <c r="C1518" s="34">
        <f>Database!F1533</f>
        <v>0</v>
      </c>
      <c r="D1518" s="34">
        <f>Database!K1533</f>
        <v>0</v>
      </c>
      <c r="E1518" s="34">
        <f>Database!P1533</f>
        <v>0</v>
      </c>
      <c r="F1518" s="34">
        <f>Database!Q1533</f>
        <v>0</v>
      </c>
      <c r="G1518" s="462">
        <f>Database!R1533</f>
        <v>0</v>
      </c>
      <c r="H1518" s="35">
        <f>Database!N1533</f>
        <v>0</v>
      </c>
    </row>
    <row r="1519" spans="1:8" ht="23.25" x14ac:dyDescent="0.25">
      <c r="A1519" s="225">
        <f>Database!A1534</f>
        <v>0</v>
      </c>
      <c r="B1519" s="34">
        <f>Database!E1534</f>
        <v>0</v>
      </c>
      <c r="C1519" s="34">
        <f>Database!F1534</f>
        <v>0</v>
      </c>
      <c r="D1519" s="34">
        <f>Database!K1534</f>
        <v>0</v>
      </c>
      <c r="E1519" s="34">
        <f>Database!P1534</f>
        <v>0</v>
      </c>
      <c r="F1519" s="34">
        <f>Database!Q1534</f>
        <v>0</v>
      </c>
      <c r="G1519" s="462">
        <f>Database!R1534</f>
        <v>0</v>
      </c>
      <c r="H1519" s="35">
        <f>Database!N1534</f>
        <v>0</v>
      </c>
    </row>
    <row r="1520" spans="1:8" ht="23.25" x14ac:dyDescent="0.25">
      <c r="A1520" s="225">
        <f>Database!A1535</f>
        <v>0</v>
      </c>
      <c r="B1520" s="34">
        <f>Database!E1535</f>
        <v>0</v>
      </c>
      <c r="C1520" s="34">
        <f>Database!F1535</f>
        <v>0</v>
      </c>
      <c r="D1520" s="34">
        <f>Database!K1535</f>
        <v>0</v>
      </c>
      <c r="E1520" s="34">
        <f>Database!P1535</f>
        <v>0</v>
      </c>
      <c r="F1520" s="34">
        <f>Database!Q1535</f>
        <v>0</v>
      </c>
      <c r="G1520" s="462">
        <f>Database!R1535</f>
        <v>0</v>
      </c>
      <c r="H1520" s="35">
        <f>Database!N1535</f>
        <v>0</v>
      </c>
    </row>
    <row r="1521" spans="1:8" ht="23.25" x14ac:dyDescent="0.25">
      <c r="A1521" s="225">
        <f>Database!A1536</f>
        <v>0</v>
      </c>
      <c r="B1521" s="34">
        <f>Database!E1536</f>
        <v>0</v>
      </c>
      <c r="C1521" s="34">
        <f>Database!F1536</f>
        <v>0</v>
      </c>
      <c r="D1521" s="34">
        <f>Database!K1536</f>
        <v>0</v>
      </c>
      <c r="E1521" s="34">
        <f>Database!P1536</f>
        <v>0</v>
      </c>
      <c r="F1521" s="34">
        <f>Database!Q1536</f>
        <v>0</v>
      </c>
      <c r="G1521" s="462">
        <f>Database!R1536</f>
        <v>0</v>
      </c>
      <c r="H1521" s="35">
        <f>Database!N1536</f>
        <v>0</v>
      </c>
    </row>
    <row r="1522" spans="1:8" ht="23.25" x14ac:dyDescent="0.25">
      <c r="A1522" s="225">
        <f>Database!A1537</f>
        <v>0</v>
      </c>
      <c r="B1522" s="34">
        <f>Database!E1537</f>
        <v>0</v>
      </c>
      <c r="C1522" s="34">
        <f>Database!F1537</f>
        <v>0</v>
      </c>
      <c r="D1522" s="34">
        <f>Database!K1537</f>
        <v>0</v>
      </c>
      <c r="E1522" s="34">
        <f>Database!P1537</f>
        <v>0</v>
      </c>
      <c r="F1522" s="34">
        <f>Database!Q1537</f>
        <v>0</v>
      </c>
      <c r="G1522" s="462">
        <f>Database!R1537</f>
        <v>0</v>
      </c>
      <c r="H1522" s="35">
        <f>Database!N1537</f>
        <v>0</v>
      </c>
    </row>
    <row r="1523" spans="1:8" ht="23.25" x14ac:dyDescent="0.25">
      <c r="A1523" s="225">
        <f>Database!A1538</f>
        <v>0</v>
      </c>
      <c r="B1523" s="34">
        <f>Database!E1538</f>
        <v>0</v>
      </c>
      <c r="C1523" s="34">
        <f>Database!F1538</f>
        <v>0</v>
      </c>
      <c r="D1523" s="34">
        <f>Database!K1538</f>
        <v>0</v>
      </c>
      <c r="E1523" s="34">
        <f>Database!P1538</f>
        <v>0</v>
      </c>
      <c r="F1523" s="34">
        <f>Database!Q1538</f>
        <v>0</v>
      </c>
      <c r="G1523" s="462">
        <f>Database!R1538</f>
        <v>0</v>
      </c>
      <c r="H1523" s="35">
        <f>Database!N1538</f>
        <v>0</v>
      </c>
    </row>
    <row r="1524" spans="1:8" ht="23.25" x14ac:dyDescent="0.25">
      <c r="A1524" s="225">
        <f>Database!A1539</f>
        <v>0</v>
      </c>
      <c r="B1524" s="34">
        <f>Database!E1539</f>
        <v>0</v>
      </c>
      <c r="C1524" s="34">
        <f>Database!F1539</f>
        <v>0</v>
      </c>
      <c r="D1524" s="34">
        <f>Database!K1539</f>
        <v>0</v>
      </c>
      <c r="E1524" s="34">
        <f>Database!P1539</f>
        <v>0</v>
      </c>
      <c r="F1524" s="34">
        <f>Database!Q1539</f>
        <v>0</v>
      </c>
      <c r="G1524" s="462">
        <f>Database!R1539</f>
        <v>0</v>
      </c>
      <c r="H1524" s="35">
        <f>Database!N1539</f>
        <v>0</v>
      </c>
    </row>
    <row r="1525" spans="1:8" ht="23.25" x14ac:dyDescent="0.25">
      <c r="A1525" s="225">
        <f>Database!A1540</f>
        <v>0</v>
      </c>
      <c r="B1525" s="34">
        <f>Database!E1540</f>
        <v>0</v>
      </c>
      <c r="C1525" s="34">
        <f>Database!F1540</f>
        <v>0</v>
      </c>
      <c r="D1525" s="34">
        <f>Database!K1540</f>
        <v>0</v>
      </c>
      <c r="E1525" s="34">
        <f>Database!P1540</f>
        <v>0</v>
      </c>
      <c r="F1525" s="34">
        <f>Database!Q1540</f>
        <v>0</v>
      </c>
      <c r="G1525" s="462">
        <f>Database!R1540</f>
        <v>0</v>
      </c>
      <c r="H1525" s="35">
        <f>Database!N1540</f>
        <v>0</v>
      </c>
    </row>
    <row r="1526" spans="1:8" ht="23.25" x14ac:dyDescent="0.25">
      <c r="A1526" s="225">
        <f>Database!A1541</f>
        <v>0</v>
      </c>
      <c r="B1526" s="34">
        <f>Database!E1541</f>
        <v>0</v>
      </c>
      <c r="C1526" s="34">
        <f>Database!F1541</f>
        <v>0</v>
      </c>
      <c r="D1526" s="34">
        <f>Database!K1541</f>
        <v>0</v>
      </c>
      <c r="E1526" s="34">
        <f>Database!P1541</f>
        <v>0</v>
      </c>
      <c r="F1526" s="34">
        <f>Database!Q1541</f>
        <v>0</v>
      </c>
      <c r="G1526" s="462">
        <f>Database!R1541</f>
        <v>0</v>
      </c>
      <c r="H1526" s="35">
        <f>Database!N1541</f>
        <v>0</v>
      </c>
    </row>
    <row r="1527" spans="1:8" ht="23.25" x14ac:dyDescent="0.25">
      <c r="A1527" s="225">
        <f>Database!A1542</f>
        <v>0</v>
      </c>
      <c r="B1527" s="34">
        <f>Database!E1542</f>
        <v>0</v>
      </c>
      <c r="C1527" s="34">
        <f>Database!F1542</f>
        <v>0</v>
      </c>
      <c r="D1527" s="34">
        <f>Database!K1542</f>
        <v>0</v>
      </c>
      <c r="E1527" s="34">
        <f>Database!P1542</f>
        <v>0</v>
      </c>
      <c r="F1527" s="34">
        <f>Database!Q1542</f>
        <v>0</v>
      </c>
      <c r="G1527" s="462">
        <f>Database!R1542</f>
        <v>0</v>
      </c>
      <c r="H1527" s="35">
        <f>Database!N1542</f>
        <v>0</v>
      </c>
    </row>
    <row r="1528" spans="1:8" ht="23.25" x14ac:dyDescent="0.25">
      <c r="A1528" s="225">
        <f>Database!A1543</f>
        <v>0</v>
      </c>
      <c r="B1528" s="34">
        <f>Database!E1543</f>
        <v>0</v>
      </c>
      <c r="C1528" s="34">
        <f>Database!F1543</f>
        <v>0</v>
      </c>
      <c r="D1528" s="34">
        <f>Database!K1543</f>
        <v>0</v>
      </c>
      <c r="E1528" s="34">
        <f>Database!P1543</f>
        <v>0</v>
      </c>
      <c r="F1528" s="34">
        <f>Database!Q1543</f>
        <v>0</v>
      </c>
      <c r="G1528" s="462">
        <f>Database!R1543</f>
        <v>0</v>
      </c>
      <c r="H1528" s="35">
        <f>Database!N1543</f>
        <v>0</v>
      </c>
    </row>
    <row r="1529" spans="1:8" ht="23.25" x14ac:dyDescent="0.25">
      <c r="A1529" s="225">
        <f>Database!A1544</f>
        <v>0</v>
      </c>
      <c r="B1529" s="34">
        <f>Database!E1544</f>
        <v>0</v>
      </c>
      <c r="C1529" s="34">
        <f>Database!F1544</f>
        <v>0</v>
      </c>
      <c r="D1529" s="34">
        <f>Database!K1544</f>
        <v>0</v>
      </c>
      <c r="E1529" s="34">
        <f>Database!P1544</f>
        <v>0</v>
      </c>
      <c r="F1529" s="34">
        <f>Database!Q1544</f>
        <v>0</v>
      </c>
      <c r="G1529" s="462">
        <f>Database!R1544</f>
        <v>0</v>
      </c>
      <c r="H1529" s="35">
        <f>Database!N1544</f>
        <v>0</v>
      </c>
    </row>
    <row r="1530" spans="1:8" ht="23.25" x14ac:dyDescent="0.25">
      <c r="A1530" s="225">
        <f>Database!A1545</f>
        <v>0</v>
      </c>
      <c r="B1530" s="34">
        <f>Database!E1545</f>
        <v>0</v>
      </c>
      <c r="C1530" s="34">
        <f>Database!F1545</f>
        <v>0</v>
      </c>
      <c r="D1530" s="34">
        <f>Database!K1545</f>
        <v>0</v>
      </c>
      <c r="E1530" s="34">
        <f>Database!P1545</f>
        <v>0</v>
      </c>
      <c r="F1530" s="34">
        <f>Database!Q1545</f>
        <v>0</v>
      </c>
      <c r="G1530" s="462">
        <f>Database!R1545</f>
        <v>0</v>
      </c>
      <c r="H1530" s="35">
        <f>Database!N1545</f>
        <v>0</v>
      </c>
    </row>
    <row r="1531" spans="1:8" ht="23.25" x14ac:dyDescent="0.25">
      <c r="A1531" s="225">
        <f>Database!A1546</f>
        <v>0</v>
      </c>
      <c r="B1531" s="34">
        <f>Database!E1546</f>
        <v>0</v>
      </c>
      <c r="C1531" s="34">
        <f>Database!F1546</f>
        <v>0</v>
      </c>
      <c r="D1531" s="34">
        <f>Database!K1546</f>
        <v>0</v>
      </c>
      <c r="E1531" s="34">
        <f>Database!P1546</f>
        <v>0</v>
      </c>
      <c r="F1531" s="34">
        <f>Database!Q1546</f>
        <v>0</v>
      </c>
      <c r="G1531" s="462">
        <f>Database!R1546</f>
        <v>0</v>
      </c>
      <c r="H1531" s="35">
        <f>Database!N1546</f>
        <v>0</v>
      </c>
    </row>
    <row r="1532" spans="1:8" ht="23.25" x14ac:dyDescent="0.25">
      <c r="A1532" s="225">
        <f>Database!A1547</f>
        <v>0</v>
      </c>
      <c r="B1532" s="34">
        <f>Database!E1547</f>
        <v>0</v>
      </c>
      <c r="C1532" s="34">
        <f>Database!F1547</f>
        <v>0</v>
      </c>
      <c r="D1532" s="34">
        <f>Database!K1547</f>
        <v>0</v>
      </c>
      <c r="E1532" s="34">
        <f>Database!P1547</f>
        <v>0</v>
      </c>
      <c r="F1532" s="34">
        <f>Database!Q1547</f>
        <v>0</v>
      </c>
      <c r="G1532" s="462">
        <f>Database!R1547</f>
        <v>0</v>
      </c>
      <c r="H1532" s="35">
        <f>Database!N1547</f>
        <v>0</v>
      </c>
    </row>
    <row r="1533" spans="1:8" ht="23.25" x14ac:dyDescent="0.25">
      <c r="A1533" s="225">
        <f>Database!A1548</f>
        <v>0</v>
      </c>
      <c r="B1533" s="34">
        <f>Database!E1548</f>
        <v>0</v>
      </c>
      <c r="C1533" s="34">
        <f>Database!F1548</f>
        <v>0</v>
      </c>
      <c r="D1533" s="34">
        <f>Database!K1548</f>
        <v>0</v>
      </c>
      <c r="E1533" s="34">
        <f>Database!P1548</f>
        <v>0</v>
      </c>
      <c r="F1533" s="34">
        <f>Database!Q1548</f>
        <v>0</v>
      </c>
      <c r="G1533" s="462">
        <f>Database!R1548</f>
        <v>0</v>
      </c>
      <c r="H1533" s="35">
        <f>Database!N1548</f>
        <v>0</v>
      </c>
    </row>
    <row r="1534" spans="1:8" ht="23.25" x14ac:dyDescent="0.25">
      <c r="A1534" s="225">
        <f>Database!A1549</f>
        <v>0</v>
      </c>
      <c r="B1534" s="34">
        <f>Database!E1549</f>
        <v>0</v>
      </c>
      <c r="C1534" s="34">
        <f>Database!F1549</f>
        <v>0</v>
      </c>
      <c r="D1534" s="34">
        <f>Database!K1549</f>
        <v>0</v>
      </c>
      <c r="E1534" s="34">
        <f>Database!P1549</f>
        <v>0</v>
      </c>
      <c r="F1534" s="34">
        <f>Database!Q1549</f>
        <v>0</v>
      </c>
      <c r="G1534" s="462">
        <f>Database!R1549</f>
        <v>0</v>
      </c>
      <c r="H1534" s="35">
        <f>Database!N1549</f>
        <v>0</v>
      </c>
    </row>
    <row r="1535" spans="1:8" ht="23.25" x14ac:dyDescent="0.25">
      <c r="A1535" s="225">
        <f>Database!A1550</f>
        <v>0</v>
      </c>
      <c r="B1535" s="34">
        <f>Database!E1550</f>
        <v>0</v>
      </c>
      <c r="C1535" s="34">
        <f>Database!F1550</f>
        <v>0</v>
      </c>
      <c r="D1535" s="34">
        <f>Database!K1550</f>
        <v>0</v>
      </c>
      <c r="E1535" s="34">
        <f>Database!P1550</f>
        <v>0</v>
      </c>
      <c r="F1535" s="34">
        <f>Database!Q1550</f>
        <v>0</v>
      </c>
      <c r="G1535" s="462">
        <f>Database!R1550</f>
        <v>0</v>
      </c>
      <c r="H1535" s="35">
        <f>Database!N1550</f>
        <v>0</v>
      </c>
    </row>
    <row r="1536" spans="1:8" ht="23.25" x14ac:dyDescent="0.25">
      <c r="A1536" s="225">
        <f>Database!A1551</f>
        <v>0</v>
      </c>
      <c r="B1536" s="34">
        <f>Database!E1551</f>
        <v>0</v>
      </c>
      <c r="C1536" s="34">
        <f>Database!F1551</f>
        <v>0</v>
      </c>
      <c r="D1536" s="34">
        <f>Database!K1551</f>
        <v>0</v>
      </c>
      <c r="E1536" s="34">
        <f>Database!P1551</f>
        <v>0</v>
      </c>
      <c r="F1536" s="34">
        <f>Database!Q1551</f>
        <v>0</v>
      </c>
      <c r="G1536" s="462">
        <f>Database!R1551</f>
        <v>0</v>
      </c>
      <c r="H1536" s="35">
        <f>Database!N1551</f>
        <v>0</v>
      </c>
    </row>
    <row r="1537" spans="1:8" ht="23.25" x14ac:dyDescent="0.25">
      <c r="A1537" s="225">
        <f>Database!A1552</f>
        <v>0</v>
      </c>
      <c r="B1537" s="34">
        <f>Database!E1552</f>
        <v>0</v>
      </c>
      <c r="C1537" s="34">
        <f>Database!F1552</f>
        <v>0</v>
      </c>
      <c r="D1537" s="34">
        <f>Database!K1552</f>
        <v>0</v>
      </c>
      <c r="E1537" s="34">
        <f>Database!P1552</f>
        <v>0</v>
      </c>
      <c r="F1537" s="34">
        <f>Database!Q1552</f>
        <v>0</v>
      </c>
      <c r="G1537" s="462">
        <f>Database!R1552</f>
        <v>0</v>
      </c>
      <c r="H1537" s="35">
        <f>Database!N1552</f>
        <v>0</v>
      </c>
    </row>
    <row r="1538" spans="1:8" ht="23.25" x14ac:dyDescent="0.25">
      <c r="A1538" s="225">
        <f>Database!A1553</f>
        <v>0</v>
      </c>
      <c r="B1538" s="34">
        <f>Database!E1553</f>
        <v>0</v>
      </c>
      <c r="C1538" s="34">
        <f>Database!F1553</f>
        <v>0</v>
      </c>
      <c r="D1538" s="34">
        <f>Database!K1553</f>
        <v>0</v>
      </c>
      <c r="E1538" s="34">
        <f>Database!P1553</f>
        <v>0</v>
      </c>
      <c r="F1538" s="34">
        <f>Database!Q1553</f>
        <v>0</v>
      </c>
      <c r="G1538" s="462">
        <f>Database!R1553</f>
        <v>0</v>
      </c>
      <c r="H1538" s="35">
        <f>Database!N1553</f>
        <v>0</v>
      </c>
    </row>
    <row r="1539" spans="1:8" ht="23.25" x14ac:dyDescent="0.25">
      <c r="A1539" s="225">
        <f>Database!A1554</f>
        <v>0</v>
      </c>
      <c r="B1539" s="34">
        <f>Database!E1554</f>
        <v>0</v>
      </c>
      <c r="C1539" s="34">
        <f>Database!F1554</f>
        <v>0</v>
      </c>
      <c r="D1539" s="34">
        <f>Database!K1554</f>
        <v>0</v>
      </c>
      <c r="E1539" s="34">
        <f>Database!P1554</f>
        <v>0</v>
      </c>
      <c r="F1539" s="34">
        <f>Database!Q1554</f>
        <v>0</v>
      </c>
      <c r="G1539" s="462">
        <f>Database!R1554</f>
        <v>0</v>
      </c>
      <c r="H1539" s="35">
        <f>Database!N1554</f>
        <v>0</v>
      </c>
    </row>
    <row r="1540" spans="1:8" ht="23.25" x14ac:dyDescent="0.25">
      <c r="A1540" s="225">
        <f>Database!A1555</f>
        <v>0</v>
      </c>
      <c r="B1540" s="34">
        <f>Database!E1555</f>
        <v>0</v>
      </c>
      <c r="C1540" s="34">
        <f>Database!F1555</f>
        <v>0</v>
      </c>
      <c r="D1540" s="34">
        <f>Database!K1555</f>
        <v>0</v>
      </c>
      <c r="E1540" s="34">
        <f>Database!P1555</f>
        <v>0</v>
      </c>
      <c r="F1540" s="34">
        <f>Database!Q1555</f>
        <v>0</v>
      </c>
      <c r="G1540" s="462">
        <f>Database!R1555</f>
        <v>0</v>
      </c>
      <c r="H1540" s="35">
        <f>Database!N1555</f>
        <v>0</v>
      </c>
    </row>
    <row r="1541" spans="1:8" ht="23.25" x14ac:dyDescent="0.25">
      <c r="A1541" s="225">
        <f>Database!A1556</f>
        <v>0</v>
      </c>
      <c r="B1541" s="34">
        <f>Database!E1556</f>
        <v>0</v>
      </c>
      <c r="C1541" s="34">
        <f>Database!F1556</f>
        <v>0</v>
      </c>
      <c r="D1541" s="34">
        <f>Database!K1556</f>
        <v>0</v>
      </c>
      <c r="E1541" s="34">
        <f>Database!P1556</f>
        <v>0</v>
      </c>
      <c r="F1541" s="34">
        <f>Database!Q1556</f>
        <v>0</v>
      </c>
      <c r="G1541" s="462">
        <f>Database!R1556</f>
        <v>0</v>
      </c>
      <c r="H1541" s="35">
        <f>Database!N1556</f>
        <v>0</v>
      </c>
    </row>
    <row r="1542" spans="1:8" ht="23.25" x14ac:dyDescent="0.25">
      <c r="A1542" s="225">
        <f>Database!A1557</f>
        <v>0</v>
      </c>
      <c r="B1542" s="34">
        <f>Database!E1557</f>
        <v>0</v>
      </c>
      <c r="C1542" s="34">
        <f>Database!F1557</f>
        <v>0</v>
      </c>
      <c r="D1542" s="34">
        <f>Database!K1557</f>
        <v>0</v>
      </c>
      <c r="E1542" s="34">
        <f>Database!P1557</f>
        <v>0</v>
      </c>
      <c r="F1542" s="34">
        <f>Database!Q1557</f>
        <v>0</v>
      </c>
      <c r="G1542" s="462">
        <f>Database!R1557</f>
        <v>0</v>
      </c>
      <c r="H1542" s="35">
        <f>Database!N1557</f>
        <v>0</v>
      </c>
    </row>
    <row r="1543" spans="1:8" ht="23.25" x14ac:dyDescent="0.25">
      <c r="A1543" s="225">
        <f>Database!A1558</f>
        <v>0</v>
      </c>
      <c r="B1543" s="34">
        <f>Database!E1558</f>
        <v>0</v>
      </c>
      <c r="C1543" s="34">
        <f>Database!F1558</f>
        <v>0</v>
      </c>
      <c r="D1543" s="34">
        <f>Database!K1558</f>
        <v>0</v>
      </c>
      <c r="E1543" s="34">
        <f>Database!P1558</f>
        <v>0</v>
      </c>
      <c r="F1543" s="34">
        <f>Database!Q1558</f>
        <v>0</v>
      </c>
      <c r="G1543" s="462">
        <f>Database!R1558</f>
        <v>0</v>
      </c>
      <c r="H1543" s="35">
        <f>Database!N1558</f>
        <v>0</v>
      </c>
    </row>
    <row r="1544" spans="1:8" ht="23.25" x14ac:dyDescent="0.25">
      <c r="A1544" s="225">
        <f>Database!A1559</f>
        <v>0</v>
      </c>
      <c r="B1544" s="34">
        <f>Database!E1559</f>
        <v>0</v>
      </c>
      <c r="C1544" s="34">
        <f>Database!F1559</f>
        <v>0</v>
      </c>
      <c r="D1544" s="34">
        <f>Database!K1559</f>
        <v>0</v>
      </c>
      <c r="E1544" s="34">
        <f>Database!P1559</f>
        <v>0</v>
      </c>
      <c r="F1544" s="34">
        <f>Database!Q1559</f>
        <v>0</v>
      </c>
      <c r="G1544" s="462">
        <f>Database!R1559</f>
        <v>0</v>
      </c>
      <c r="H1544" s="35">
        <f>Database!N1559</f>
        <v>0</v>
      </c>
    </row>
    <row r="1545" spans="1:8" ht="23.25" x14ac:dyDescent="0.25">
      <c r="A1545" s="225">
        <f>Database!A1560</f>
        <v>0</v>
      </c>
      <c r="B1545" s="34">
        <f>Database!E1560</f>
        <v>0</v>
      </c>
      <c r="C1545" s="34">
        <f>Database!F1560</f>
        <v>0</v>
      </c>
      <c r="D1545" s="34">
        <f>Database!K1560</f>
        <v>0</v>
      </c>
      <c r="E1545" s="34">
        <f>Database!P1560</f>
        <v>0</v>
      </c>
      <c r="F1545" s="34">
        <f>Database!Q1560</f>
        <v>0</v>
      </c>
      <c r="G1545" s="462">
        <f>Database!R1560</f>
        <v>0</v>
      </c>
      <c r="H1545" s="35">
        <f>Database!N1560</f>
        <v>0</v>
      </c>
    </row>
    <row r="1546" spans="1:8" ht="23.25" x14ac:dyDescent="0.25">
      <c r="A1546" s="225">
        <f>Database!A1561</f>
        <v>0</v>
      </c>
      <c r="B1546" s="34">
        <f>Database!E1561</f>
        <v>0</v>
      </c>
      <c r="C1546" s="34">
        <f>Database!F1561</f>
        <v>0</v>
      </c>
      <c r="D1546" s="34">
        <f>Database!K1561</f>
        <v>0</v>
      </c>
      <c r="E1546" s="34">
        <f>Database!P1561</f>
        <v>0</v>
      </c>
      <c r="F1546" s="34">
        <f>Database!Q1561</f>
        <v>0</v>
      </c>
      <c r="G1546" s="462">
        <f>Database!R1561</f>
        <v>0</v>
      </c>
      <c r="H1546" s="35">
        <f>Database!N1561</f>
        <v>0</v>
      </c>
    </row>
    <row r="1547" spans="1:8" ht="23.25" x14ac:dyDescent="0.25">
      <c r="A1547" s="225">
        <f>Database!A1562</f>
        <v>0</v>
      </c>
      <c r="B1547" s="34">
        <f>Database!E1562</f>
        <v>0</v>
      </c>
      <c r="C1547" s="34">
        <f>Database!F1562</f>
        <v>0</v>
      </c>
      <c r="D1547" s="34">
        <f>Database!K1562</f>
        <v>0</v>
      </c>
      <c r="E1547" s="34">
        <f>Database!P1562</f>
        <v>0</v>
      </c>
      <c r="F1547" s="34">
        <f>Database!Q1562</f>
        <v>0</v>
      </c>
      <c r="G1547" s="462">
        <f>Database!R1562</f>
        <v>0</v>
      </c>
      <c r="H1547" s="35">
        <f>Database!N1562</f>
        <v>0</v>
      </c>
    </row>
    <row r="1548" spans="1:8" ht="23.25" x14ac:dyDescent="0.25">
      <c r="A1548" s="225">
        <f>Database!A1563</f>
        <v>0</v>
      </c>
      <c r="B1548" s="34">
        <f>Database!E1563</f>
        <v>0</v>
      </c>
      <c r="C1548" s="34">
        <f>Database!F1563</f>
        <v>0</v>
      </c>
      <c r="D1548" s="34">
        <f>Database!K1563</f>
        <v>0</v>
      </c>
      <c r="E1548" s="34">
        <f>Database!P1563</f>
        <v>0</v>
      </c>
      <c r="F1548" s="34">
        <f>Database!Q1563</f>
        <v>0</v>
      </c>
      <c r="G1548" s="462">
        <f>Database!R1563</f>
        <v>0</v>
      </c>
      <c r="H1548" s="35">
        <f>Database!N1563</f>
        <v>0</v>
      </c>
    </row>
    <row r="1549" spans="1:8" ht="23.25" x14ac:dyDescent="0.25">
      <c r="A1549" s="225">
        <f>Database!A1564</f>
        <v>0</v>
      </c>
      <c r="B1549" s="34">
        <f>Database!E1564</f>
        <v>0</v>
      </c>
      <c r="C1549" s="34">
        <f>Database!F1564</f>
        <v>0</v>
      </c>
      <c r="D1549" s="34">
        <f>Database!K1564</f>
        <v>0</v>
      </c>
      <c r="E1549" s="34">
        <f>Database!P1564</f>
        <v>0</v>
      </c>
      <c r="F1549" s="34">
        <f>Database!Q1564</f>
        <v>0</v>
      </c>
      <c r="G1549" s="462">
        <f>Database!R1564</f>
        <v>0</v>
      </c>
      <c r="H1549" s="35">
        <f>Database!N1564</f>
        <v>0</v>
      </c>
    </row>
    <row r="1550" spans="1:8" ht="23.25" x14ac:dyDescent="0.25">
      <c r="A1550" s="225">
        <f>Database!A1565</f>
        <v>0</v>
      </c>
      <c r="B1550" s="34">
        <f>Database!E1565</f>
        <v>0</v>
      </c>
      <c r="C1550" s="34">
        <f>Database!F1565</f>
        <v>0</v>
      </c>
      <c r="D1550" s="34">
        <f>Database!K1565</f>
        <v>0</v>
      </c>
      <c r="E1550" s="34">
        <f>Database!P1565</f>
        <v>0</v>
      </c>
      <c r="F1550" s="34">
        <f>Database!Q1565</f>
        <v>0</v>
      </c>
      <c r="G1550" s="462">
        <f>Database!R1565</f>
        <v>0</v>
      </c>
      <c r="H1550" s="35">
        <f>Database!N1565</f>
        <v>0</v>
      </c>
    </row>
    <row r="1551" spans="1:8" ht="23.25" x14ac:dyDescent="0.25">
      <c r="A1551" s="225">
        <f>Database!A1566</f>
        <v>0</v>
      </c>
      <c r="B1551" s="34">
        <f>Database!E1566</f>
        <v>0</v>
      </c>
      <c r="C1551" s="34">
        <f>Database!F1566</f>
        <v>0</v>
      </c>
      <c r="D1551" s="34">
        <f>Database!K1566</f>
        <v>0</v>
      </c>
      <c r="E1551" s="34">
        <f>Database!P1566</f>
        <v>0</v>
      </c>
      <c r="F1551" s="34">
        <f>Database!Q1566</f>
        <v>0</v>
      </c>
      <c r="G1551" s="462">
        <f>Database!R1566</f>
        <v>0</v>
      </c>
      <c r="H1551" s="35">
        <f>Database!N1566</f>
        <v>0</v>
      </c>
    </row>
    <row r="1552" spans="1:8" ht="23.25" x14ac:dyDescent="0.25">
      <c r="A1552" s="225">
        <f>Database!A1567</f>
        <v>0</v>
      </c>
      <c r="B1552" s="34">
        <f>Database!E1567</f>
        <v>0</v>
      </c>
      <c r="C1552" s="34">
        <f>Database!F1567</f>
        <v>0</v>
      </c>
      <c r="D1552" s="34">
        <f>Database!K1567</f>
        <v>0</v>
      </c>
      <c r="E1552" s="34">
        <f>Database!P1567</f>
        <v>0</v>
      </c>
      <c r="F1552" s="34">
        <f>Database!Q1567</f>
        <v>0</v>
      </c>
      <c r="G1552" s="462">
        <f>Database!R1567</f>
        <v>0</v>
      </c>
      <c r="H1552" s="35">
        <f>Database!N1567</f>
        <v>0</v>
      </c>
    </row>
    <row r="1553" spans="1:8" ht="23.25" x14ac:dyDescent="0.25">
      <c r="A1553" s="225">
        <f>Database!A1568</f>
        <v>0</v>
      </c>
      <c r="B1553" s="34">
        <f>Database!E1568</f>
        <v>0</v>
      </c>
      <c r="C1553" s="34">
        <f>Database!F1568</f>
        <v>0</v>
      </c>
      <c r="D1553" s="34">
        <f>Database!K1568</f>
        <v>0</v>
      </c>
      <c r="E1553" s="34">
        <f>Database!P1568</f>
        <v>0</v>
      </c>
      <c r="F1553" s="34">
        <f>Database!Q1568</f>
        <v>0</v>
      </c>
      <c r="G1553" s="462">
        <f>Database!R1568</f>
        <v>0</v>
      </c>
      <c r="H1553" s="35">
        <f>Database!N1568</f>
        <v>0</v>
      </c>
    </row>
    <row r="1554" spans="1:8" ht="23.25" x14ac:dyDescent="0.25">
      <c r="A1554" s="225">
        <f>Database!A1569</f>
        <v>0</v>
      </c>
      <c r="B1554" s="34">
        <f>Database!E1569</f>
        <v>0</v>
      </c>
      <c r="C1554" s="34">
        <f>Database!F1569</f>
        <v>0</v>
      </c>
      <c r="D1554" s="34">
        <f>Database!K1569</f>
        <v>0</v>
      </c>
      <c r="E1554" s="34">
        <f>Database!P1569</f>
        <v>0</v>
      </c>
      <c r="F1554" s="34">
        <f>Database!Q1569</f>
        <v>0</v>
      </c>
      <c r="G1554" s="462">
        <f>Database!R1569</f>
        <v>0</v>
      </c>
      <c r="H1554" s="35">
        <f>Database!N1569</f>
        <v>0</v>
      </c>
    </row>
    <row r="1555" spans="1:8" ht="23.25" x14ac:dyDescent="0.25">
      <c r="A1555" s="225">
        <f>Database!A1570</f>
        <v>0</v>
      </c>
      <c r="B1555" s="34">
        <f>Database!E1570</f>
        <v>0</v>
      </c>
      <c r="C1555" s="34">
        <f>Database!F1570</f>
        <v>0</v>
      </c>
      <c r="D1555" s="34">
        <f>Database!K1570</f>
        <v>0</v>
      </c>
      <c r="E1555" s="34">
        <f>Database!P1570</f>
        <v>0</v>
      </c>
      <c r="F1555" s="34">
        <f>Database!Q1570</f>
        <v>0</v>
      </c>
      <c r="G1555" s="462">
        <f>Database!R1570</f>
        <v>0</v>
      </c>
      <c r="H1555" s="35">
        <f>Database!N1570</f>
        <v>0</v>
      </c>
    </row>
    <row r="1556" spans="1:8" ht="23.25" x14ac:dyDescent="0.25">
      <c r="A1556" s="225">
        <f>Database!A1571</f>
        <v>0</v>
      </c>
      <c r="B1556" s="34">
        <f>Database!E1571</f>
        <v>0</v>
      </c>
      <c r="C1556" s="34">
        <f>Database!F1571</f>
        <v>0</v>
      </c>
      <c r="D1556" s="34">
        <f>Database!K1571</f>
        <v>0</v>
      </c>
      <c r="E1556" s="34">
        <f>Database!P1571</f>
        <v>0</v>
      </c>
      <c r="F1556" s="34">
        <f>Database!Q1571</f>
        <v>0</v>
      </c>
      <c r="G1556" s="462">
        <f>Database!R1571</f>
        <v>0</v>
      </c>
      <c r="H1556" s="35">
        <f>Database!N1571</f>
        <v>0</v>
      </c>
    </row>
    <row r="1557" spans="1:8" ht="23.25" x14ac:dyDescent="0.25">
      <c r="A1557" s="225">
        <f>Database!A1572</f>
        <v>0</v>
      </c>
      <c r="B1557" s="34">
        <f>Database!E1572</f>
        <v>0</v>
      </c>
      <c r="C1557" s="34">
        <f>Database!F1572</f>
        <v>0</v>
      </c>
      <c r="D1557" s="34">
        <f>Database!K1572</f>
        <v>0</v>
      </c>
      <c r="E1557" s="34">
        <f>Database!P1572</f>
        <v>0</v>
      </c>
      <c r="F1557" s="34">
        <f>Database!Q1572</f>
        <v>0</v>
      </c>
      <c r="G1557" s="462">
        <f>Database!R1572</f>
        <v>0</v>
      </c>
      <c r="H1557" s="35">
        <f>Database!N1572</f>
        <v>0</v>
      </c>
    </row>
    <row r="1558" spans="1:8" ht="23.25" x14ac:dyDescent="0.25">
      <c r="A1558" s="225">
        <f>Database!A1573</f>
        <v>0</v>
      </c>
      <c r="B1558" s="34">
        <f>Database!E1573</f>
        <v>0</v>
      </c>
      <c r="C1558" s="34">
        <f>Database!F1573</f>
        <v>0</v>
      </c>
      <c r="D1558" s="34">
        <f>Database!K1573</f>
        <v>0</v>
      </c>
      <c r="E1558" s="34">
        <f>Database!P1573</f>
        <v>0</v>
      </c>
      <c r="F1558" s="34">
        <f>Database!Q1573</f>
        <v>0</v>
      </c>
      <c r="G1558" s="462">
        <f>Database!R1573</f>
        <v>0</v>
      </c>
      <c r="H1558" s="35">
        <f>Database!N1573</f>
        <v>0</v>
      </c>
    </row>
    <row r="1559" spans="1:8" ht="23.25" x14ac:dyDescent="0.25">
      <c r="A1559" s="225">
        <f>Database!A1574</f>
        <v>0</v>
      </c>
      <c r="B1559" s="34">
        <f>Database!E1574</f>
        <v>0</v>
      </c>
      <c r="C1559" s="34">
        <f>Database!F1574</f>
        <v>0</v>
      </c>
      <c r="D1559" s="34">
        <f>Database!K1574</f>
        <v>0</v>
      </c>
      <c r="E1559" s="34">
        <f>Database!P1574</f>
        <v>0</v>
      </c>
      <c r="F1559" s="34">
        <f>Database!Q1574</f>
        <v>0</v>
      </c>
      <c r="G1559" s="462">
        <f>Database!R1574</f>
        <v>0</v>
      </c>
      <c r="H1559" s="35">
        <f>Database!N1574</f>
        <v>0</v>
      </c>
    </row>
    <row r="1560" spans="1:8" ht="23.25" x14ac:dyDescent="0.25">
      <c r="A1560" s="225">
        <f>Database!A1575</f>
        <v>0</v>
      </c>
      <c r="B1560" s="34">
        <f>Database!E1575</f>
        <v>0</v>
      </c>
      <c r="C1560" s="34">
        <f>Database!F1575</f>
        <v>0</v>
      </c>
      <c r="D1560" s="34">
        <f>Database!K1575</f>
        <v>0</v>
      </c>
      <c r="E1560" s="34">
        <f>Database!P1575</f>
        <v>0</v>
      </c>
      <c r="F1560" s="34">
        <f>Database!Q1575</f>
        <v>0</v>
      </c>
      <c r="G1560" s="462">
        <f>Database!R1575</f>
        <v>0</v>
      </c>
      <c r="H1560" s="35">
        <f>Database!N1575</f>
        <v>0</v>
      </c>
    </row>
    <row r="1561" spans="1:8" ht="23.25" x14ac:dyDescent="0.25">
      <c r="A1561" s="225">
        <f>Database!A1576</f>
        <v>0</v>
      </c>
      <c r="B1561" s="34">
        <f>Database!E1576</f>
        <v>0</v>
      </c>
      <c r="C1561" s="34">
        <f>Database!F1576</f>
        <v>0</v>
      </c>
      <c r="D1561" s="34">
        <f>Database!K1576</f>
        <v>0</v>
      </c>
      <c r="E1561" s="34">
        <f>Database!P1576</f>
        <v>0</v>
      </c>
      <c r="F1561" s="34">
        <f>Database!Q1576</f>
        <v>0</v>
      </c>
      <c r="G1561" s="462">
        <f>Database!R1576</f>
        <v>0</v>
      </c>
      <c r="H1561" s="35">
        <f>Database!N1576</f>
        <v>0</v>
      </c>
    </row>
    <row r="1562" spans="1:8" ht="23.25" x14ac:dyDescent="0.25">
      <c r="A1562" s="225">
        <f>Database!A1577</f>
        <v>0</v>
      </c>
      <c r="B1562" s="34">
        <f>Database!E1577</f>
        <v>0</v>
      </c>
      <c r="C1562" s="34">
        <f>Database!F1577</f>
        <v>0</v>
      </c>
      <c r="D1562" s="34">
        <f>Database!K1577</f>
        <v>0</v>
      </c>
      <c r="E1562" s="34">
        <f>Database!P1577</f>
        <v>0</v>
      </c>
      <c r="F1562" s="34">
        <f>Database!Q1577</f>
        <v>0</v>
      </c>
      <c r="G1562" s="462">
        <f>Database!R1577</f>
        <v>0</v>
      </c>
      <c r="H1562" s="35">
        <f>Database!N1577</f>
        <v>0</v>
      </c>
    </row>
    <row r="1563" spans="1:8" ht="23.25" x14ac:dyDescent="0.25">
      <c r="A1563" s="225">
        <f>Database!A1578</f>
        <v>0</v>
      </c>
      <c r="B1563" s="34">
        <f>Database!E1578</f>
        <v>0</v>
      </c>
      <c r="C1563" s="34">
        <f>Database!F1578</f>
        <v>0</v>
      </c>
      <c r="D1563" s="34">
        <f>Database!K1578</f>
        <v>0</v>
      </c>
      <c r="E1563" s="34">
        <f>Database!P1578</f>
        <v>0</v>
      </c>
      <c r="F1563" s="34">
        <f>Database!Q1578</f>
        <v>0</v>
      </c>
      <c r="G1563" s="462">
        <f>Database!R1578</f>
        <v>0</v>
      </c>
      <c r="H1563" s="35">
        <f>Database!N1578</f>
        <v>0</v>
      </c>
    </row>
    <row r="1564" spans="1:8" ht="23.25" x14ac:dyDescent="0.25">
      <c r="A1564" s="225">
        <f>Database!A1579</f>
        <v>0</v>
      </c>
      <c r="B1564" s="34">
        <f>Database!E1579</f>
        <v>0</v>
      </c>
      <c r="C1564" s="34">
        <f>Database!F1579</f>
        <v>0</v>
      </c>
      <c r="D1564" s="34">
        <f>Database!K1579</f>
        <v>0</v>
      </c>
      <c r="E1564" s="34">
        <f>Database!P1579</f>
        <v>0</v>
      </c>
      <c r="F1564" s="34">
        <f>Database!Q1579</f>
        <v>0</v>
      </c>
      <c r="G1564" s="462">
        <f>Database!R1579</f>
        <v>0</v>
      </c>
      <c r="H1564" s="35">
        <f>Database!N1579</f>
        <v>0</v>
      </c>
    </row>
    <row r="1565" spans="1:8" ht="23.25" x14ac:dyDescent="0.25">
      <c r="A1565" s="225">
        <f>Database!A1580</f>
        <v>0</v>
      </c>
      <c r="B1565" s="34">
        <f>Database!E1580</f>
        <v>0</v>
      </c>
      <c r="C1565" s="34">
        <f>Database!F1580</f>
        <v>0</v>
      </c>
      <c r="D1565" s="34">
        <f>Database!K1580</f>
        <v>0</v>
      </c>
      <c r="E1565" s="34">
        <f>Database!P1580</f>
        <v>0</v>
      </c>
      <c r="F1565" s="34">
        <f>Database!Q1580</f>
        <v>0</v>
      </c>
      <c r="G1565" s="462">
        <f>Database!R1580</f>
        <v>0</v>
      </c>
      <c r="H1565" s="35">
        <f>Database!N1580</f>
        <v>0</v>
      </c>
    </row>
    <row r="1566" spans="1:8" ht="23.25" x14ac:dyDescent="0.25">
      <c r="A1566" s="225">
        <f>Database!A1581</f>
        <v>0</v>
      </c>
      <c r="B1566" s="34">
        <f>Database!E1581</f>
        <v>0</v>
      </c>
      <c r="C1566" s="34">
        <f>Database!F1581</f>
        <v>0</v>
      </c>
      <c r="D1566" s="34">
        <f>Database!K1581</f>
        <v>0</v>
      </c>
      <c r="E1566" s="34">
        <f>Database!P1581</f>
        <v>0</v>
      </c>
      <c r="F1566" s="34">
        <f>Database!Q1581</f>
        <v>0</v>
      </c>
      <c r="G1566" s="462">
        <f>Database!R1581</f>
        <v>0</v>
      </c>
      <c r="H1566" s="35">
        <f>Database!N1581</f>
        <v>0</v>
      </c>
    </row>
    <row r="1567" spans="1:8" ht="23.25" x14ac:dyDescent="0.25">
      <c r="A1567" s="225">
        <f>Database!A1582</f>
        <v>0</v>
      </c>
      <c r="B1567" s="34">
        <f>Database!E1582</f>
        <v>0</v>
      </c>
      <c r="C1567" s="34">
        <f>Database!F1582</f>
        <v>0</v>
      </c>
      <c r="D1567" s="34">
        <f>Database!K1582</f>
        <v>0</v>
      </c>
      <c r="E1567" s="34">
        <f>Database!P1582</f>
        <v>0</v>
      </c>
      <c r="F1567" s="34">
        <f>Database!Q1582</f>
        <v>0</v>
      </c>
      <c r="G1567" s="462">
        <f>Database!R1582</f>
        <v>0</v>
      </c>
      <c r="H1567" s="35">
        <f>Database!N1582</f>
        <v>0</v>
      </c>
    </row>
    <row r="1568" spans="1:8" ht="23.25" x14ac:dyDescent="0.25">
      <c r="A1568" s="225">
        <f>Database!A1583</f>
        <v>0</v>
      </c>
      <c r="B1568" s="34">
        <f>Database!E1583</f>
        <v>0</v>
      </c>
      <c r="C1568" s="34">
        <f>Database!F1583</f>
        <v>0</v>
      </c>
      <c r="D1568" s="34">
        <f>Database!K1583</f>
        <v>0</v>
      </c>
      <c r="E1568" s="34">
        <f>Database!P1583</f>
        <v>0</v>
      </c>
      <c r="F1568" s="34">
        <f>Database!Q1583</f>
        <v>0</v>
      </c>
      <c r="G1568" s="462">
        <f>Database!R1583</f>
        <v>0</v>
      </c>
      <c r="H1568" s="35">
        <f>Database!N1583</f>
        <v>0</v>
      </c>
    </row>
    <row r="1569" spans="1:8" ht="23.25" x14ac:dyDescent="0.25">
      <c r="A1569" s="225">
        <f>Database!A1584</f>
        <v>0</v>
      </c>
      <c r="B1569" s="34">
        <f>Database!E1584</f>
        <v>0</v>
      </c>
      <c r="C1569" s="34">
        <f>Database!F1584</f>
        <v>0</v>
      </c>
      <c r="D1569" s="34">
        <f>Database!K1584</f>
        <v>0</v>
      </c>
      <c r="E1569" s="34">
        <f>Database!P1584</f>
        <v>0</v>
      </c>
      <c r="F1569" s="34">
        <f>Database!Q1584</f>
        <v>0</v>
      </c>
      <c r="G1569" s="462">
        <f>Database!R1584</f>
        <v>0</v>
      </c>
      <c r="H1569" s="35">
        <f>Database!N1584</f>
        <v>0</v>
      </c>
    </row>
    <row r="1570" spans="1:8" ht="23.25" x14ac:dyDescent="0.25">
      <c r="A1570" s="225">
        <f>Database!A1585</f>
        <v>0</v>
      </c>
      <c r="B1570" s="34">
        <f>Database!E1585</f>
        <v>0</v>
      </c>
      <c r="C1570" s="34">
        <f>Database!F1585</f>
        <v>0</v>
      </c>
      <c r="D1570" s="34">
        <f>Database!K1585</f>
        <v>0</v>
      </c>
      <c r="E1570" s="34">
        <f>Database!P1585</f>
        <v>0</v>
      </c>
      <c r="F1570" s="34">
        <f>Database!Q1585</f>
        <v>0</v>
      </c>
      <c r="G1570" s="462">
        <f>Database!R1585</f>
        <v>0</v>
      </c>
      <c r="H1570" s="35">
        <f>Database!N1585</f>
        <v>0</v>
      </c>
    </row>
    <row r="1571" spans="1:8" ht="23.25" x14ac:dyDescent="0.25">
      <c r="A1571" s="225">
        <f>Database!A1586</f>
        <v>0</v>
      </c>
      <c r="B1571" s="34">
        <f>Database!E1586</f>
        <v>0</v>
      </c>
      <c r="C1571" s="34">
        <f>Database!F1586</f>
        <v>0</v>
      </c>
      <c r="D1571" s="34">
        <f>Database!K1586</f>
        <v>0</v>
      </c>
      <c r="E1571" s="34">
        <f>Database!P1586</f>
        <v>0</v>
      </c>
      <c r="F1571" s="34">
        <f>Database!Q1586</f>
        <v>0</v>
      </c>
      <c r="G1571" s="462">
        <f>Database!R1586</f>
        <v>0</v>
      </c>
      <c r="H1571" s="35">
        <f>Database!N1586</f>
        <v>0</v>
      </c>
    </row>
    <row r="1572" spans="1:8" ht="23.25" x14ac:dyDescent="0.25">
      <c r="A1572" s="225">
        <f>Database!A1587</f>
        <v>0</v>
      </c>
      <c r="B1572" s="34">
        <f>Database!E1587</f>
        <v>0</v>
      </c>
      <c r="C1572" s="34">
        <f>Database!F1587</f>
        <v>0</v>
      </c>
      <c r="D1572" s="34">
        <f>Database!K1587</f>
        <v>0</v>
      </c>
      <c r="E1572" s="34">
        <f>Database!P1587</f>
        <v>0</v>
      </c>
      <c r="F1572" s="34">
        <f>Database!Q1587</f>
        <v>0</v>
      </c>
      <c r="G1572" s="462">
        <f>Database!R1587</f>
        <v>0</v>
      </c>
      <c r="H1572" s="35">
        <f>Database!N1587</f>
        <v>0</v>
      </c>
    </row>
    <row r="1573" spans="1:8" ht="23.25" x14ac:dyDescent="0.25">
      <c r="A1573" s="225">
        <f>Database!A1588</f>
        <v>0</v>
      </c>
      <c r="B1573" s="34">
        <f>Database!E1588</f>
        <v>0</v>
      </c>
      <c r="C1573" s="34">
        <f>Database!F1588</f>
        <v>0</v>
      </c>
      <c r="D1573" s="34">
        <f>Database!K1588</f>
        <v>0</v>
      </c>
      <c r="E1573" s="34">
        <f>Database!P1588</f>
        <v>0</v>
      </c>
      <c r="F1573" s="34">
        <f>Database!Q1588</f>
        <v>0</v>
      </c>
      <c r="G1573" s="462">
        <f>Database!R1588</f>
        <v>0</v>
      </c>
      <c r="H1573" s="35">
        <f>Database!N1588</f>
        <v>0</v>
      </c>
    </row>
    <row r="1574" spans="1:8" ht="23.25" x14ac:dyDescent="0.25">
      <c r="A1574" s="225">
        <f>Database!A1589</f>
        <v>0</v>
      </c>
      <c r="B1574" s="34">
        <f>Database!E1589</f>
        <v>0</v>
      </c>
      <c r="C1574" s="34">
        <f>Database!F1589</f>
        <v>0</v>
      </c>
      <c r="D1574" s="34">
        <f>Database!K1589</f>
        <v>0</v>
      </c>
      <c r="E1574" s="34">
        <f>Database!P1589</f>
        <v>0</v>
      </c>
      <c r="F1574" s="34">
        <f>Database!Q1589</f>
        <v>0</v>
      </c>
      <c r="G1574" s="462">
        <f>Database!R1589</f>
        <v>0</v>
      </c>
      <c r="H1574" s="35">
        <f>Database!N1589</f>
        <v>0</v>
      </c>
    </row>
    <row r="1575" spans="1:8" ht="23.25" x14ac:dyDescent="0.25">
      <c r="A1575" s="225">
        <f>Database!A1590</f>
        <v>0</v>
      </c>
      <c r="B1575" s="34">
        <f>Database!E1590</f>
        <v>0</v>
      </c>
      <c r="C1575" s="34">
        <f>Database!F1590</f>
        <v>0</v>
      </c>
      <c r="D1575" s="34">
        <f>Database!K1590</f>
        <v>0</v>
      </c>
      <c r="E1575" s="34">
        <f>Database!P1590</f>
        <v>0</v>
      </c>
      <c r="F1575" s="34">
        <f>Database!Q1590</f>
        <v>0</v>
      </c>
      <c r="G1575" s="462">
        <f>Database!R1590</f>
        <v>0</v>
      </c>
      <c r="H1575" s="35">
        <f>Database!N1590</f>
        <v>0</v>
      </c>
    </row>
    <row r="1576" spans="1:8" ht="23.25" x14ac:dyDescent="0.25">
      <c r="A1576" s="225">
        <f>Database!A1591</f>
        <v>0</v>
      </c>
      <c r="B1576" s="34">
        <f>Database!E1591</f>
        <v>0</v>
      </c>
      <c r="C1576" s="34">
        <f>Database!F1591</f>
        <v>0</v>
      </c>
      <c r="D1576" s="34">
        <f>Database!K1591</f>
        <v>0</v>
      </c>
      <c r="E1576" s="34">
        <f>Database!P1591</f>
        <v>0</v>
      </c>
      <c r="F1576" s="34">
        <f>Database!Q1591</f>
        <v>0</v>
      </c>
      <c r="G1576" s="462">
        <f>Database!R1591</f>
        <v>0</v>
      </c>
      <c r="H1576" s="35">
        <f>Database!N1591</f>
        <v>0</v>
      </c>
    </row>
    <row r="1577" spans="1:8" ht="23.25" x14ac:dyDescent="0.25">
      <c r="A1577" s="225">
        <f>Database!A1592</f>
        <v>0</v>
      </c>
      <c r="B1577" s="34">
        <f>Database!E1592</f>
        <v>0</v>
      </c>
      <c r="C1577" s="34">
        <f>Database!F1592</f>
        <v>0</v>
      </c>
      <c r="D1577" s="34">
        <f>Database!K1592</f>
        <v>0</v>
      </c>
      <c r="E1577" s="34">
        <f>Database!P1592</f>
        <v>0</v>
      </c>
      <c r="F1577" s="34">
        <f>Database!Q1592</f>
        <v>0</v>
      </c>
      <c r="G1577" s="462">
        <f>Database!R1592</f>
        <v>0</v>
      </c>
      <c r="H1577" s="35">
        <f>Database!N1592</f>
        <v>0</v>
      </c>
    </row>
    <row r="1578" spans="1:8" ht="23.25" x14ac:dyDescent="0.25">
      <c r="A1578" s="225">
        <f>Database!A1593</f>
        <v>0</v>
      </c>
      <c r="B1578" s="34">
        <f>Database!E1593</f>
        <v>0</v>
      </c>
      <c r="C1578" s="34">
        <f>Database!F1593</f>
        <v>0</v>
      </c>
      <c r="D1578" s="34">
        <f>Database!K1593</f>
        <v>0</v>
      </c>
      <c r="E1578" s="34">
        <f>Database!P1593</f>
        <v>0</v>
      </c>
      <c r="F1578" s="34">
        <f>Database!Q1593</f>
        <v>0</v>
      </c>
      <c r="G1578" s="462">
        <f>Database!R1593</f>
        <v>0</v>
      </c>
      <c r="H1578" s="35">
        <f>Database!N1593</f>
        <v>0</v>
      </c>
    </row>
    <row r="1579" spans="1:8" ht="23.25" x14ac:dyDescent="0.25">
      <c r="A1579" s="225">
        <f>Database!A1594</f>
        <v>0</v>
      </c>
      <c r="B1579" s="34">
        <f>Database!E1594</f>
        <v>0</v>
      </c>
      <c r="C1579" s="34">
        <f>Database!F1594</f>
        <v>0</v>
      </c>
      <c r="D1579" s="34">
        <f>Database!K1594</f>
        <v>0</v>
      </c>
      <c r="E1579" s="34">
        <f>Database!P1594</f>
        <v>0</v>
      </c>
      <c r="F1579" s="34">
        <f>Database!Q1594</f>
        <v>0</v>
      </c>
      <c r="G1579" s="462">
        <f>Database!R1594</f>
        <v>0</v>
      </c>
      <c r="H1579" s="35">
        <f>Database!N1594</f>
        <v>0</v>
      </c>
    </row>
    <row r="1580" spans="1:8" ht="23.25" x14ac:dyDescent="0.25">
      <c r="A1580" s="225">
        <f>Database!A1595</f>
        <v>0</v>
      </c>
      <c r="B1580" s="34">
        <f>Database!E1595</f>
        <v>0</v>
      </c>
      <c r="C1580" s="34">
        <f>Database!F1595</f>
        <v>0</v>
      </c>
      <c r="D1580" s="34">
        <f>Database!K1595</f>
        <v>0</v>
      </c>
      <c r="E1580" s="34">
        <f>Database!P1595</f>
        <v>0</v>
      </c>
      <c r="F1580" s="34">
        <f>Database!Q1595</f>
        <v>0</v>
      </c>
      <c r="G1580" s="462">
        <f>Database!R1595</f>
        <v>0</v>
      </c>
      <c r="H1580" s="35">
        <f>Database!N1595</f>
        <v>0</v>
      </c>
    </row>
    <row r="1581" spans="1:8" ht="23.25" x14ac:dyDescent="0.25">
      <c r="A1581" s="225">
        <f>Database!A1596</f>
        <v>0</v>
      </c>
      <c r="B1581" s="34">
        <f>Database!E1596</f>
        <v>0</v>
      </c>
      <c r="C1581" s="34">
        <f>Database!F1596</f>
        <v>0</v>
      </c>
      <c r="D1581" s="34">
        <f>Database!K1596</f>
        <v>0</v>
      </c>
      <c r="E1581" s="34">
        <f>Database!P1596</f>
        <v>0</v>
      </c>
      <c r="F1581" s="34">
        <f>Database!Q1596</f>
        <v>0</v>
      </c>
      <c r="G1581" s="462">
        <f>Database!R1596</f>
        <v>0</v>
      </c>
      <c r="H1581" s="35">
        <f>Database!N1596</f>
        <v>0</v>
      </c>
    </row>
    <row r="1582" spans="1:8" ht="23.25" x14ac:dyDescent="0.25">
      <c r="A1582" s="225">
        <f>Database!A1597</f>
        <v>0</v>
      </c>
      <c r="B1582" s="34">
        <f>Database!E1597</f>
        <v>0</v>
      </c>
      <c r="C1582" s="34">
        <f>Database!F1597</f>
        <v>0</v>
      </c>
      <c r="D1582" s="34">
        <f>Database!K1597</f>
        <v>0</v>
      </c>
      <c r="E1582" s="34">
        <f>Database!P1597</f>
        <v>0</v>
      </c>
      <c r="F1582" s="34">
        <f>Database!Q1597</f>
        <v>0</v>
      </c>
      <c r="G1582" s="462">
        <f>Database!R1597</f>
        <v>0</v>
      </c>
      <c r="H1582" s="35">
        <f>Database!N1597</f>
        <v>0</v>
      </c>
    </row>
    <row r="1583" spans="1:8" ht="23.25" x14ac:dyDescent="0.25">
      <c r="A1583" s="225">
        <f>Database!A1598</f>
        <v>0</v>
      </c>
      <c r="B1583" s="34">
        <f>Database!E1598</f>
        <v>0</v>
      </c>
      <c r="C1583" s="34">
        <f>Database!F1598</f>
        <v>0</v>
      </c>
      <c r="D1583" s="34">
        <f>Database!K1598</f>
        <v>0</v>
      </c>
      <c r="E1583" s="34">
        <f>Database!P1598</f>
        <v>0</v>
      </c>
      <c r="F1583" s="34">
        <f>Database!Q1598</f>
        <v>0</v>
      </c>
      <c r="G1583" s="462">
        <f>Database!R1598</f>
        <v>0</v>
      </c>
      <c r="H1583" s="35">
        <f>Database!N1598</f>
        <v>0</v>
      </c>
    </row>
    <row r="1584" spans="1:8" ht="23.25" x14ac:dyDescent="0.25">
      <c r="A1584" s="225">
        <f>Database!A1599</f>
        <v>0</v>
      </c>
      <c r="B1584" s="34">
        <f>Database!E1599</f>
        <v>0</v>
      </c>
      <c r="C1584" s="34">
        <f>Database!F1599</f>
        <v>0</v>
      </c>
      <c r="D1584" s="34">
        <f>Database!K1599</f>
        <v>0</v>
      </c>
      <c r="E1584" s="34">
        <f>Database!P1599</f>
        <v>0</v>
      </c>
      <c r="F1584" s="34">
        <f>Database!Q1599</f>
        <v>0</v>
      </c>
      <c r="G1584" s="462">
        <f>Database!R1599</f>
        <v>0</v>
      </c>
      <c r="H1584" s="35">
        <f>Database!N1599</f>
        <v>0</v>
      </c>
    </row>
    <row r="1585" spans="1:8" ht="23.25" x14ac:dyDescent="0.25">
      <c r="A1585" s="225">
        <f>Database!A1600</f>
        <v>0</v>
      </c>
      <c r="B1585" s="34">
        <f>Database!E1600</f>
        <v>0</v>
      </c>
      <c r="C1585" s="34">
        <f>Database!F1600</f>
        <v>0</v>
      </c>
      <c r="D1585" s="34">
        <f>Database!K1600</f>
        <v>0</v>
      </c>
      <c r="E1585" s="34">
        <f>Database!P1600</f>
        <v>0</v>
      </c>
      <c r="F1585" s="34">
        <f>Database!Q1600</f>
        <v>0</v>
      </c>
      <c r="G1585" s="462">
        <f>Database!R1600</f>
        <v>0</v>
      </c>
      <c r="H1585" s="35">
        <f>Database!N1600</f>
        <v>0</v>
      </c>
    </row>
    <row r="1586" spans="1:8" ht="23.25" x14ac:dyDescent="0.25">
      <c r="A1586" s="225">
        <f>Database!A1601</f>
        <v>0</v>
      </c>
      <c r="B1586" s="34">
        <f>Database!E1601</f>
        <v>0</v>
      </c>
      <c r="C1586" s="34">
        <f>Database!F1601</f>
        <v>0</v>
      </c>
      <c r="D1586" s="34">
        <f>Database!K1601</f>
        <v>0</v>
      </c>
      <c r="E1586" s="34">
        <f>Database!P1601</f>
        <v>0</v>
      </c>
      <c r="F1586" s="34">
        <f>Database!Q1601</f>
        <v>0</v>
      </c>
      <c r="G1586" s="462">
        <f>Database!R1601</f>
        <v>0</v>
      </c>
      <c r="H1586" s="35">
        <f>Database!N1601</f>
        <v>0</v>
      </c>
    </row>
    <row r="1587" spans="1:8" ht="23.25" x14ac:dyDescent="0.25">
      <c r="A1587" s="225">
        <f>Database!A1602</f>
        <v>0</v>
      </c>
      <c r="B1587" s="34">
        <f>Database!E1602</f>
        <v>0</v>
      </c>
      <c r="C1587" s="34">
        <f>Database!F1602</f>
        <v>0</v>
      </c>
      <c r="D1587" s="34">
        <f>Database!K1602</f>
        <v>0</v>
      </c>
      <c r="E1587" s="34">
        <f>Database!P1602</f>
        <v>0</v>
      </c>
      <c r="F1587" s="34">
        <f>Database!Q1602</f>
        <v>0</v>
      </c>
      <c r="G1587" s="462">
        <f>Database!R1602</f>
        <v>0</v>
      </c>
      <c r="H1587" s="35">
        <f>Database!N1602</f>
        <v>0</v>
      </c>
    </row>
    <row r="1588" spans="1:8" ht="23.25" x14ac:dyDescent="0.25">
      <c r="A1588" s="225">
        <f>Database!A1603</f>
        <v>0</v>
      </c>
      <c r="B1588" s="34">
        <f>Database!E1603</f>
        <v>0</v>
      </c>
      <c r="C1588" s="34">
        <f>Database!F1603</f>
        <v>0</v>
      </c>
      <c r="D1588" s="34">
        <f>Database!K1603</f>
        <v>0</v>
      </c>
      <c r="E1588" s="34">
        <f>Database!P1603</f>
        <v>0</v>
      </c>
      <c r="F1588" s="34">
        <f>Database!Q1603</f>
        <v>0</v>
      </c>
      <c r="G1588" s="462">
        <f>Database!R1603</f>
        <v>0</v>
      </c>
      <c r="H1588" s="35">
        <f>Database!N1603</f>
        <v>0</v>
      </c>
    </row>
    <row r="1589" spans="1:8" ht="23.25" x14ac:dyDescent="0.25">
      <c r="A1589" s="225">
        <f>Database!A1604</f>
        <v>0</v>
      </c>
      <c r="B1589" s="34">
        <f>Database!E1604</f>
        <v>0</v>
      </c>
      <c r="C1589" s="34">
        <f>Database!F1604</f>
        <v>0</v>
      </c>
      <c r="D1589" s="34">
        <f>Database!K1604</f>
        <v>0</v>
      </c>
      <c r="E1589" s="34">
        <f>Database!P1604</f>
        <v>0</v>
      </c>
      <c r="F1589" s="34">
        <f>Database!Q1604</f>
        <v>0</v>
      </c>
      <c r="G1589" s="462">
        <f>Database!R1604</f>
        <v>0</v>
      </c>
      <c r="H1589" s="35">
        <f>Database!N1604</f>
        <v>0</v>
      </c>
    </row>
    <row r="1590" spans="1:8" ht="23.25" x14ac:dyDescent="0.25">
      <c r="A1590" s="225">
        <f>Database!A1605</f>
        <v>0</v>
      </c>
      <c r="B1590" s="34">
        <f>Database!E1605</f>
        <v>0</v>
      </c>
      <c r="C1590" s="34">
        <f>Database!F1605</f>
        <v>0</v>
      </c>
      <c r="D1590" s="34">
        <f>Database!K1605</f>
        <v>0</v>
      </c>
      <c r="E1590" s="34">
        <f>Database!P1605</f>
        <v>0</v>
      </c>
      <c r="F1590" s="34">
        <f>Database!Q1605</f>
        <v>0</v>
      </c>
      <c r="G1590" s="462">
        <f>Database!R1605</f>
        <v>0</v>
      </c>
      <c r="H1590" s="35">
        <f>Database!N1605</f>
        <v>0</v>
      </c>
    </row>
    <row r="1591" spans="1:8" ht="23.25" x14ac:dyDescent="0.25">
      <c r="A1591" s="225">
        <f>Database!A1606</f>
        <v>0</v>
      </c>
      <c r="B1591" s="34">
        <f>Database!E1606</f>
        <v>0</v>
      </c>
      <c r="C1591" s="34">
        <f>Database!F1606</f>
        <v>0</v>
      </c>
      <c r="D1591" s="34">
        <f>Database!K1606</f>
        <v>0</v>
      </c>
      <c r="E1591" s="34">
        <f>Database!P1606</f>
        <v>0</v>
      </c>
      <c r="F1591" s="34">
        <f>Database!Q1606</f>
        <v>0</v>
      </c>
      <c r="G1591" s="462">
        <f>Database!R1606</f>
        <v>0</v>
      </c>
      <c r="H1591" s="35">
        <f>Database!N1606</f>
        <v>0</v>
      </c>
    </row>
    <row r="1592" spans="1:8" ht="23.25" x14ac:dyDescent="0.25">
      <c r="A1592" s="225">
        <f>Database!A1607</f>
        <v>0</v>
      </c>
      <c r="B1592" s="34">
        <f>Database!E1607</f>
        <v>0</v>
      </c>
      <c r="C1592" s="34">
        <f>Database!F1607</f>
        <v>0</v>
      </c>
      <c r="D1592" s="34">
        <f>Database!K1607</f>
        <v>0</v>
      </c>
      <c r="E1592" s="34">
        <f>Database!P1607</f>
        <v>0</v>
      </c>
      <c r="F1592" s="34">
        <f>Database!Q1607</f>
        <v>0</v>
      </c>
      <c r="G1592" s="462">
        <f>Database!R1607</f>
        <v>0</v>
      </c>
      <c r="H1592" s="35">
        <f>Database!N1607</f>
        <v>0</v>
      </c>
    </row>
    <row r="1593" spans="1:8" ht="23.25" x14ac:dyDescent="0.25">
      <c r="A1593" s="225">
        <f>Database!A1608</f>
        <v>0</v>
      </c>
      <c r="B1593" s="34">
        <f>Database!E1608</f>
        <v>0</v>
      </c>
      <c r="C1593" s="34">
        <f>Database!F1608</f>
        <v>0</v>
      </c>
      <c r="D1593" s="34">
        <f>Database!K1608</f>
        <v>0</v>
      </c>
      <c r="E1593" s="34">
        <f>Database!P1608</f>
        <v>0</v>
      </c>
      <c r="F1593" s="34">
        <f>Database!Q1608</f>
        <v>0</v>
      </c>
      <c r="G1593" s="462">
        <f>Database!R1608</f>
        <v>0</v>
      </c>
      <c r="H1593" s="35">
        <f>Database!N1608</f>
        <v>0</v>
      </c>
    </row>
    <row r="1594" spans="1:8" ht="23.25" x14ac:dyDescent="0.25">
      <c r="A1594" s="225">
        <f>Database!A1609</f>
        <v>0</v>
      </c>
      <c r="B1594" s="34">
        <f>Database!E1609</f>
        <v>0</v>
      </c>
      <c r="C1594" s="34">
        <f>Database!F1609</f>
        <v>0</v>
      </c>
      <c r="D1594" s="34">
        <f>Database!K1609</f>
        <v>0</v>
      </c>
      <c r="E1594" s="34">
        <f>Database!P1609</f>
        <v>0</v>
      </c>
      <c r="F1594" s="34">
        <f>Database!Q1609</f>
        <v>0</v>
      </c>
      <c r="G1594" s="462">
        <f>Database!R1609</f>
        <v>0</v>
      </c>
      <c r="H1594" s="35">
        <f>Database!N1609</f>
        <v>0</v>
      </c>
    </row>
    <row r="1595" spans="1:8" ht="23.25" x14ac:dyDescent="0.25">
      <c r="A1595" s="225">
        <f>Database!A1610</f>
        <v>0</v>
      </c>
      <c r="B1595" s="34">
        <f>Database!E1610</f>
        <v>0</v>
      </c>
      <c r="C1595" s="34">
        <f>Database!F1610</f>
        <v>0</v>
      </c>
      <c r="D1595" s="34">
        <f>Database!K1610</f>
        <v>0</v>
      </c>
      <c r="E1595" s="34">
        <f>Database!P1610</f>
        <v>0</v>
      </c>
      <c r="F1595" s="34">
        <f>Database!Q1610</f>
        <v>0</v>
      </c>
      <c r="G1595" s="462">
        <f>Database!R1610</f>
        <v>0</v>
      </c>
      <c r="H1595" s="35">
        <f>Database!N1610</f>
        <v>0</v>
      </c>
    </row>
    <row r="1596" spans="1:8" ht="23.25" x14ac:dyDescent="0.25">
      <c r="A1596" s="225">
        <f>Database!A1611</f>
        <v>0</v>
      </c>
      <c r="B1596" s="34">
        <f>Database!E1611</f>
        <v>0</v>
      </c>
      <c r="C1596" s="34">
        <f>Database!F1611</f>
        <v>0</v>
      </c>
      <c r="D1596" s="34">
        <f>Database!K1611</f>
        <v>0</v>
      </c>
      <c r="E1596" s="34">
        <f>Database!P1611</f>
        <v>0</v>
      </c>
      <c r="F1596" s="34">
        <f>Database!Q1611</f>
        <v>0</v>
      </c>
      <c r="G1596" s="462">
        <f>Database!R1611</f>
        <v>0</v>
      </c>
      <c r="H1596" s="35">
        <f>Database!N1611</f>
        <v>0</v>
      </c>
    </row>
    <row r="1597" spans="1:8" ht="23.25" x14ac:dyDescent="0.25">
      <c r="A1597" s="225">
        <f>Database!A1612</f>
        <v>0</v>
      </c>
      <c r="B1597" s="34">
        <f>Database!E1612</f>
        <v>0</v>
      </c>
      <c r="C1597" s="34">
        <f>Database!F1612</f>
        <v>0</v>
      </c>
      <c r="D1597" s="34">
        <f>Database!K1612</f>
        <v>0</v>
      </c>
      <c r="E1597" s="34">
        <f>Database!P1612</f>
        <v>0</v>
      </c>
      <c r="F1597" s="34">
        <f>Database!Q1612</f>
        <v>0</v>
      </c>
      <c r="G1597" s="462">
        <f>Database!R1612</f>
        <v>0</v>
      </c>
      <c r="H1597" s="35">
        <f>Database!N1612</f>
        <v>0</v>
      </c>
    </row>
    <row r="1598" spans="1:8" ht="23.25" x14ac:dyDescent="0.25">
      <c r="A1598" s="225">
        <f>Database!A1613</f>
        <v>0</v>
      </c>
      <c r="B1598" s="34">
        <f>Database!E1613</f>
        <v>0</v>
      </c>
      <c r="C1598" s="34">
        <f>Database!F1613</f>
        <v>0</v>
      </c>
      <c r="D1598" s="34">
        <f>Database!K1613</f>
        <v>0</v>
      </c>
      <c r="E1598" s="34">
        <f>Database!P1613</f>
        <v>0</v>
      </c>
      <c r="F1598" s="34">
        <f>Database!Q1613</f>
        <v>0</v>
      </c>
      <c r="G1598" s="462">
        <f>Database!R1613</f>
        <v>0</v>
      </c>
      <c r="H1598" s="35">
        <f>Database!N1613</f>
        <v>0</v>
      </c>
    </row>
    <row r="1599" spans="1:8" ht="23.25" x14ac:dyDescent="0.25">
      <c r="A1599" s="225">
        <f>Database!A1614</f>
        <v>0</v>
      </c>
      <c r="B1599" s="34">
        <f>Database!E1614</f>
        <v>0</v>
      </c>
      <c r="C1599" s="34">
        <f>Database!F1614</f>
        <v>0</v>
      </c>
      <c r="D1599" s="34">
        <f>Database!K1614</f>
        <v>0</v>
      </c>
      <c r="E1599" s="34">
        <f>Database!P1614</f>
        <v>0</v>
      </c>
      <c r="F1599" s="34">
        <f>Database!Q1614</f>
        <v>0</v>
      </c>
      <c r="G1599" s="462">
        <f>Database!R1614</f>
        <v>0</v>
      </c>
      <c r="H1599" s="35">
        <f>Database!N1614</f>
        <v>0</v>
      </c>
    </row>
    <row r="1600" spans="1:8" ht="23.25" x14ac:dyDescent="0.25">
      <c r="A1600" s="225">
        <f>Database!A1615</f>
        <v>0</v>
      </c>
      <c r="B1600" s="34">
        <f>Database!E1615</f>
        <v>0</v>
      </c>
      <c r="C1600" s="34">
        <f>Database!F1615</f>
        <v>0</v>
      </c>
      <c r="D1600" s="34">
        <f>Database!K1615</f>
        <v>0</v>
      </c>
      <c r="E1600" s="34">
        <f>Database!P1615</f>
        <v>0</v>
      </c>
      <c r="F1600" s="34">
        <f>Database!Q1615</f>
        <v>0</v>
      </c>
      <c r="G1600" s="462">
        <f>Database!R1615</f>
        <v>0</v>
      </c>
      <c r="H1600" s="35">
        <f>Database!N1615</f>
        <v>0</v>
      </c>
    </row>
    <row r="1601" spans="1:8" ht="23.25" x14ac:dyDescent="0.25">
      <c r="A1601" s="225">
        <f>Database!A1616</f>
        <v>0</v>
      </c>
      <c r="B1601" s="34">
        <f>Database!E1616</f>
        <v>0</v>
      </c>
      <c r="C1601" s="34">
        <f>Database!F1616</f>
        <v>0</v>
      </c>
      <c r="D1601" s="34">
        <f>Database!K1616</f>
        <v>0</v>
      </c>
      <c r="E1601" s="34">
        <f>Database!P1616</f>
        <v>0</v>
      </c>
      <c r="F1601" s="34">
        <f>Database!Q1616</f>
        <v>0</v>
      </c>
      <c r="G1601" s="462">
        <f>Database!R1616</f>
        <v>0</v>
      </c>
      <c r="H1601" s="35">
        <f>Database!N1616</f>
        <v>0</v>
      </c>
    </row>
    <row r="1602" spans="1:8" ht="23.25" x14ac:dyDescent="0.25">
      <c r="A1602" s="225">
        <f>Database!A1617</f>
        <v>0</v>
      </c>
      <c r="B1602" s="34">
        <f>Database!E1617</f>
        <v>0</v>
      </c>
      <c r="C1602" s="34">
        <f>Database!F1617</f>
        <v>0</v>
      </c>
      <c r="D1602" s="34">
        <f>Database!K1617</f>
        <v>0</v>
      </c>
      <c r="E1602" s="34">
        <f>Database!P1617</f>
        <v>0</v>
      </c>
      <c r="F1602" s="34">
        <f>Database!Q1617</f>
        <v>0</v>
      </c>
      <c r="G1602" s="462">
        <f>Database!R1617</f>
        <v>0</v>
      </c>
      <c r="H1602" s="35">
        <f>Database!N1617</f>
        <v>0</v>
      </c>
    </row>
    <row r="1603" spans="1:8" ht="23.25" x14ac:dyDescent="0.25">
      <c r="A1603" s="225">
        <f>Database!A1618</f>
        <v>0</v>
      </c>
      <c r="B1603" s="34">
        <f>Database!E1618</f>
        <v>0</v>
      </c>
      <c r="C1603" s="34">
        <f>Database!F1618</f>
        <v>0</v>
      </c>
      <c r="D1603" s="34">
        <f>Database!K1618</f>
        <v>0</v>
      </c>
      <c r="E1603" s="34">
        <f>Database!P1618</f>
        <v>0</v>
      </c>
      <c r="F1603" s="34">
        <f>Database!Q1618</f>
        <v>0</v>
      </c>
      <c r="G1603" s="462">
        <f>Database!R1618</f>
        <v>0</v>
      </c>
      <c r="H1603" s="35">
        <f>Database!N1618</f>
        <v>0</v>
      </c>
    </row>
    <row r="1604" spans="1:8" ht="23.25" x14ac:dyDescent="0.25">
      <c r="A1604" s="225">
        <f>Database!A1619</f>
        <v>0</v>
      </c>
      <c r="B1604" s="34">
        <f>Database!E1619</f>
        <v>0</v>
      </c>
      <c r="C1604" s="34">
        <f>Database!F1619</f>
        <v>0</v>
      </c>
      <c r="D1604" s="34">
        <f>Database!K1619</f>
        <v>0</v>
      </c>
      <c r="E1604" s="34">
        <f>Database!P1619</f>
        <v>0</v>
      </c>
      <c r="F1604" s="34">
        <f>Database!Q1619</f>
        <v>0</v>
      </c>
      <c r="G1604" s="462">
        <f>Database!R1619</f>
        <v>0</v>
      </c>
      <c r="H1604" s="35">
        <f>Database!N1619</f>
        <v>0</v>
      </c>
    </row>
    <row r="1605" spans="1:8" ht="23.25" x14ac:dyDescent="0.25">
      <c r="A1605" s="225">
        <f>Database!A1620</f>
        <v>0</v>
      </c>
      <c r="B1605" s="34">
        <f>Database!E1620</f>
        <v>0</v>
      </c>
      <c r="C1605" s="34">
        <f>Database!F1620</f>
        <v>0</v>
      </c>
      <c r="D1605" s="34">
        <f>Database!K1620</f>
        <v>0</v>
      </c>
      <c r="E1605" s="34">
        <f>Database!P1620</f>
        <v>0</v>
      </c>
      <c r="F1605" s="34">
        <f>Database!Q1620</f>
        <v>0</v>
      </c>
      <c r="G1605" s="462">
        <f>Database!R1620</f>
        <v>0</v>
      </c>
      <c r="H1605" s="35">
        <f>Database!N1620</f>
        <v>0</v>
      </c>
    </row>
  </sheetData>
  <conditionalFormatting sqref="F1:H1">
    <cfRule type="cellIs" dxfId="464" priority="3" operator="equal">
      <formula>"sous surveillance"</formula>
    </cfRule>
  </conditionalFormatting>
  <dataValidations count="2">
    <dataValidation type="list" errorStyle="warning" allowBlank="1" showInputMessage="1" showErrorMessage="1" sqref="F1">
      <formula1>"conforme, non conforme, sous surveillance"</formula1>
    </dataValidation>
    <dataValidation errorStyle="warning" allowBlank="1" showInputMessage="1" showErrorMessage="1" sqref="G1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3">
    <tabColor theme="4" tint="-0.499984740745262"/>
    <pageSetUpPr fitToPage="1"/>
  </sheetPr>
  <dimension ref="A1:S48"/>
  <sheetViews>
    <sheetView zoomScale="70" zoomScaleNormal="70" workbookViewId="0">
      <selection activeCell="P24" sqref="P24"/>
    </sheetView>
  </sheetViews>
  <sheetFormatPr baseColWidth="10" defaultColWidth="11.42578125" defaultRowHeight="15" x14ac:dyDescent="0.25"/>
  <cols>
    <col min="1" max="1" width="19" style="223" customWidth="1"/>
    <col min="2" max="2" width="30.85546875" style="275" customWidth="1"/>
    <col min="3" max="3" width="13.5703125" style="275" customWidth="1"/>
    <col min="4" max="4" width="21" style="275" customWidth="1"/>
    <col min="5" max="5" width="30" style="275" bestFit="1" customWidth="1"/>
    <col min="6" max="6" width="15.85546875" style="224" customWidth="1"/>
    <col min="7" max="8" width="18.7109375" style="275" customWidth="1"/>
    <col min="9" max="9" width="20.85546875" style="275" customWidth="1"/>
    <col min="10" max="10" width="20.85546875" style="276" customWidth="1"/>
    <col min="11" max="11" width="16.140625" style="275" customWidth="1"/>
    <col min="12" max="13" width="17.7109375" style="275" customWidth="1"/>
    <col min="14" max="14" width="11.42578125" style="275"/>
    <col min="15" max="15" width="28.140625" style="275" customWidth="1"/>
    <col min="16" max="16" width="11.42578125" style="275"/>
    <col min="17" max="17" width="16.28515625" style="275" customWidth="1"/>
    <col min="18" max="18" width="16.7109375" style="275" customWidth="1"/>
    <col min="19" max="16384" width="11.42578125" style="275"/>
  </cols>
  <sheetData>
    <row r="1" spans="1:18" ht="50.25" customHeight="1" x14ac:dyDescent="0.25">
      <c r="A1" s="772" t="s">
        <v>1340</v>
      </c>
      <c r="B1" s="772"/>
      <c r="C1" s="772"/>
      <c r="D1" s="773"/>
      <c r="E1" s="773"/>
      <c r="F1" s="773"/>
      <c r="G1" s="773"/>
      <c r="H1" s="773"/>
      <c r="I1" s="773"/>
      <c r="J1" s="773"/>
      <c r="K1" s="773"/>
      <c r="L1" s="773"/>
      <c r="M1" s="773"/>
      <c r="N1" s="773"/>
      <c r="O1" s="773"/>
      <c r="P1" s="773"/>
      <c r="Q1" s="208"/>
      <c r="R1" s="208"/>
    </row>
    <row r="2" spans="1:18" ht="24" customHeight="1" x14ac:dyDescent="0.25">
      <c r="A2" s="774">
        <v>42583</v>
      </c>
      <c r="B2" s="775"/>
      <c r="C2" s="775"/>
      <c r="D2" s="776"/>
      <c r="E2" s="776"/>
      <c r="F2" s="776"/>
      <c r="G2" s="776"/>
      <c r="H2" s="776"/>
      <c r="I2" s="776"/>
      <c r="J2" s="776"/>
      <c r="K2" s="776"/>
      <c r="L2" s="776"/>
      <c r="M2" s="776"/>
      <c r="N2" s="776"/>
      <c r="O2" s="776"/>
      <c r="P2" s="776"/>
      <c r="Q2" s="208"/>
      <c r="R2" s="208"/>
    </row>
    <row r="3" spans="1:18" ht="30" customHeight="1" x14ac:dyDescent="0.25">
      <c r="A3" s="209" t="s">
        <v>4</v>
      </c>
      <c r="B3" s="88" t="s">
        <v>10</v>
      </c>
      <c r="C3" s="210" t="s">
        <v>1232</v>
      </c>
      <c r="D3" s="196" t="s">
        <v>17</v>
      </c>
      <c r="E3" s="197" t="s">
        <v>18</v>
      </c>
      <c r="F3" s="211" t="s">
        <v>27</v>
      </c>
      <c r="G3" s="198" t="s">
        <v>23</v>
      </c>
      <c r="H3" s="198" t="s">
        <v>35</v>
      </c>
      <c r="I3" s="199" t="s">
        <v>1233</v>
      </c>
      <c r="J3" s="199" t="s">
        <v>1234</v>
      </c>
      <c r="K3" s="198" t="s">
        <v>37</v>
      </c>
      <c r="L3" s="198" t="s">
        <v>1235</v>
      </c>
      <c r="M3" s="198" t="s">
        <v>1236</v>
      </c>
      <c r="N3" s="198" t="s">
        <v>1237</v>
      </c>
      <c r="O3" s="27" t="s">
        <v>1238</v>
      </c>
      <c r="P3" s="27" t="s">
        <v>1239</v>
      </c>
      <c r="Q3" s="27" t="s">
        <v>1240</v>
      </c>
      <c r="R3" s="212" t="s">
        <v>1241</v>
      </c>
    </row>
    <row r="4" spans="1:18" ht="30" customHeight="1" x14ac:dyDescent="0.25">
      <c r="A4" s="213">
        <v>42583</v>
      </c>
      <c r="B4" s="214" t="s">
        <v>1603</v>
      </c>
      <c r="C4" s="215" t="s">
        <v>1610</v>
      </c>
      <c r="D4" s="103" t="s">
        <v>1611</v>
      </c>
      <c r="E4" s="103" t="s">
        <v>826</v>
      </c>
      <c r="F4" s="216">
        <v>42390</v>
      </c>
      <c r="G4" s="104">
        <v>159.22999999999999</v>
      </c>
      <c r="H4" s="104" t="s">
        <v>1602</v>
      </c>
      <c r="I4" s="106" t="s">
        <v>1612</v>
      </c>
      <c r="J4" s="106">
        <v>119</v>
      </c>
      <c r="K4" s="34" t="s">
        <v>1434</v>
      </c>
      <c r="L4" s="34"/>
      <c r="M4" s="34"/>
      <c r="N4" s="34" t="s">
        <v>1613</v>
      </c>
      <c r="O4" s="217" t="s">
        <v>1601</v>
      </c>
      <c r="P4" s="34" t="s">
        <v>1415</v>
      </c>
      <c r="Q4" s="34"/>
      <c r="R4" s="218" t="s">
        <v>1522</v>
      </c>
    </row>
    <row r="5" spans="1:18" ht="30" customHeight="1" x14ac:dyDescent="0.25">
      <c r="A5" s="219">
        <v>42583</v>
      </c>
      <c r="B5" s="88" t="s">
        <v>1606</v>
      </c>
      <c r="C5" s="220" t="s">
        <v>1610</v>
      </c>
      <c r="D5" s="124" t="s">
        <v>825</v>
      </c>
      <c r="E5" s="33" t="s">
        <v>830</v>
      </c>
      <c r="F5" s="216">
        <v>42355</v>
      </c>
      <c r="G5" s="104">
        <v>209.28</v>
      </c>
      <c r="H5" s="104" t="s">
        <v>1614</v>
      </c>
      <c r="I5" s="106">
        <v>1.45</v>
      </c>
      <c r="J5" s="106">
        <v>138.5</v>
      </c>
      <c r="K5" s="34" t="s">
        <v>1434</v>
      </c>
      <c r="L5" s="34"/>
      <c r="M5" s="34"/>
      <c r="N5" s="34" t="s">
        <v>1613</v>
      </c>
      <c r="O5" s="217" t="s">
        <v>1601</v>
      </c>
      <c r="P5" s="34" t="s">
        <v>1413</v>
      </c>
      <c r="Q5" s="34"/>
      <c r="R5" s="218" t="s">
        <v>1522</v>
      </c>
    </row>
    <row r="6" spans="1:18" ht="30" x14ac:dyDescent="0.25">
      <c r="A6" s="213">
        <v>42583</v>
      </c>
      <c r="B6" s="88" t="s">
        <v>1432</v>
      </c>
      <c r="C6" s="220" t="s">
        <v>824</v>
      </c>
      <c r="D6" s="124" t="s">
        <v>859</v>
      </c>
      <c r="E6" s="124" t="s">
        <v>865</v>
      </c>
      <c r="F6" s="277">
        <v>42416</v>
      </c>
      <c r="G6" s="104">
        <v>402.4</v>
      </c>
      <c r="H6" s="104" t="s">
        <v>1616</v>
      </c>
      <c r="I6" s="106" t="s">
        <v>1615</v>
      </c>
      <c r="J6" s="106" t="s">
        <v>1617</v>
      </c>
      <c r="K6" s="34" t="s">
        <v>49</v>
      </c>
      <c r="L6" s="34"/>
      <c r="M6" s="34"/>
      <c r="N6" s="34" t="s">
        <v>1463</v>
      </c>
      <c r="O6" s="217" t="s">
        <v>1538</v>
      </c>
      <c r="P6" s="34" t="s">
        <v>1413</v>
      </c>
      <c r="Q6" s="34" t="s">
        <v>1618</v>
      </c>
      <c r="R6" s="218" t="s">
        <v>1522</v>
      </c>
    </row>
    <row r="7" spans="1:18" ht="23.25" x14ac:dyDescent="0.25">
      <c r="A7" s="219">
        <v>42584</v>
      </c>
      <c r="B7" s="88" t="s">
        <v>1606</v>
      </c>
      <c r="C7" s="220" t="s">
        <v>1610</v>
      </c>
      <c r="D7" s="124" t="s">
        <v>825</v>
      </c>
      <c r="E7" s="33" t="s">
        <v>830</v>
      </c>
      <c r="F7" s="216">
        <v>42355</v>
      </c>
      <c r="G7" s="104">
        <v>209.28</v>
      </c>
      <c r="H7" s="104" t="s">
        <v>1605</v>
      </c>
      <c r="I7" s="106" t="s">
        <v>1620</v>
      </c>
      <c r="J7" s="106" t="s">
        <v>1619</v>
      </c>
      <c r="K7" s="34" t="s">
        <v>1434</v>
      </c>
      <c r="L7" s="34"/>
      <c r="M7" s="34"/>
      <c r="N7" s="34" t="s">
        <v>1464</v>
      </c>
      <c r="O7" s="217" t="s">
        <v>1601</v>
      </c>
      <c r="P7" s="34" t="s">
        <v>1413</v>
      </c>
      <c r="Q7" s="34"/>
      <c r="R7" s="218" t="s">
        <v>1522</v>
      </c>
    </row>
    <row r="8" spans="1:18" ht="30" x14ac:dyDescent="0.25">
      <c r="A8" s="221">
        <v>42583</v>
      </c>
      <c r="B8" s="88" t="s">
        <v>1432</v>
      </c>
      <c r="C8" s="220" t="s">
        <v>1610</v>
      </c>
      <c r="D8" s="103" t="s">
        <v>859</v>
      </c>
      <c r="E8" s="103" t="s">
        <v>865</v>
      </c>
      <c r="F8" s="216">
        <v>42416</v>
      </c>
      <c r="G8" s="104">
        <v>402.4</v>
      </c>
      <c r="H8" s="104" t="s">
        <v>248</v>
      </c>
      <c r="I8" s="106" t="s">
        <v>1621</v>
      </c>
      <c r="J8" s="106" t="s">
        <v>1622</v>
      </c>
      <c r="K8" s="34" t="s">
        <v>49</v>
      </c>
      <c r="L8" s="34"/>
      <c r="M8" s="34"/>
      <c r="N8" s="34" t="s">
        <v>1431</v>
      </c>
      <c r="O8" s="217" t="s">
        <v>1601</v>
      </c>
      <c r="P8" s="34" t="s">
        <v>1415</v>
      </c>
      <c r="Q8" s="34" t="s">
        <v>1623</v>
      </c>
      <c r="R8" s="218" t="s">
        <v>1522</v>
      </c>
    </row>
    <row r="9" spans="1:18" ht="23.25" x14ac:dyDescent="0.25">
      <c r="A9" s="219">
        <v>42585</v>
      </c>
      <c r="B9" s="88" t="s">
        <v>1606</v>
      </c>
      <c r="C9" s="220" t="s">
        <v>1610</v>
      </c>
      <c r="D9" s="124" t="s">
        <v>825</v>
      </c>
      <c r="E9" s="33" t="s">
        <v>830</v>
      </c>
      <c r="F9" s="216">
        <v>42355</v>
      </c>
      <c r="G9" s="104">
        <v>209.28</v>
      </c>
      <c r="H9" s="104" t="s">
        <v>1605</v>
      </c>
      <c r="I9" s="106" t="s">
        <v>1626</v>
      </c>
      <c r="J9" s="106" t="s">
        <v>1627</v>
      </c>
      <c r="K9" s="34" t="s">
        <v>1434</v>
      </c>
      <c r="L9" s="34"/>
      <c r="M9" s="34"/>
      <c r="N9" s="34" t="s">
        <v>1464</v>
      </c>
      <c r="O9" s="217" t="s">
        <v>1601</v>
      </c>
      <c r="P9" s="34" t="s">
        <v>1413</v>
      </c>
      <c r="Q9" s="34"/>
      <c r="R9" s="218" t="s">
        <v>1522</v>
      </c>
    </row>
    <row r="10" spans="1:18" ht="23.25" x14ac:dyDescent="0.25">
      <c r="A10" s="221">
        <v>42587</v>
      </c>
      <c r="B10" s="88" t="s">
        <v>1567</v>
      </c>
      <c r="C10" s="220" t="s">
        <v>824</v>
      </c>
      <c r="D10" s="124" t="s">
        <v>41</v>
      </c>
      <c r="E10" s="124" t="s">
        <v>1523</v>
      </c>
      <c r="F10" s="260">
        <v>42545</v>
      </c>
      <c r="G10" s="126">
        <v>246.19</v>
      </c>
      <c r="H10" s="104" t="s">
        <v>1433</v>
      </c>
      <c r="I10" s="106" t="s">
        <v>1633</v>
      </c>
      <c r="J10" s="106" t="s">
        <v>1634</v>
      </c>
      <c r="K10" s="34" t="s">
        <v>49</v>
      </c>
      <c r="L10" s="34"/>
      <c r="M10" s="34"/>
      <c r="N10" s="34" t="s">
        <v>1463</v>
      </c>
      <c r="O10" s="217" t="s">
        <v>1538</v>
      </c>
      <c r="P10" s="34" t="s">
        <v>1413</v>
      </c>
      <c r="Q10" s="34"/>
      <c r="R10" s="218" t="s">
        <v>1522</v>
      </c>
    </row>
    <row r="11" spans="1:18" ht="23.25" x14ac:dyDescent="0.25">
      <c r="A11" s="221">
        <v>42591</v>
      </c>
      <c r="B11" s="88" t="s">
        <v>1645</v>
      </c>
      <c r="C11" s="220" t="s">
        <v>40</v>
      </c>
      <c r="D11" s="124" t="s">
        <v>1640</v>
      </c>
      <c r="E11" s="33" t="s">
        <v>1628</v>
      </c>
      <c r="F11" s="216">
        <v>42591</v>
      </c>
      <c r="G11" s="104">
        <v>378.2</v>
      </c>
      <c r="H11" s="104" t="s">
        <v>248</v>
      </c>
      <c r="I11" s="106" t="s">
        <v>139</v>
      </c>
      <c r="J11" s="106" t="s">
        <v>1646</v>
      </c>
      <c r="K11" s="34" t="s">
        <v>212</v>
      </c>
      <c r="L11" s="34" t="s">
        <v>1647</v>
      </c>
      <c r="M11" s="47"/>
      <c r="N11" s="34" t="s">
        <v>1429</v>
      </c>
      <c r="O11" s="217" t="s">
        <v>1644</v>
      </c>
      <c r="P11" s="34" t="s">
        <v>1415</v>
      </c>
      <c r="Q11" s="34"/>
      <c r="R11" s="218" t="s">
        <v>1522</v>
      </c>
    </row>
    <row r="12" spans="1:18" ht="23.25" x14ac:dyDescent="0.25">
      <c r="A12" s="221">
        <v>42591</v>
      </c>
      <c r="B12" s="88" t="s">
        <v>1648</v>
      </c>
      <c r="C12" s="220" t="s">
        <v>40</v>
      </c>
      <c r="D12" s="103" t="s">
        <v>1640</v>
      </c>
      <c r="E12" s="103" t="s">
        <v>1629</v>
      </c>
      <c r="F12" s="216">
        <v>42591</v>
      </c>
      <c r="G12" s="104">
        <v>324.39</v>
      </c>
      <c r="H12" s="104" t="s">
        <v>248</v>
      </c>
      <c r="I12" s="106" t="s">
        <v>139</v>
      </c>
      <c r="J12" s="106" t="s">
        <v>1649</v>
      </c>
      <c r="K12" s="34" t="s">
        <v>212</v>
      </c>
      <c r="L12" s="34" t="s">
        <v>1647</v>
      </c>
      <c r="M12" s="47"/>
      <c r="N12" s="34" t="s">
        <v>1429</v>
      </c>
      <c r="O12" s="217" t="s">
        <v>1644</v>
      </c>
      <c r="P12" s="34" t="s">
        <v>1415</v>
      </c>
      <c r="Q12" s="34"/>
      <c r="R12" s="218" t="s">
        <v>1522</v>
      </c>
    </row>
    <row r="13" spans="1:18" ht="23.25" x14ac:dyDescent="0.25">
      <c r="A13" s="221">
        <v>42591</v>
      </c>
      <c r="B13" s="88" t="s">
        <v>1650</v>
      </c>
      <c r="C13" s="220" t="s">
        <v>40</v>
      </c>
      <c r="D13" s="124" t="s">
        <v>1640</v>
      </c>
      <c r="E13" s="124" t="s">
        <v>1643</v>
      </c>
      <c r="F13" s="279">
        <v>42591</v>
      </c>
      <c r="G13" s="34">
        <v>336.39</v>
      </c>
      <c r="H13" s="126" t="s">
        <v>248</v>
      </c>
      <c r="I13" s="47" t="s">
        <v>1427</v>
      </c>
      <c r="J13" s="126" t="s">
        <v>1651</v>
      </c>
      <c r="K13" s="126" t="s">
        <v>212</v>
      </c>
      <c r="L13" s="104" t="s">
        <v>1647</v>
      </c>
      <c r="M13" s="265"/>
      <c r="N13" s="260" t="s">
        <v>1416</v>
      </c>
      <c r="O13" s="217" t="s">
        <v>1644</v>
      </c>
      <c r="P13" s="34" t="s">
        <v>1415</v>
      </c>
      <c r="Q13" s="34"/>
      <c r="R13" s="218" t="s">
        <v>1522</v>
      </c>
    </row>
    <row r="14" spans="1:18" ht="23.25" x14ac:dyDescent="0.25">
      <c r="A14" s="221">
        <v>42592</v>
      </c>
      <c r="B14" s="88" t="s">
        <v>1655</v>
      </c>
      <c r="C14" s="220" t="s">
        <v>1610</v>
      </c>
      <c r="D14" s="124" t="s">
        <v>41</v>
      </c>
      <c r="E14" s="124" t="s">
        <v>806</v>
      </c>
      <c r="F14" s="216">
        <v>42592</v>
      </c>
      <c r="G14" s="104">
        <v>527.30999999999995</v>
      </c>
      <c r="H14" s="104" t="s">
        <v>699</v>
      </c>
      <c r="I14" s="106" t="s">
        <v>183</v>
      </c>
      <c r="J14" s="106" t="s">
        <v>1656</v>
      </c>
      <c r="K14" s="34" t="s">
        <v>49</v>
      </c>
      <c r="L14" s="34" t="s">
        <v>853</v>
      </c>
      <c r="M14" s="34"/>
      <c r="N14" s="34" t="s">
        <v>1464</v>
      </c>
      <c r="O14" s="217" t="s">
        <v>1639</v>
      </c>
      <c r="P14" s="34" t="s">
        <v>1415</v>
      </c>
      <c r="Q14" s="34"/>
      <c r="R14" s="218" t="s">
        <v>1522</v>
      </c>
    </row>
    <row r="15" spans="1:18" ht="23.25" x14ac:dyDescent="0.25">
      <c r="A15" s="221">
        <v>42592</v>
      </c>
      <c r="B15" s="88" t="s">
        <v>1657</v>
      </c>
      <c r="C15" s="220" t="s">
        <v>1610</v>
      </c>
      <c r="D15" s="103" t="s">
        <v>825</v>
      </c>
      <c r="E15" s="124" t="s">
        <v>826</v>
      </c>
      <c r="F15" s="216">
        <v>42592</v>
      </c>
      <c r="G15" s="104">
        <v>159.22999999999999</v>
      </c>
      <c r="H15" s="104" t="s">
        <v>1602</v>
      </c>
      <c r="I15" s="106">
        <v>4.2699999999999996</v>
      </c>
      <c r="J15" s="106">
        <v>134</v>
      </c>
      <c r="K15" s="34" t="s">
        <v>1434</v>
      </c>
      <c r="L15" s="34" t="s">
        <v>61</v>
      </c>
      <c r="M15" s="34" t="s">
        <v>61</v>
      </c>
      <c r="N15" s="34" t="s">
        <v>1613</v>
      </c>
      <c r="O15" s="217" t="s">
        <v>1601</v>
      </c>
      <c r="P15" s="34" t="s">
        <v>1413</v>
      </c>
      <c r="Q15" s="34"/>
      <c r="R15" s="218" t="s">
        <v>1522</v>
      </c>
    </row>
    <row r="16" spans="1:18" ht="23.25" x14ac:dyDescent="0.25">
      <c r="A16" s="221">
        <v>42593</v>
      </c>
      <c r="B16" s="88" t="s">
        <v>1438</v>
      </c>
      <c r="C16" s="220" t="s">
        <v>1610</v>
      </c>
      <c r="D16" s="103" t="s">
        <v>41</v>
      </c>
      <c r="E16" s="124" t="s">
        <v>254</v>
      </c>
      <c r="F16" s="216" t="s">
        <v>1658</v>
      </c>
      <c r="G16" s="104">
        <v>602.58000000000004</v>
      </c>
      <c r="H16" s="104" t="s">
        <v>334</v>
      </c>
      <c r="I16" s="106" t="s">
        <v>1683</v>
      </c>
      <c r="J16" s="106" t="s">
        <v>1659</v>
      </c>
      <c r="K16" s="106" t="s">
        <v>212</v>
      </c>
      <c r="L16" s="34" t="s">
        <v>1462</v>
      </c>
      <c r="M16" s="34"/>
      <c r="N16" s="34" t="s">
        <v>1464</v>
      </c>
      <c r="O16" s="217" t="s">
        <v>1660</v>
      </c>
      <c r="P16" s="34" t="s">
        <v>1413</v>
      </c>
      <c r="Q16" s="34"/>
      <c r="R16" s="218" t="s">
        <v>1522</v>
      </c>
    </row>
    <row r="17" spans="1:19" ht="23.25" x14ac:dyDescent="0.25">
      <c r="A17" s="221">
        <v>42598</v>
      </c>
      <c r="B17" s="88" t="s">
        <v>1657</v>
      </c>
      <c r="C17" s="220" t="s">
        <v>1610</v>
      </c>
      <c r="D17" s="103" t="s">
        <v>825</v>
      </c>
      <c r="E17" s="124" t="s">
        <v>826</v>
      </c>
      <c r="F17" s="216">
        <v>42592</v>
      </c>
      <c r="G17" s="104">
        <v>159.22999999999999</v>
      </c>
      <c r="H17" s="104" t="s">
        <v>1602</v>
      </c>
      <c r="I17" s="106" t="s">
        <v>1662</v>
      </c>
      <c r="J17" s="106" t="s">
        <v>1661</v>
      </c>
      <c r="K17" s="34" t="s">
        <v>1434</v>
      </c>
      <c r="L17" s="34"/>
      <c r="M17" s="47"/>
      <c r="N17" s="34" t="s">
        <v>1596</v>
      </c>
      <c r="O17" s="217" t="s">
        <v>1601</v>
      </c>
      <c r="P17" s="273"/>
      <c r="Q17" s="34"/>
      <c r="R17" s="218" t="s">
        <v>1522</v>
      </c>
    </row>
    <row r="18" spans="1:19" ht="23.25" x14ac:dyDescent="0.25">
      <c r="A18" s="221">
        <v>42599</v>
      </c>
      <c r="B18" s="88" t="s">
        <v>1534</v>
      </c>
      <c r="C18" s="220" t="s">
        <v>40</v>
      </c>
      <c r="D18" s="124" t="s">
        <v>1041</v>
      </c>
      <c r="E18" s="124" t="s">
        <v>1513</v>
      </c>
      <c r="F18" s="216">
        <v>42536</v>
      </c>
      <c r="G18" s="126">
        <v>169.18</v>
      </c>
      <c r="H18" s="104" t="s">
        <v>898</v>
      </c>
      <c r="I18" s="106" t="s">
        <v>1663</v>
      </c>
      <c r="J18" s="106" t="s">
        <v>1664</v>
      </c>
      <c r="K18" s="34" t="s">
        <v>1535</v>
      </c>
      <c r="L18" s="34">
        <v>520</v>
      </c>
      <c r="M18" s="47">
        <v>260</v>
      </c>
      <c r="N18" s="34" t="s">
        <v>1429</v>
      </c>
      <c r="O18" s="217" t="s">
        <v>1665</v>
      </c>
      <c r="P18" s="34" t="s">
        <v>1413</v>
      </c>
      <c r="Q18" s="34"/>
      <c r="R18" s="218" t="s">
        <v>1522</v>
      </c>
    </row>
    <row r="19" spans="1:19" ht="23.25" x14ac:dyDescent="0.25">
      <c r="A19" s="221">
        <v>42599</v>
      </c>
      <c r="B19" s="88" t="s">
        <v>1657</v>
      </c>
      <c r="C19" s="220" t="s">
        <v>1610</v>
      </c>
      <c r="D19" s="103" t="s">
        <v>825</v>
      </c>
      <c r="E19" s="124" t="s">
        <v>826</v>
      </c>
      <c r="F19" s="216">
        <v>42592</v>
      </c>
      <c r="G19" s="104">
        <v>159.22999999999999</v>
      </c>
      <c r="H19" s="104" t="s">
        <v>1602</v>
      </c>
      <c r="I19" s="106" t="s">
        <v>1666</v>
      </c>
      <c r="J19" s="106" t="s">
        <v>1667</v>
      </c>
      <c r="K19" s="34" t="s">
        <v>1434</v>
      </c>
      <c r="L19" s="34"/>
      <c r="M19" s="47"/>
      <c r="N19" s="34" t="s">
        <v>1596</v>
      </c>
      <c r="O19" s="217" t="s">
        <v>1601</v>
      </c>
      <c r="P19" s="273"/>
      <c r="Q19" s="34"/>
      <c r="R19" s="218" t="s">
        <v>1522</v>
      </c>
    </row>
    <row r="20" spans="1:19" ht="23.25" x14ac:dyDescent="0.25">
      <c r="A20" s="221">
        <v>42600</v>
      </c>
      <c r="B20" s="88" t="s">
        <v>1669</v>
      </c>
      <c r="C20" s="220" t="s">
        <v>40</v>
      </c>
      <c r="D20" s="103" t="s">
        <v>1640</v>
      </c>
      <c r="E20" s="124" t="s">
        <v>1668</v>
      </c>
      <c r="F20" s="216">
        <v>42600</v>
      </c>
      <c r="G20" s="126">
        <v>354.42</v>
      </c>
      <c r="H20" s="104" t="s">
        <v>248</v>
      </c>
      <c r="I20" s="106" t="s">
        <v>139</v>
      </c>
      <c r="J20" s="106" t="s">
        <v>1670</v>
      </c>
      <c r="K20" s="34" t="s">
        <v>212</v>
      </c>
      <c r="L20" s="34">
        <v>160</v>
      </c>
      <c r="M20" s="34"/>
      <c r="N20" s="34" t="s">
        <v>1429</v>
      </c>
      <c r="O20" s="217" t="s">
        <v>1644</v>
      </c>
      <c r="P20" s="34" t="s">
        <v>1415</v>
      </c>
      <c r="Q20" s="34"/>
      <c r="R20" s="218" t="s">
        <v>1522</v>
      </c>
    </row>
    <row r="21" spans="1:19" ht="23.25" x14ac:dyDescent="0.25">
      <c r="A21" s="221">
        <v>42601</v>
      </c>
      <c r="B21" s="88" t="s">
        <v>1671</v>
      </c>
      <c r="C21" s="220" t="s">
        <v>40</v>
      </c>
      <c r="D21" s="124" t="s">
        <v>1373</v>
      </c>
      <c r="E21" s="124" t="s">
        <v>1562</v>
      </c>
      <c r="F21" s="216">
        <v>42601</v>
      </c>
      <c r="G21" s="126">
        <v>301.32</v>
      </c>
      <c r="H21" s="104" t="s">
        <v>248</v>
      </c>
      <c r="I21" s="106" t="s">
        <v>183</v>
      </c>
      <c r="J21" s="106" t="s">
        <v>1672</v>
      </c>
      <c r="K21" s="34" t="s">
        <v>212</v>
      </c>
      <c r="L21" s="34"/>
      <c r="M21" s="47"/>
      <c r="N21" s="34" t="s">
        <v>1429</v>
      </c>
      <c r="O21" s="217" t="s">
        <v>1575</v>
      </c>
      <c r="P21" s="34" t="s">
        <v>1415</v>
      </c>
      <c r="Q21" s="34"/>
      <c r="R21" s="218" t="s">
        <v>1522</v>
      </c>
    </row>
    <row r="22" spans="1:19" ht="23.25" x14ac:dyDescent="0.25">
      <c r="A22" s="221">
        <v>42604</v>
      </c>
      <c r="B22" s="88" t="s">
        <v>1675</v>
      </c>
      <c r="C22" s="220" t="s">
        <v>40</v>
      </c>
      <c r="D22" s="103" t="s">
        <v>230</v>
      </c>
      <c r="E22" s="103" t="s">
        <v>1630</v>
      </c>
      <c r="F22" s="216">
        <v>42604</v>
      </c>
      <c r="G22" s="104">
        <v>456.62</v>
      </c>
      <c r="H22" s="104" t="s">
        <v>248</v>
      </c>
      <c r="I22" s="106" t="s">
        <v>1676</v>
      </c>
      <c r="J22" s="106" t="s">
        <v>1677</v>
      </c>
      <c r="K22" s="34" t="s">
        <v>212</v>
      </c>
      <c r="L22" s="34">
        <v>160</v>
      </c>
      <c r="M22" s="34">
        <v>50</v>
      </c>
      <c r="N22" s="34" t="s">
        <v>1431</v>
      </c>
      <c r="O22" s="217" t="s">
        <v>1575</v>
      </c>
      <c r="P22" s="34" t="s">
        <v>1413</v>
      </c>
      <c r="Q22" s="34"/>
      <c r="R22" s="218" t="s">
        <v>1522</v>
      </c>
    </row>
    <row r="23" spans="1:19" ht="23.25" x14ac:dyDescent="0.25">
      <c r="A23" s="221">
        <v>42604</v>
      </c>
      <c r="B23" s="88" t="s">
        <v>1606</v>
      </c>
      <c r="C23" s="220" t="s">
        <v>1610</v>
      </c>
      <c r="D23" s="124" t="s">
        <v>825</v>
      </c>
      <c r="E23" s="124" t="s">
        <v>830</v>
      </c>
      <c r="F23" s="216">
        <v>42355</v>
      </c>
      <c r="G23" s="104">
        <v>209.28</v>
      </c>
      <c r="H23" s="104" t="s">
        <v>1614</v>
      </c>
      <c r="I23" s="106" t="s">
        <v>1678</v>
      </c>
      <c r="J23" s="106" t="s">
        <v>1679</v>
      </c>
      <c r="K23" s="34" t="s">
        <v>1434</v>
      </c>
      <c r="L23" s="34"/>
      <c r="M23" s="34"/>
      <c r="N23" s="34" t="s">
        <v>1596</v>
      </c>
      <c r="O23" s="217" t="s">
        <v>1601</v>
      </c>
      <c r="P23" s="273"/>
      <c r="Q23" s="34"/>
      <c r="R23" s="218" t="s">
        <v>1522</v>
      </c>
    </row>
    <row r="24" spans="1:19" ht="23.25" x14ac:dyDescent="0.25">
      <c r="A24" s="221">
        <v>42605</v>
      </c>
      <c r="B24" s="88" t="s">
        <v>1606</v>
      </c>
      <c r="C24" s="220" t="s">
        <v>1610</v>
      </c>
      <c r="D24" s="124" t="s">
        <v>825</v>
      </c>
      <c r="E24" s="124" t="s">
        <v>830</v>
      </c>
      <c r="F24" s="216">
        <v>42355</v>
      </c>
      <c r="G24" s="104">
        <v>209.28</v>
      </c>
      <c r="H24" s="104" t="s">
        <v>1614</v>
      </c>
      <c r="I24" s="106">
        <v>3.3</v>
      </c>
      <c r="J24" s="106" t="s">
        <v>1680</v>
      </c>
      <c r="K24" s="34" t="s">
        <v>1434</v>
      </c>
      <c r="L24" s="34"/>
      <c r="M24" s="34"/>
      <c r="N24" s="34" t="s">
        <v>1681</v>
      </c>
      <c r="O24" s="217" t="s">
        <v>1601</v>
      </c>
      <c r="P24" s="273"/>
      <c r="Q24" s="34"/>
      <c r="R24" s="218" t="s">
        <v>1522</v>
      </c>
    </row>
    <row r="25" spans="1:19" ht="23.25" x14ac:dyDescent="0.25">
      <c r="A25" s="221">
        <v>42606</v>
      </c>
      <c r="B25" s="88" t="s">
        <v>1685</v>
      </c>
      <c r="C25" s="220" t="s">
        <v>1610</v>
      </c>
      <c r="D25" s="103" t="s">
        <v>1686</v>
      </c>
      <c r="E25" s="103" t="s">
        <v>1592</v>
      </c>
      <c r="F25" s="216">
        <v>42606</v>
      </c>
      <c r="G25" s="104">
        <v>352.39</v>
      </c>
      <c r="H25" s="104" t="s">
        <v>50</v>
      </c>
      <c r="I25" s="106" t="s">
        <v>86</v>
      </c>
      <c r="J25" s="106" t="s">
        <v>1687</v>
      </c>
      <c r="K25" s="34" t="s">
        <v>212</v>
      </c>
      <c r="L25" s="34">
        <v>160</v>
      </c>
      <c r="M25" s="34">
        <v>460</v>
      </c>
      <c r="N25" s="34" t="s">
        <v>1464</v>
      </c>
      <c r="O25" s="217" t="s">
        <v>1688</v>
      </c>
      <c r="P25" s="34" t="s">
        <v>1415</v>
      </c>
      <c r="Q25" s="34"/>
      <c r="R25" s="218" t="s">
        <v>1522</v>
      </c>
    </row>
    <row r="26" spans="1:19" ht="24.75" customHeight="1" x14ac:dyDescent="0.25">
      <c r="A26" s="221">
        <v>42611</v>
      </c>
      <c r="B26" s="88" t="s">
        <v>1694</v>
      </c>
      <c r="C26" s="220" t="s">
        <v>40</v>
      </c>
      <c r="D26" s="278" t="s">
        <v>41</v>
      </c>
      <c r="E26" s="103" t="s">
        <v>1695</v>
      </c>
      <c r="F26" s="216">
        <v>42611</v>
      </c>
      <c r="G26" s="104" t="s">
        <v>61</v>
      </c>
      <c r="H26" s="104" t="s">
        <v>1172</v>
      </c>
      <c r="I26" s="106" t="s">
        <v>86</v>
      </c>
      <c r="J26" s="106" t="s">
        <v>786</v>
      </c>
      <c r="K26" s="34" t="s">
        <v>49</v>
      </c>
      <c r="L26" s="34">
        <v>220</v>
      </c>
      <c r="M26" s="34"/>
      <c r="N26" s="34" t="s">
        <v>1431</v>
      </c>
      <c r="O26" s="217" t="s">
        <v>1538</v>
      </c>
      <c r="P26" s="34" t="s">
        <v>1415</v>
      </c>
      <c r="Q26" s="34"/>
      <c r="R26" s="218" t="s">
        <v>1522</v>
      </c>
      <c r="S26" s="222"/>
    </row>
    <row r="27" spans="1:19" ht="23.25" x14ac:dyDescent="0.25">
      <c r="A27" s="221">
        <v>42613</v>
      </c>
      <c r="B27" s="88" t="s">
        <v>1531</v>
      </c>
      <c r="C27" s="220" t="s">
        <v>40</v>
      </c>
      <c r="D27" s="103" t="s">
        <v>41</v>
      </c>
      <c r="E27" s="103" t="s">
        <v>243</v>
      </c>
      <c r="F27" s="216">
        <v>42234</v>
      </c>
      <c r="G27" s="104">
        <v>213.23</v>
      </c>
      <c r="H27" s="104" t="s">
        <v>50</v>
      </c>
      <c r="I27" s="106" t="s">
        <v>1697</v>
      </c>
      <c r="J27" s="106" t="s">
        <v>1698</v>
      </c>
      <c r="K27" s="34" t="s">
        <v>49</v>
      </c>
      <c r="L27" s="34"/>
      <c r="M27" s="34"/>
      <c r="N27" s="34" t="s">
        <v>1431</v>
      </c>
      <c r="O27" s="217" t="s">
        <v>1696</v>
      </c>
      <c r="P27" s="34" t="s">
        <v>1413</v>
      </c>
      <c r="Q27" s="34"/>
      <c r="R27" s="218" t="s">
        <v>1522</v>
      </c>
    </row>
    <row r="28" spans="1:19" ht="23.25" x14ac:dyDescent="0.25">
      <c r="A28" s="221"/>
      <c r="B28" s="88"/>
      <c r="C28" s="220"/>
      <c r="D28" s="103"/>
      <c r="E28" s="103"/>
      <c r="F28" s="216"/>
      <c r="G28" s="104"/>
      <c r="H28" s="104"/>
      <c r="I28" s="106"/>
      <c r="J28" s="106"/>
      <c r="K28" s="34"/>
      <c r="L28" s="34"/>
      <c r="M28" s="34"/>
      <c r="N28" s="34"/>
      <c r="O28" s="217"/>
      <c r="P28" s="34"/>
      <c r="Q28" s="34"/>
      <c r="R28" s="218"/>
    </row>
    <row r="29" spans="1:19" ht="23.25" x14ac:dyDescent="0.25">
      <c r="A29" s="221"/>
      <c r="B29" s="88"/>
      <c r="C29" s="220"/>
      <c r="D29" s="103"/>
      <c r="E29" s="103"/>
      <c r="F29" s="216"/>
      <c r="G29" s="104"/>
      <c r="H29" s="104"/>
      <c r="I29" s="106"/>
      <c r="J29" s="106"/>
      <c r="K29" s="34"/>
      <c r="L29" s="34"/>
      <c r="M29" s="34"/>
      <c r="N29" s="34"/>
      <c r="O29" s="217"/>
      <c r="P29" s="34"/>
      <c r="Q29" s="34"/>
      <c r="R29" s="218"/>
    </row>
    <row r="30" spans="1:19" ht="23.25" x14ac:dyDescent="0.25">
      <c r="A30" s="221"/>
      <c r="B30" s="88"/>
      <c r="C30" s="220"/>
      <c r="D30" s="103"/>
      <c r="E30" s="103"/>
      <c r="F30" s="216"/>
      <c r="G30" s="104"/>
      <c r="H30" s="104"/>
      <c r="I30" s="106"/>
      <c r="J30" s="106"/>
      <c r="K30" s="34"/>
      <c r="L30" s="34"/>
      <c r="M30" s="34"/>
      <c r="N30" s="34"/>
      <c r="O30" s="217"/>
      <c r="P30" s="34"/>
      <c r="Q30" s="34"/>
      <c r="R30" s="218"/>
    </row>
    <row r="31" spans="1:19" ht="23.25" x14ac:dyDescent="0.25">
      <c r="A31" s="221"/>
      <c r="B31" s="88"/>
      <c r="C31" s="220"/>
      <c r="D31" s="103"/>
      <c r="E31" s="103"/>
      <c r="F31" s="216"/>
      <c r="G31" s="104"/>
      <c r="H31" s="104"/>
      <c r="I31" s="106"/>
      <c r="J31" s="106"/>
      <c r="K31" s="34"/>
      <c r="L31" s="34"/>
      <c r="M31" s="34"/>
      <c r="N31" s="34"/>
      <c r="O31" s="217"/>
      <c r="P31" s="34"/>
      <c r="Q31" s="34"/>
      <c r="R31" s="218"/>
    </row>
    <row r="32" spans="1:19" ht="26.25" x14ac:dyDescent="0.25">
      <c r="A32" s="221"/>
      <c r="B32" s="88"/>
      <c r="C32" s="220"/>
      <c r="D32" s="103"/>
      <c r="E32" s="103"/>
      <c r="F32" s="216"/>
      <c r="G32" s="280" t="s">
        <v>1700</v>
      </c>
      <c r="H32" s="104"/>
      <c r="I32" s="106"/>
      <c r="J32" s="106"/>
      <c r="K32" s="34"/>
      <c r="L32" s="34"/>
      <c r="M32" s="34"/>
      <c r="N32" s="34"/>
      <c r="O32" s="217"/>
      <c r="P32" s="34"/>
      <c r="Q32" s="34"/>
      <c r="R32" s="218"/>
    </row>
    <row r="33" spans="1:18" ht="23.25" x14ac:dyDescent="0.25">
      <c r="A33" s="221"/>
      <c r="B33" s="88"/>
      <c r="C33" s="220"/>
      <c r="D33" s="103"/>
      <c r="E33" s="103"/>
      <c r="F33" s="216"/>
      <c r="G33" s="104"/>
      <c r="H33" s="104"/>
      <c r="I33" s="106"/>
      <c r="J33" s="106"/>
      <c r="K33" s="34"/>
      <c r="L33" s="34"/>
      <c r="M33" s="34"/>
      <c r="N33" s="34"/>
      <c r="O33" s="217"/>
      <c r="P33" s="34"/>
      <c r="Q33" s="34"/>
      <c r="R33" s="218"/>
    </row>
    <row r="34" spans="1:18" ht="23.25" x14ac:dyDescent="0.25">
      <c r="A34" s="221"/>
      <c r="B34" s="88"/>
      <c r="C34" s="220"/>
      <c r="D34" s="103"/>
      <c r="E34" s="103"/>
      <c r="F34" s="216"/>
      <c r="G34" s="104"/>
      <c r="H34" s="104"/>
      <c r="I34" s="106"/>
      <c r="J34" s="106"/>
      <c r="K34" s="34"/>
      <c r="L34" s="34"/>
      <c r="M34" s="34"/>
      <c r="N34" s="34"/>
      <c r="O34" s="217"/>
      <c r="P34" s="34"/>
      <c r="Q34" s="34"/>
      <c r="R34" s="218"/>
    </row>
    <row r="35" spans="1:18" ht="23.25" x14ac:dyDescent="0.25">
      <c r="A35" s="221"/>
      <c r="B35" s="88"/>
      <c r="C35" s="220"/>
      <c r="D35" s="103"/>
      <c r="E35" s="103"/>
      <c r="F35" s="216"/>
      <c r="G35" s="104"/>
      <c r="H35" s="104"/>
      <c r="I35" s="106"/>
      <c r="J35" s="106"/>
      <c r="K35" s="34"/>
      <c r="L35" s="34"/>
      <c r="M35" s="34"/>
      <c r="N35" s="34"/>
      <c r="O35" s="217"/>
      <c r="P35" s="34"/>
      <c r="Q35" s="34"/>
      <c r="R35" s="218"/>
    </row>
    <row r="36" spans="1:18" ht="23.25" x14ac:dyDescent="0.25">
      <c r="A36" s="221"/>
      <c r="B36" s="88"/>
      <c r="C36" s="220"/>
      <c r="D36" s="103"/>
      <c r="E36" s="103"/>
      <c r="F36" s="216"/>
      <c r="G36" s="104"/>
      <c r="H36" s="104"/>
      <c r="I36" s="106"/>
      <c r="J36" s="106"/>
      <c r="K36" s="34"/>
      <c r="L36" s="34"/>
      <c r="M36" s="34"/>
      <c r="N36" s="34"/>
      <c r="O36" s="217"/>
      <c r="P36" s="34"/>
      <c r="Q36" s="34"/>
      <c r="R36" s="218"/>
    </row>
    <row r="37" spans="1:18" ht="23.25" x14ac:dyDescent="0.25">
      <c r="A37" s="221"/>
      <c r="B37" s="88"/>
      <c r="C37" s="220"/>
      <c r="D37" s="103"/>
      <c r="E37" s="103"/>
      <c r="F37" s="216"/>
      <c r="G37" s="104"/>
      <c r="H37" s="104"/>
      <c r="I37" s="106"/>
      <c r="J37" s="106"/>
      <c r="K37" s="34"/>
      <c r="L37" s="34"/>
      <c r="M37" s="34"/>
      <c r="N37" s="34"/>
      <c r="O37" s="217"/>
      <c r="P37" s="34"/>
      <c r="Q37" s="34"/>
      <c r="R37" s="218"/>
    </row>
    <row r="38" spans="1:18" ht="23.25" x14ac:dyDescent="0.25">
      <c r="A38" s="221"/>
      <c r="B38" s="88"/>
      <c r="C38" s="220"/>
      <c r="D38" s="103"/>
      <c r="E38" s="103"/>
      <c r="F38" s="216"/>
      <c r="G38" s="104"/>
      <c r="H38" s="104"/>
      <c r="I38" s="106"/>
      <c r="J38" s="106"/>
      <c r="K38" s="34"/>
      <c r="L38" s="34"/>
      <c r="M38" s="34"/>
      <c r="N38" s="34"/>
      <c r="O38" s="217"/>
      <c r="P38" s="34"/>
      <c r="Q38" s="34"/>
      <c r="R38" s="218"/>
    </row>
    <row r="39" spans="1:18" ht="23.25" x14ac:dyDescent="0.25">
      <c r="A39" s="221"/>
      <c r="B39" s="88"/>
      <c r="C39" s="220"/>
      <c r="D39" s="103"/>
      <c r="E39" s="103"/>
      <c r="F39" s="216"/>
      <c r="G39" s="104"/>
      <c r="H39" s="104"/>
      <c r="I39" s="106"/>
      <c r="J39" s="106"/>
      <c r="K39" s="34"/>
      <c r="L39" s="34"/>
      <c r="M39" s="34"/>
      <c r="N39" s="34"/>
      <c r="O39" s="217"/>
      <c r="P39" s="34"/>
      <c r="Q39" s="34"/>
      <c r="R39" s="218"/>
    </row>
    <row r="40" spans="1:18" ht="23.25" x14ac:dyDescent="0.25">
      <c r="A40" s="221"/>
      <c r="B40" s="88"/>
      <c r="C40" s="220"/>
      <c r="D40" s="103"/>
      <c r="E40" s="103"/>
      <c r="F40" s="216"/>
      <c r="G40" s="104"/>
      <c r="H40" s="104"/>
      <c r="I40" s="106"/>
      <c r="J40" s="106"/>
      <c r="K40" s="34"/>
      <c r="L40" s="34"/>
      <c r="M40" s="34"/>
      <c r="N40" s="34"/>
      <c r="O40" s="217"/>
      <c r="P40" s="34"/>
      <c r="Q40" s="34"/>
      <c r="R40" s="218"/>
    </row>
    <row r="41" spans="1:18" ht="23.25" x14ac:dyDescent="0.25">
      <c r="A41" s="221"/>
      <c r="B41" s="88"/>
      <c r="C41" s="220"/>
      <c r="D41" s="103"/>
      <c r="E41" s="103"/>
      <c r="F41" s="216"/>
      <c r="G41" s="104"/>
      <c r="H41" s="104"/>
      <c r="I41" s="106"/>
      <c r="J41" s="106"/>
      <c r="K41" s="34"/>
      <c r="L41" s="34"/>
      <c r="M41" s="34"/>
      <c r="N41" s="34"/>
      <c r="O41" s="217"/>
      <c r="P41" s="34"/>
      <c r="Q41" s="34"/>
      <c r="R41" s="218"/>
    </row>
    <row r="42" spans="1:18" ht="23.25" x14ac:dyDescent="0.25">
      <c r="A42" s="221"/>
      <c r="B42" s="88"/>
      <c r="C42" s="220"/>
      <c r="D42" s="103"/>
      <c r="E42" s="103"/>
      <c r="F42" s="216"/>
      <c r="G42" s="104"/>
      <c r="H42" s="104"/>
      <c r="I42" s="106"/>
      <c r="J42" s="106"/>
      <c r="K42" s="34"/>
      <c r="L42" s="34"/>
      <c r="M42" s="34"/>
      <c r="N42" s="34"/>
      <c r="O42" s="217"/>
      <c r="P42" s="34"/>
      <c r="Q42" s="34"/>
      <c r="R42" s="218"/>
    </row>
    <row r="43" spans="1:18" ht="23.25" x14ac:dyDescent="0.25">
      <c r="A43" s="221"/>
      <c r="B43" s="88"/>
      <c r="C43" s="220"/>
      <c r="D43" s="103"/>
      <c r="E43" s="103"/>
      <c r="F43" s="216"/>
      <c r="G43" s="104"/>
      <c r="H43" s="104"/>
      <c r="I43" s="106"/>
      <c r="J43" s="106"/>
      <c r="K43" s="34"/>
      <c r="L43" s="34"/>
      <c r="M43" s="34"/>
      <c r="N43" s="34"/>
      <c r="O43" s="217"/>
      <c r="P43" s="34"/>
      <c r="Q43" s="34"/>
      <c r="R43" s="218"/>
    </row>
    <row r="44" spans="1:18" ht="23.25" x14ac:dyDescent="0.25">
      <c r="A44" s="221"/>
      <c r="B44" s="88"/>
      <c r="C44" s="220"/>
      <c r="D44" s="103"/>
      <c r="E44" s="103"/>
      <c r="F44" s="216"/>
      <c r="G44" s="104"/>
      <c r="H44" s="104"/>
      <c r="I44" s="106"/>
      <c r="J44" s="106"/>
      <c r="K44" s="34"/>
      <c r="L44" s="34"/>
      <c r="M44" s="34"/>
      <c r="N44" s="34"/>
      <c r="O44" s="217"/>
      <c r="P44" s="34"/>
      <c r="Q44" s="34"/>
      <c r="R44" s="218"/>
    </row>
    <row r="45" spans="1:18" ht="23.25" x14ac:dyDescent="0.25">
      <c r="A45" s="221"/>
      <c r="B45" s="88"/>
      <c r="C45" s="220"/>
      <c r="D45" s="103"/>
      <c r="E45" s="103"/>
      <c r="F45" s="216"/>
      <c r="G45" s="104"/>
      <c r="H45" s="104"/>
      <c r="I45" s="106"/>
      <c r="J45" s="106"/>
      <c r="K45" s="34"/>
      <c r="L45" s="34"/>
      <c r="M45" s="34"/>
      <c r="N45" s="34"/>
      <c r="O45" s="217"/>
      <c r="P45" s="34"/>
    </row>
    <row r="46" spans="1:18" x14ac:dyDescent="0.25">
      <c r="F46" s="177"/>
    </row>
    <row r="47" spans="1:18" x14ac:dyDescent="0.25">
      <c r="F47" s="177"/>
    </row>
    <row r="48" spans="1:18" x14ac:dyDescent="0.25">
      <c r="F48" s="177"/>
    </row>
  </sheetData>
  <sheetProtection password="CC5F" sheet="1" objects="1" scenarios="1"/>
  <mergeCells count="2">
    <mergeCell ref="A1:P1"/>
    <mergeCell ref="A2:P2"/>
  </mergeCells>
  <conditionalFormatting sqref="K3:R3">
    <cfRule type="cellIs" dxfId="463" priority="1" operator="equal">
      <formula>"sous surveillance"</formula>
    </cfRule>
  </conditionalFormatting>
  <dataValidations count="10">
    <dataValidation type="list" allowBlank="1" showInputMessage="1" sqref="N45">
      <formula1>INDIRECT(C45)</formula1>
    </dataValidation>
    <dataValidation type="list" allowBlank="1" showInputMessage="1" showErrorMessage="1" sqref="K5:K7 K23:K24 K9">
      <formula1>"medium NBA, H2O mQ, DMSO, eq NaOH, EtOH, eq HCl,Citrate buffer, directly in ACSF"</formula1>
    </dataValidation>
    <dataValidation type="list" allowBlank="1" showInputMessage="1" showErrorMessage="1" sqref="K37 K10 K33 K35 K28:K31">
      <formula1>"Medium NBA, H2O mQ, DMSO, eq NaOH, EtOH, eq HCl,Citrate buffer, directly in ACSF"</formula1>
    </dataValidation>
    <dataValidation type="list" allowBlank="1" showInputMessage="1" showErrorMessage="1" sqref="K22">
      <formula1>"H2O mQ, DMSO, eq NaOH, EtOH, eq HCl,Citrate buffer, directly in ACSF,PBS sterile"</formula1>
    </dataValidation>
    <dataValidation type="list" allowBlank="1" showInputMessage="1" showErrorMessage="1" sqref="C4:C45">
      <formula1>LABO</formula1>
    </dataValidation>
    <dataValidation errorStyle="warning" allowBlank="1" showInputMessage="1" showErrorMessage="1" sqref="K3:Q3"/>
    <dataValidation type="list" allowBlank="1" showInputMessage="1" showErrorMessage="1" sqref="K32 K25:K27 K11:K12 K8 K4 K14 K20:K21 K34 K36 K38:K45 K18">
      <formula1>"H2O mQ, DMSO, eq NaOH, EtOH, eq HCl,Citrate buffer, directly in ACSF"</formula1>
    </dataValidation>
    <dataValidation type="list" allowBlank="1" showInputMessage="1" showErrorMessage="1" sqref="K15 K19 K17">
      <formula1>"H2O mQ, DMSO, eq NaOH, EtOH, eq HCl,Citrate buffer, directly in ACSF, O2 sucrose"</formula1>
    </dataValidation>
    <dataValidation type="list" allowBlank="1" showInputMessage="1" showErrorMessage="1" sqref="G13">
      <formula1>"NC, Sigma, Tocris, Abcam, Ascent, HelloBio, Merck"</formula1>
    </dataValidation>
    <dataValidation type="list" allowBlank="1" showInputMessage="1" showErrorMessage="1" sqref="I13">
      <formula1>"RT, '- 20°C,  4°C"</formula1>
    </dataValidation>
  </dataValidations>
  <pageMargins left="0.7" right="0.7" top="0.75" bottom="0.75" header="0.3" footer="0.3"/>
  <pageSetup scale="34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2"/>
  <dimension ref="A1:M208"/>
  <sheetViews>
    <sheetView workbookViewId="0">
      <selection activeCell="A2" sqref="A2:M208"/>
    </sheetView>
  </sheetViews>
  <sheetFormatPr baseColWidth="10" defaultColWidth="11.42578125" defaultRowHeight="15" x14ac:dyDescent="0.25"/>
  <cols>
    <col min="1" max="1" width="14.5703125" style="274" bestFit="1" customWidth="1"/>
    <col min="2" max="16384" width="11.42578125" style="274"/>
  </cols>
  <sheetData>
    <row r="1" spans="1:13" ht="46.5" x14ac:dyDescent="0.25">
      <c r="A1" s="228" t="s">
        <v>4</v>
      </c>
      <c r="B1" s="229" t="s">
        <v>10</v>
      </c>
      <c r="C1" s="230" t="s">
        <v>1244</v>
      </c>
      <c r="D1" s="231" t="s">
        <v>17</v>
      </c>
      <c r="E1" s="232" t="s">
        <v>18</v>
      </c>
      <c r="F1" s="233" t="s">
        <v>27</v>
      </c>
      <c r="G1" s="27" t="s">
        <v>23</v>
      </c>
      <c r="H1" s="27" t="s">
        <v>35</v>
      </c>
      <c r="I1" s="27" t="s">
        <v>37</v>
      </c>
      <c r="J1" s="27" t="s">
        <v>1245</v>
      </c>
      <c r="K1" s="27" t="s">
        <v>1236</v>
      </c>
      <c r="L1" s="27" t="s">
        <v>1237</v>
      </c>
      <c r="M1" s="212" t="s">
        <v>1246</v>
      </c>
    </row>
    <row r="2" spans="1:13" ht="46.5" x14ac:dyDescent="0.25">
      <c r="A2" s="234">
        <f>'Wheighing Board August 2016'!A4</f>
        <v>42583</v>
      </c>
      <c r="B2" s="234" t="str">
        <f>'Wheighing Board August 2016'!B4</f>
        <v>15SAM131</v>
      </c>
      <c r="C2" s="33" t="str">
        <f>'Wheighing Board August 2016'!C4</f>
        <v>Patch</v>
      </c>
      <c r="D2" s="33" t="str">
        <f>'Wheighing Board August 2016'!D4</f>
        <v>Daiicho Sankyo</v>
      </c>
      <c r="E2" s="33" t="str">
        <f>'Wheighing Board August 2016'!E4</f>
        <v>Pregabalin (ROX-2323)</v>
      </c>
      <c r="F2" s="235">
        <f>'Wheighing Board August 2016'!F4</f>
        <v>42390</v>
      </c>
      <c r="G2" s="33">
        <f>'Wheighing Board August 2016'!G4</f>
        <v>159.22999999999999</v>
      </c>
      <c r="H2" s="33" t="str">
        <f>'Wheighing Board August 2016'!H4</f>
        <v>200µM</v>
      </c>
      <c r="I2" s="33" t="str">
        <f>'Wheighing Board August 2016'!K4</f>
        <v>directly in ACSF</v>
      </c>
      <c r="J2" s="33">
        <f>'Wheighing Board August 2016'!L4</f>
        <v>0</v>
      </c>
      <c r="K2" s="33">
        <f>'Wheighing Board August 2016'!M4</f>
        <v>0</v>
      </c>
      <c r="L2" s="33" t="str">
        <f>'Wheighing Board August 2016'!N4</f>
        <v>PCH</v>
      </c>
      <c r="M2" s="33" t="str">
        <f>'Wheighing Board August 2016'!O4</f>
        <v>16PR0056</v>
      </c>
    </row>
    <row r="3" spans="1:13" ht="46.5" x14ac:dyDescent="0.25">
      <c r="A3" s="234">
        <f>'Wheighing Board August 2016'!A5</f>
        <v>42583</v>
      </c>
      <c r="B3" s="234" t="str">
        <f>'Wheighing Board August 2016'!B5</f>
        <v>15SAM132</v>
      </c>
      <c r="C3" s="33" t="str">
        <f>'Wheighing Board August 2016'!C5</f>
        <v>Patch</v>
      </c>
      <c r="D3" s="33" t="str">
        <f>'Wheighing Board August 2016'!D5</f>
        <v>Daiichi Sankyo</v>
      </c>
      <c r="E3" s="33" t="str">
        <f>'Wheighing Board August 2016'!E5</f>
        <v>A200-0700</v>
      </c>
      <c r="F3" s="235">
        <f>'Wheighing Board August 2016'!F5</f>
        <v>42355</v>
      </c>
      <c r="G3" s="33">
        <f>'Wheighing Board August 2016'!G5</f>
        <v>209.28</v>
      </c>
      <c r="H3" s="33" t="str">
        <f>'Wheighing Board August 2016'!H5</f>
        <v>50µM</v>
      </c>
      <c r="I3" s="33" t="str">
        <f>'Wheighing Board August 2016'!K5</f>
        <v>directly in ACSF</v>
      </c>
      <c r="J3" s="33">
        <f>'Wheighing Board August 2016'!L5</f>
        <v>0</v>
      </c>
      <c r="K3" s="33">
        <f>'Wheighing Board August 2016'!M5</f>
        <v>0</v>
      </c>
      <c r="L3" s="33" t="str">
        <f>'Wheighing Board August 2016'!N5</f>
        <v>PCH</v>
      </c>
      <c r="M3" s="33" t="str">
        <f>'Wheighing Board August 2016'!O5</f>
        <v>16PR0056</v>
      </c>
    </row>
    <row r="4" spans="1:13" ht="46.5" x14ac:dyDescent="0.25">
      <c r="A4" s="234">
        <f>'Wheighing Board August 2016'!A6</f>
        <v>42583</v>
      </c>
      <c r="B4" s="234" t="str">
        <f>'Wheighing Board August 2016'!B6</f>
        <v>16SAM008</v>
      </c>
      <c r="C4" s="33" t="str">
        <f>'Wheighing Board August 2016'!C6</f>
        <v>CELL</v>
      </c>
      <c r="D4" s="33" t="str">
        <f>'Wheighing Board August 2016'!D6</f>
        <v>Janssen</v>
      </c>
      <c r="E4" s="33" t="str">
        <f>'Wheighing Board August 2016'!E6</f>
        <v>Strychnine hydrochloride</v>
      </c>
      <c r="F4" s="235">
        <f>'Wheighing Board August 2016'!F6</f>
        <v>42416</v>
      </c>
      <c r="G4" s="33">
        <f>'Wheighing Board August 2016'!G6</f>
        <v>402.4</v>
      </c>
      <c r="H4" s="33" t="str">
        <f>'Wheighing Board August 2016'!H6</f>
        <v>1  mM</v>
      </c>
      <c r="I4" s="33" t="str">
        <f>'Wheighing Board August 2016'!K6</f>
        <v>H2O mQ</v>
      </c>
      <c r="J4" s="33">
        <f>'Wheighing Board August 2016'!L6</f>
        <v>0</v>
      </c>
      <c r="K4" s="33">
        <f>'Wheighing Board August 2016'!M6</f>
        <v>0</v>
      </c>
      <c r="L4" s="33" t="str">
        <f>'Wheighing Board August 2016'!N6</f>
        <v>HSA</v>
      </c>
      <c r="M4" s="33" t="str">
        <f>'Wheighing Board August 2016'!O6</f>
        <v>16PR0081</v>
      </c>
    </row>
    <row r="5" spans="1:13" ht="46.5" x14ac:dyDescent="0.25">
      <c r="A5" s="234">
        <f>'Wheighing Board August 2016'!A7</f>
        <v>42584</v>
      </c>
      <c r="B5" s="234" t="str">
        <f>'Wheighing Board August 2016'!B7</f>
        <v>15SAM132</v>
      </c>
      <c r="C5" s="33" t="str">
        <f>'Wheighing Board August 2016'!C7</f>
        <v>Patch</v>
      </c>
      <c r="D5" s="33" t="str">
        <f>'Wheighing Board August 2016'!D7</f>
        <v>Daiichi Sankyo</v>
      </c>
      <c r="E5" s="33" t="str">
        <f>'Wheighing Board August 2016'!E7</f>
        <v>A200-0700</v>
      </c>
      <c r="F5" s="235">
        <f>'Wheighing Board August 2016'!F7</f>
        <v>42355</v>
      </c>
      <c r="G5" s="33">
        <f>'Wheighing Board August 2016'!G7</f>
        <v>209.28</v>
      </c>
      <c r="H5" s="33" t="str">
        <f>'Wheighing Board August 2016'!H7</f>
        <v>50 µM</v>
      </c>
      <c r="I5" s="33" t="str">
        <f>'Wheighing Board August 2016'!K7</f>
        <v>directly in ACSF</v>
      </c>
      <c r="J5" s="33">
        <f>'Wheighing Board August 2016'!L7</f>
        <v>0</v>
      </c>
      <c r="K5" s="33">
        <f>'Wheighing Board August 2016'!M7</f>
        <v>0</v>
      </c>
      <c r="L5" s="33" t="str">
        <f>'Wheighing Board August 2016'!N7</f>
        <v>ABA</v>
      </c>
      <c r="M5" s="33" t="str">
        <f>'Wheighing Board August 2016'!O7</f>
        <v>16PR0056</v>
      </c>
    </row>
    <row r="6" spans="1:13" ht="46.5" x14ac:dyDescent="0.25">
      <c r="A6" s="234">
        <f>'Wheighing Board August 2016'!A8</f>
        <v>42583</v>
      </c>
      <c r="B6" s="234" t="str">
        <f>'Wheighing Board August 2016'!B8</f>
        <v>16SAM008</v>
      </c>
      <c r="C6" s="33" t="str">
        <f>'Wheighing Board August 2016'!C8</f>
        <v>Patch</v>
      </c>
      <c r="D6" s="33" t="str">
        <f>'Wheighing Board August 2016'!D8</f>
        <v>Janssen</v>
      </c>
      <c r="E6" s="33" t="str">
        <f>'Wheighing Board August 2016'!E8</f>
        <v>Strychnine hydrochloride</v>
      </c>
      <c r="F6" s="235">
        <f>'Wheighing Board August 2016'!F8</f>
        <v>42416</v>
      </c>
      <c r="G6" s="33">
        <f>'Wheighing Board August 2016'!G8</f>
        <v>402.4</v>
      </c>
      <c r="H6" s="33" t="str">
        <f>'Wheighing Board August 2016'!H8</f>
        <v>10 mM</v>
      </c>
      <c r="I6" s="33" t="str">
        <f>'Wheighing Board August 2016'!K8</f>
        <v>H2O mQ</v>
      </c>
      <c r="J6" s="33">
        <f>'Wheighing Board August 2016'!L8</f>
        <v>0</v>
      </c>
      <c r="K6" s="33">
        <f>'Wheighing Board August 2016'!M8</f>
        <v>0</v>
      </c>
      <c r="L6" s="33" t="str">
        <f>'Wheighing Board August 2016'!N8</f>
        <v>BST</v>
      </c>
      <c r="M6" s="33" t="str">
        <f>'Wheighing Board August 2016'!O8</f>
        <v>16PR0056</v>
      </c>
    </row>
    <row r="7" spans="1:13" ht="46.5" x14ac:dyDescent="0.25">
      <c r="A7" s="234">
        <f>'Wheighing Board August 2016'!A9</f>
        <v>42585</v>
      </c>
      <c r="B7" s="234" t="str">
        <f>'Wheighing Board August 2016'!B9</f>
        <v>15SAM132</v>
      </c>
      <c r="C7" s="33" t="str">
        <f>'Wheighing Board August 2016'!C9</f>
        <v>Patch</v>
      </c>
      <c r="D7" s="33" t="str">
        <f>'Wheighing Board August 2016'!D9</f>
        <v>Daiichi Sankyo</v>
      </c>
      <c r="E7" s="33" t="str">
        <f>'Wheighing Board August 2016'!E9</f>
        <v>A200-0700</v>
      </c>
      <c r="F7" s="235">
        <f>'Wheighing Board August 2016'!F9</f>
        <v>42355</v>
      </c>
      <c r="G7" s="33">
        <f>'Wheighing Board August 2016'!G9</f>
        <v>209.28</v>
      </c>
      <c r="H7" s="33" t="str">
        <f>'Wheighing Board August 2016'!H9</f>
        <v>50 µM</v>
      </c>
      <c r="I7" s="33" t="str">
        <f>'Wheighing Board August 2016'!K9</f>
        <v>directly in ACSF</v>
      </c>
      <c r="J7" s="33">
        <f>'Wheighing Board August 2016'!L9</f>
        <v>0</v>
      </c>
      <c r="K7" s="33">
        <f>'Wheighing Board August 2016'!M9</f>
        <v>0</v>
      </c>
      <c r="L7" s="33" t="str">
        <f>'Wheighing Board August 2016'!N9</f>
        <v>ABA</v>
      </c>
      <c r="M7" s="33" t="str">
        <f>'Wheighing Board August 2016'!O9</f>
        <v>16PR0056</v>
      </c>
    </row>
    <row r="8" spans="1:13" ht="46.5" x14ac:dyDescent="0.25">
      <c r="A8" s="234">
        <f>'Wheighing Board August 2016'!A10</f>
        <v>42587</v>
      </c>
      <c r="B8" s="234" t="str">
        <f>'Wheighing Board August 2016'!B10</f>
        <v>16REF124</v>
      </c>
      <c r="C8" s="33" t="str">
        <f>'Wheighing Board August 2016'!C10</f>
        <v>CELL</v>
      </c>
      <c r="D8" s="33" t="str">
        <f>'Wheighing Board August 2016'!D10</f>
        <v>NEUROSERVICE</v>
      </c>
      <c r="E8" s="33" t="str">
        <f>'Wheighing Board August 2016'!E10</f>
        <v>5-Fluoro-2'-deoxyuridine</v>
      </c>
      <c r="F8" s="235">
        <f>'Wheighing Board August 2016'!F10</f>
        <v>42545</v>
      </c>
      <c r="G8" s="33">
        <f>'Wheighing Board August 2016'!G10</f>
        <v>246.19</v>
      </c>
      <c r="H8" s="33" t="str">
        <f>'Wheighing Board August 2016'!H10</f>
        <v>2 mM</v>
      </c>
      <c r="I8" s="33" t="str">
        <f>'Wheighing Board August 2016'!K10</f>
        <v>H2O mQ</v>
      </c>
      <c r="J8" s="33">
        <f>'Wheighing Board August 2016'!L10</f>
        <v>0</v>
      </c>
      <c r="K8" s="33">
        <f>'Wheighing Board August 2016'!M10</f>
        <v>0</v>
      </c>
      <c r="L8" s="33" t="str">
        <f>'Wheighing Board August 2016'!N10</f>
        <v>HSA</v>
      </c>
      <c r="M8" s="33" t="str">
        <f>'Wheighing Board August 2016'!O10</f>
        <v>16PR0081</v>
      </c>
    </row>
    <row r="9" spans="1:13" ht="46.5" x14ac:dyDescent="0.25">
      <c r="A9" s="234">
        <f>'Wheighing Board August 2016'!A11</f>
        <v>42591</v>
      </c>
      <c r="B9" s="234" t="str">
        <f>'Wheighing Board August 2016'!B11</f>
        <v>16SAM149</v>
      </c>
      <c r="C9" s="33" t="str">
        <f>'Wheighing Board August 2016'!C11</f>
        <v>MEA</v>
      </c>
      <c r="D9" s="33" t="str">
        <f>'Wheighing Board August 2016'!D11</f>
        <v>ATAXION</v>
      </c>
      <c r="E9" s="33" t="str">
        <f>'Wheighing Board August 2016'!E11</f>
        <v>AN1883 (Barcode 31000813)</v>
      </c>
      <c r="F9" s="235">
        <f>'Wheighing Board August 2016'!F11</f>
        <v>42591</v>
      </c>
      <c r="G9" s="33">
        <f>'Wheighing Board August 2016'!G11</f>
        <v>378.2</v>
      </c>
      <c r="H9" s="33" t="str">
        <f>'Wheighing Board August 2016'!H11</f>
        <v>10 mM</v>
      </c>
      <c r="I9" s="33" t="str">
        <f>'Wheighing Board August 2016'!K11</f>
        <v>DMSO</v>
      </c>
      <c r="J9" s="33" t="str">
        <f>'Wheighing Board August 2016'!L11</f>
        <v>480 µL</v>
      </c>
      <c r="K9" s="33">
        <f>'Wheighing Board August 2016'!M11</f>
        <v>0</v>
      </c>
      <c r="L9" s="33" t="str">
        <f>'Wheighing Board August 2016'!N11</f>
        <v>RTE</v>
      </c>
      <c r="M9" s="33" t="str">
        <f>'Wheighing Board August 2016'!O11</f>
        <v>16PR0092</v>
      </c>
    </row>
    <row r="10" spans="1:13" ht="46.5" x14ac:dyDescent="0.25">
      <c r="A10" s="234">
        <f>'Wheighing Board August 2016'!A12</f>
        <v>42591</v>
      </c>
      <c r="B10" s="234" t="str">
        <f>'Wheighing Board August 2016'!B12</f>
        <v>16SAM150</v>
      </c>
      <c r="C10" s="33" t="str">
        <f>'Wheighing Board August 2016'!C12</f>
        <v>MEA</v>
      </c>
      <c r="D10" s="33" t="str">
        <f>'Wheighing Board August 2016'!D12</f>
        <v>ATAXION</v>
      </c>
      <c r="E10" s="33" t="str">
        <f>'Wheighing Board August 2016'!E12</f>
        <v>AN1381 (Barcode 31000814)</v>
      </c>
      <c r="F10" s="235">
        <f>'Wheighing Board August 2016'!F12</f>
        <v>42591</v>
      </c>
      <c r="G10" s="33">
        <f>'Wheighing Board August 2016'!G12</f>
        <v>324.39</v>
      </c>
      <c r="H10" s="33" t="str">
        <f>'Wheighing Board August 2016'!H12</f>
        <v>10 mM</v>
      </c>
      <c r="I10" s="33" t="str">
        <f>'Wheighing Board August 2016'!K12</f>
        <v>DMSO</v>
      </c>
      <c r="J10" s="33" t="str">
        <f>'Wheighing Board August 2016'!L12</f>
        <v>480 µL</v>
      </c>
      <c r="K10" s="33">
        <f>'Wheighing Board August 2016'!M12</f>
        <v>0</v>
      </c>
      <c r="L10" s="33" t="str">
        <f>'Wheighing Board August 2016'!N12</f>
        <v>RTE</v>
      </c>
      <c r="M10" s="33" t="str">
        <f>'Wheighing Board August 2016'!O12</f>
        <v>16PR0092</v>
      </c>
    </row>
    <row r="11" spans="1:13" ht="46.5" x14ac:dyDescent="0.25">
      <c r="A11" s="234">
        <f>'Wheighing Board August 2016'!A13</f>
        <v>42591</v>
      </c>
      <c r="B11" s="234" t="str">
        <f>'Wheighing Board August 2016'!B13</f>
        <v>16SAM153</v>
      </c>
      <c r="C11" s="33" t="str">
        <f>'Wheighing Board August 2016'!C13</f>
        <v>MEA</v>
      </c>
      <c r="D11" s="33" t="str">
        <f>'Wheighing Board August 2016'!D13</f>
        <v>ATAXION</v>
      </c>
      <c r="E11" s="33" t="str">
        <f>'Wheighing Board August 2016'!E13</f>
        <v>AN1287</v>
      </c>
      <c r="F11" s="235">
        <f>'Wheighing Board August 2016'!F13</f>
        <v>42591</v>
      </c>
      <c r="G11" s="33">
        <f>'Wheighing Board August 2016'!G13</f>
        <v>336.39</v>
      </c>
      <c r="H11" s="33" t="str">
        <f>'Wheighing Board August 2016'!H13</f>
        <v>10 mM</v>
      </c>
      <c r="I11" s="33" t="str">
        <f>'Wheighing Board August 2016'!K13</f>
        <v>DMSO</v>
      </c>
      <c r="J11" s="33" t="str">
        <f>'Wheighing Board August 2016'!L13</f>
        <v>480 µL</v>
      </c>
      <c r="K11" s="33">
        <f>'Wheighing Board August 2016'!M13</f>
        <v>0</v>
      </c>
      <c r="L11" s="33" t="str">
        <f>'Wheighing Board August 2016'!N13</f>
        <v>FMA</v>
      </c>
      <c r="M11" s="33" t="str">
        <f>'Wheighing Board August 2016'!O13</f>
        <v>16PR0092</v>
      </c>
    </row>
    <row r="12" spans="1:13" ht="46.5" x14ac:dyDescent="0.25">
      <c r="A12" s="234">
        <f>'Wheighing Board August 2016'!A14</f>
        <v>42592</v>
      </c>
      <c r="B12" s="234" t="str">
        <f>'Wheighing Board August 2016'!B14</f>
        <v>16REF074</v>
      </c>
      <c r="C12" s="33" t="str">
        <f>'Wheighing Board August 2016'!C14</f>
        <v>Patch</v>
      </c>
      <c r="D12" s="33" t="str">
        <f>'Wheighing Board August 2016'!D14</f>
        <v>NEUROSERVICE</v>
      </c>
      <c r="E12" s="33" t="str">
        <f>'Wheighing Board August 2016'!E14</f>
        <v>Bicuculline</v>
      </c>
      <c r="F12" s="235">
        <f>'Wheighing Board August 2016'!F14</f>
        <v>42592</v>
      </c>
      <c r="G12" s="33">
        <f>'Wheighing Board August 2016'!G14</f>
        <v>527.30999999999995</v>
      </c>
      <c r="H12" s="33" t="str">
        <f>'Wheighing Board August 2016'!H14</f>
        <v>25 mM</v>
      </c>
      <c r="I12" s="33" t="str">
        <f>'Wheighing Board August 2016'!K14</f>
        <v>H2O mQ</v>
      </c>
      <c r="J12" s="33" t="str">
        <f>'Wheighing Board August 2016'!L14</f>
        <v>200 µL</v>
      </c>
      <c r="K12" s="33">
        <f>'Wheighing Board August 2016'!M14</f>
        <v>0</v>
      </c>
      <c r="L12" s="33" t="str">
        <f>'Wheighing Board August 2016'!N14</f>
        <v>ABA</v>
      </c>
      <c r="M12" s="33" t="str">
        <f>'Wheighing Board August 2016'!O14</f>
        <v>16PR0062</v>
      </c>
    </row>
    <row r="13" spans="1:13" ht="46.5" x14ac:dyDescent="0.25">
      <c r="A13" s="234">
        <f>'Wheighing Board August 2016'!A15</f>
        <v>42592</v>
      </c>
      <c r="B13" s="234" t="str">
        <f>'Wheighing Board August 2016'!B15</f>
        <v>16SAM154</v>
      </c>
      <c r="C13" s="33" t="str">
        <f>'Wheighing Board August 2016'!C15</f>
        <v>Patch</v>
      </c>
      <c r="D13" s="33" t="str">
        <f>'Wheighing Board August 2016'!D15</f>
        <v>Daiichi Sankyo</v>
      </c>
      <c r="E13" s="33" t="str">
        <f>'Wheighing Board August 2016'!E15</f>
        <v>Pregabalin (ROX-2323)</v>
      </c>
      <c r="F13" s="235">
        <f>'Wheighing Board August 2016'!F15</f>
        <v>42592</v>
      </c>
      <c r="G13" s="33">
        <f>'Wheighing Board August 2016'!G15</f>
        <v>159.22999999999999</v>
      </c>
      <c r="H13" s="33" t="str">
        <f>'Wheighing Board August 2016'!H15</f>
        <v>200µM</v>
      </c>
      <c r="I13" s="33" t="str">
        <f>'Wheighing Board August 2016'!K15</f>
        <v>directly in ACSF</v>
      </c>
      <c r="J13" s="33" t="str">
        <f>'Wheighing Board August 2016'!L15</f>
        <v>-</v>
      </c>
      <c r="K13" s="33" t="str">
        <f>'Wheighing Board August 2016'!M15</f>
        <v>-</v>
      </c>
      <c r="L13" s="33" t="str">
        <f>'Wheighing Board August 2016'!N15</f>
        <v>PCH</v>
      </c>
      <c r="M13" s="33" t="str">
        <f>'Wheighing Board August 2016'!O15</f>
        <v>16PR0056</v>
      </c>
    </row>
    <row r="14" spans="1:13" ht="46.5" x14ac:dyDescent="0.25">
      <c r="A14" s="234">
        <f>'Wheighing Board August 2016'!A16</f>
        <v>42593</v>
      </c>
      <c r="B14" s="234" t="str">
        <f>'Wheighing Board August 2016'!B16</f>
        <v>11REF023</v>
      </c>
      <c r="C14" s="33" t="str">
        <f>'Wheighing Board August 2016'!C16</f>
        <v>Patch</v>
      </c>
      <c r="D14" s="33" t="str">
        <f>'Wheighing Board August 2016'!D16</f>
        <v>NEUROSERVICE</v>
      </c>
      <c r="E14" s="33" t="str">
        <f>'Wheighing Board August 2016'!E16</f>
        <v>Picrotoxin</v>
      </c>
      <c r="F14" s="235" t="str">
        <f>'Wheighing Board August 2016'!F16</f>
        <v>???</v>
      </c>
      <c r="G14" s="33">
        <f>'Wheighing Board August 2016'!G16</f>
        <v>602.58000000000004</v>
      </c>
      <c r="H14" s="33" t="str">
        <f>'Wheighing Board August 2016'!H16</f>
        <v>100 mM</v>
      </c>
      <c r="I14" s="33" t="str">
        <f>'Wheighing Board August 2016'!K16</f>
        <v>DMSO</v>
      </c>
      <c r="J14" s="33" t="str">
        <f>'Wheighing Board August 2016'!L16</f>
        <v>200 µl</v>
      </c>
      <c r="K14" s="33">
        <f>'Wheighing Board August 2016'!M16</f>
        <v>0</v>
      </c>
      <c r="L14" s="33" t="str">
        <f>'Wheighing Board August 2016'!N16</f>
        <v>ABA</v>
      </c>
      <c r="M14" s="33" t="str">
        <f>'Wheighing Board August 2016'!O16</f>
        <v>many</v>
      </c>
    </row>
    <row r="15" spans="1:13" ht="46.5" x14ac:dyDescent="0.25">
      <c r="A15" s="234">
        <f>'Wheighing Board August 2016'!A17</f>
        <v>42598</v>
      </c>
      <c r="B15" s="234" t="str">
        <f>'Wheighing Board August 2016'!B17</f>
        <v>16SAM154</v>
      </c>
      <c r="C15" s="33" t="str">
        <f>'Wheighing Board August 2016'!C17</f>
        <v>Patch</v>
      </c>
      <c r="D15" s="33" t="str">
        <f>'Wheighing Board August 2016'!D17</f>
        <v>Daiichi Sankyo</v>
      </c>
      <c r="E15" s="33" t="str">
        <f>'Wheighing Board August 2016'!E17</f>
        <v>Pregabalin (ROX-2323)</v>
      </c>
      <c r="F15" s="235">
        <f>'Wheighing Board August 2016'!F17</f>
        <v>42592</v>
      </c>
      <c r="G15" s="33">
        <f>'Wheighing Board August 2016'!G17</f>
        <v>159.22999999999999</v>
      </c>
      <c r="H15" s="33" t="str">
        <f>'Wheighing Board August 2016'!H17</f>
        <v>200µM</v>
      </c>
      <c r="I15" s="33" t="str">
        <f>'Wheighing Board August 2016'!K17</f>
        <v>directly in ACSF</v>
      </c>
      <c r="J15" s="33">
        <f>'Wheighing Board August 2016'!L17</f>
        <v>0</v>
      </c>
      <c r="K15" s="33">
        <f>'Wheighing Board August 2016'!M17</f>
        <v>0</v>
      </c>
      <c r="L15" s="33" t="str">
        <f>'Wheighing Board August 2016'!N17</f>
        <v>LM</v>
      </c>
      <c r="M15" s="33" t="str">
        <f>'Wheighing Board August 2016'!O17</f>
        <v>16PR0056</v>
      </c>
    </row>
    <row r="16" spans="1:13" ht="46.5" x14ac:dyDescent="0.25">
      <c r="A16" s="234">
        <f>'Wheighing Board August 2016'!A18</f>
        <v>42599</v>
      </c>
      <c r="B16" s="234" t="str">
        <f>'Wheighing Board August 2016'!B18</f>
        <v>16SAM121</v>
      </c>
      <c r="C16" s="33" t="str">
        <f>'Wheighing Board August 2016'!C18</f>
        <v>MEA</v>
      </c>
      <c r="D16" s="33" t="str">
        <f>'Wheighing Board August 2016'!D18</f>
        <v>Takeda</v>
      </c>
      <c r="E16" s="33" t="str">
        <f>'Wheighing Board August 2016'!E18</f>
        <v>Norepinephrine</v>
      </c>
      <c r="F16" s="235">
        <f>'Wheighing Board August 2016'!F18</f>
        <v>42536</v>
      </c>
      <c r="G16" s="33">
        <f>'Wheighing Board August 2016'!G18</f>
        <v>169.18</v>
      </c>
      <c r="H16" s="33" t="str">
        <f>'Wheighing Board August 2016'!H18</f>
        <v>30 mM</v>
      </c>
      <c r="I16" s="33" t="str">
        <f>'Wheighing Board August 2016'!K18</f>
        <v>eq HCl</v>
      </c>
      <c r="J16" s="33">
        <f>'Wheighing Board August 2016'!L18</f>
        <v>520</v>
      </c>
      <c r="K16" s="33">
        <f>'Wheighing Board August 2016'!M18</f>
        <v>260</v>
      </c>
      <c r="L16" s="33" t="str">
        <f>'Wheighing Board August 2016'!N18</f>
        <v>RTE</v>
      </c>
      <c r="M16" s="33" t="str">
        <f>'Wheighing Board August 2016'!O18</f>
        <v>16PR100 - 102</v>
      </c>
    </row>
    <row r="17" spans="1:13" ht="46.5" x14ac:dyDescent="0.25">
      <c r="A17" s="234">
        <f>'Wheighing Board August 2016'!A19</f>
        <v>42599</v>
      </c>
      <c r="B17" s="234" t="str">
        <f>'Wheighing Board August 2016'!B19</f>
        <v>16SAM154</v>
      </c>
      <c r="C17" s="33" t="str">
        <f>'Wheighing Board August 2016'!C19</f>
        <v>Patch</v>
      </c>
      <c r="D17" s="33" t="str">
        <f>'Wheighing Board August 2016'!D19</f>
        <v>Daiichi Sankyo</v>
      </c>
      <c r="E17" s="33" t="str">
        <f>'Wheighing Board August 2016'!E19</f>
        <v>Pregabalin (ROX-2323)</v>
      </c>
      <c r="F17" s="235">
        <f>'Wheighing Board August 2016'!F19</f>
        <v>42592</v>
      </c>
      <c r="G17" s="33">
        <f>'Wheighing Board August 2016'!G19</f>
        <v>159.22999999999999</v>
      </c>
      <c r="H17" s="33" t="str">
        <f>'Wheighing Board August 2016'!H19</f>
        <v>200µM</v>
      </c>
      <c r="I17" s="33" t="str">
        <f>'Wheighing Board August 2016'!K19</f>
        <v>directly in ACSF</v>
      </c>
      <c r="J17" s="33">
        <f>'Wheighing Board August 2016'!L19</f>
        <v>0</v>
      </c>
      <c r="K17" s="33">
        <f>'Wheighing Board August 2016'!M19</f>
        <v>0</v>
      </c>
      <c r="L17" s="33" t="str">
        <f>'Wheighing Board August 2016'!N19</f>
        <v>LM</v>
      </c>
      <c r="M17" s="33" t="str">
        <f>'Wheighing Board August 2016'!O19</f>
        <v>16PR0056</v>
      </c>
    </row>
    <row r="18" spans="1:13" ht="46.5" x14ac:dyDescent="0.25">
      <c r="A18" s="234">
        <f>'Wheighing Board August 2016'!A20</f>
        <v>42600</v>
      </c>
      <c r="B18" s="234" t="str">
        <f>'Wheighing Board August 2016'!B20</f>
        <v>16SAM155</v>
      </c>
      <c r="C18" s="33" t="str">
        <f>'Wheighing Board August 2016'!C20</f>
        <v>MEA</v>
      </c>
      <c r="D18" s="33" t="str">
        <f>'Wheighing Board August 2016'!D20</f>
        <v>ATAXION</v>
      </c>
      <c r="E18" s="33" t="str">
        <f>'Wheighing Board August 2016'!E20</f>
        <v>AN3070 (Barcode310000849)</v>
      </c>
      <c r="F18" s="235">
        <f>'Wheighing Board August 2016'!F20</f>
        <v>42600</v>
      </c>
      <c r="G18" s="33">
        <f>'Wheighing Board August 2016'!G20</f>
        <v>354.42</v>
      </c>
      <c r="H18" s="33" t="str">
        <f>'Wheighing Board August 2016'!H20</f>
        <v>10 mM</v>
      </c>
      <c r="I18" s="33" t="str">
        <f>'Wheighing Board August 2016'!K20</f>
        <v>DMSO</v>
      </c>
      <c r="J18" s="33">
        <f>'Wheighing Board August 2016'!L20</f>
        <v>160</v>
      </c>
      <c r="K18" s="33">
        <f>'Wheighing Board August 2016'!M20</f>
        <v>0</v>
      </c>
      <c r="L18" s="33" t="str">
        <f>'Wheighing Board August 2016'!N20</f>
        <v>RTE</v>
      </c>
      <c r="M18" s="33" t="str">
        <f>'Wheighing Board August 2016'!O20</f>
        <v>16PR0092</v>
      </c>
    </row>
    <row r="19" spans="1:13" ht="46.5" x14ac:dyDescent="0.25">
      <c r="A19" s="234">
        <f>'Wheighing Board August 2016'!A21</f>
        <v>42601</v>
      </c>
      <c r="B19" s="234" t="str">
        <f>'Wheighing Board August 2016'!B21</f>
        <v>16SAM141</v>
      </c>
      <c r="C19" s="33" t="str">
        <f>'Wheighing Board August 2016'!C21</f>
        <v>MEA</v>
      </c>
      <c r="D19" s="33" t="str">
        <f>'Wheighing Board August 2016'!D21</f>
        <v>SERVIER</v>
      </c>
      <c r="E19" s="33" t="str">
        <f>'Wheighing Board August 2016'!E21</f>
        <v>Nocodazole</v>
      </c>
      <c r="F19" s="235">
        <f>'Wheighing Board August 2016'!F21</f>
        <v>42601</v>
      </c>
      <c r="G19" s="33">
        <f>'Wheighing Board August 2016'!G21</f>
        <v>301.32</v>
      </c>
      <c r="H19" s="33" t="str">
        <f>'Wheighing Board August 2016'!H21</f>
        <v>10 mM</v>
      </c>
      <c r="I19" s="33" t="str">
        <f>'Wheighing Board August 2016'!K21</f>
        <v>DMSO</v>
      </c>
      <c r="J19" s="33">
        <f>'Wheighing Board August 2016'!L21</f>
        <v>0</v>
      </c>
      <c r="K19" s="33">
        <f>'Wheighing Board August 2016'!M21</f>
        <v>0</v>
      </c>
      <c r="L19" s="33" t="str">
        <f>'Wheighing Board August 2016'!N21</f>
        <v>RTE</v>
      </c>
      <c r="M19" s="33" t="str">
        <f>'Wheighing Board August 2016'!O21</f>
        <v>16PR0086</v>
      </c>
    </row>
    <row r="20" spans="1:13" ht="46.5" x14ac:dyDescent="0.25">
      <c r="A20" s="234">
        <f>'Wheighing Board August 2016'!A22</f>
        <v>42604</v>
      </c>
      <c r="B20" s="234" t="str">
        <f>'Wheighing Board August 2016'!B22</f>
        <v>16SAM151</v>
      </c>
      <c r="C20" s="33" t="str">
        <f>'Wheighing Board August 2016'!C22</f>
        <v>MEA</v>
      </c>
      <c r="D20" s="33" t="str">
        <f>'Wheighing Board August 2016'!D22</f>
        <v>SAGE</v>
      </c>
      <c r="E20" s="33" t="str">
        <f>'Wheighing Board August 2016'!E22</f>
        <v>SGE-02409</v>
      </c>
      <c r="F20" s="235">
        <f>'Wheighing Board August 2016'!F22</f>
        <v>42604</v>
      </c>
      <c r="G20" s="33">
        <f>'Wheighing Board August 2016'!G22</f>
        <v>456.62</v>
      </c>
      <c r="H20" s="33" t="str">
        <f>'Wheighing Board August 2016'!H22</f>
        <v>10 mM</v>
      </c>
      <c r="I20" s="33" t="str">
        <f>'Wheighing Board August 2016'!K22</f>
        <v>DMSO</v>
      </c>
      <c r="J20" s="33">
        <f>'Wheighing Board August 2016'!L22</f>
        <v>160</v>
      </c>
      <c r="K20" s="33">
        <f>'Wheighing Board August 2016'!M22</f>
        <v>50</v>
      </c>
      <c r="L20" s="33" t="str">
        <f>'Wheighing Board August 2016'!N22</f>
        <v>BST</v>
      </c>
      <c r="M20" s="33" t="str">
        <f>'Wheighing Board August 2016'!O22</f>
        <v>16PR0086</v>
      </c>
    </row>
    <row r="21" spans="1:13" ht="46.5" x14ac:dyDescent="0.25">
      <c r="A21" s="234">
        <f>'Wheighing Board August 2016'!A23</f>
        <v>42604</v>
      </c>
      <c r="B21" s="234" t="str">
        <f>'Wheighing Board August 2016'!B23</f>
        <v>15SAM132</v>
      </c>
      <c r="C21" s="33" t="str">
        <f>'Wheighing Board August 2016'!C23</f>
        <v>Patch</v>
      </c>
      <c r="D21" s="33" t="str">
        <f>'Wheighing Board August 2016'!D23</f>
        <v>Daiichi Sankyo</v>
      </c>
      <c r="E21" s="33" t="str">
        <f>'Wheighing Board August 2016'!E23</f>
        <v>A200-0700</v>
      </c>
      <c r="F21" s="235">
        <f>'Wheighing Board August 2016'!F23</f>
        <v>42355</v>
      </c>
      <c r="G21" s="33">
        <f>'Wheighing Board August 2016'!G23</f>
        <v>209.28</v>
      </c>
      <c r="H21" s="33" t="str">
        <f>'Wheighing Board August 2016'!H23</f>
        <v>50µM</v>
      </c>
      <c r="I21" s="33" t="str">
        <f>'Wheighing Board August 2016'!K23</f>
        <v>directly in ACSF</v>
      </c>
      <c r="J21" s="33">
        <f>'Wheighing Board August 2016'!L23</f>
        <v>0</v>
      </c>
      <c r="K21" s="33">
        <f>'Wheighing Board August 2016'!M23</f>
        <v>0</v>
      </c>
      <c r="L21" s="33" t="str">
        <f>'Wheighing Board August 2016'!N23</f>
        <v>LM</v>
      </c>
      <c r="M21" s="33" t="str">
        <f>'Wheighing Board August 2016'!O23</f>
        <v>16PR0056</v>
      </c>
    </row>
    <row r="22" spans="1:13" ht="46.5" x14ac:dyDescent="0.25">
      <c r="A22" s="234">
        <f>'Wheighing Board August 2016'!A24</f>
        <v>42605</v>
      </c>
      <c r="B22" s="234" t="str">
        <f>'Wheighing Board August 2016'!B24</f>
        <v>15SAM132</v>
      </c>
      <c r="C22" s="33" t="str">
        <f>'Wheighing Board August 2016'!C24</f>
        <v>Patch</v>
      </c>
      <c r="D22" s="33" t="str">
        <f>'Wheighing Board August 2016'!D24</f>
        <v>Daiichi Sankyo</v>
      </c>
      <c r="E22" s="33" t="str">
        <f>'Wheighing Board August 2016'!E24</f>
        <v>A200-0700</v>
      </c>
      <c r="F22" s="235">
        <f>'Wheighing Board August 2016'!F24</f>
        <v>42355</v>
      </c>
      <c r="G22" s="33">
        <f>'Wheighing Board August 2016'!G24</f>
        <v>209.28</v>
      </c>
      <c r="H22" s="33" t="str">
        <f>'Wheighing Board August 2016'!H24</f>
        <v>50µM</v>
      </c>
      <c r="I22" s="33" t="str">
        <f>'Wheighing Board August 2016'!K24</f>
        <v>directly in ACSF</v>
      </c>
      <c r="J22" s="33">
        <f>'Wheighing Board August 2016'!L24</f>
        <v>0</v>
      </c>
      <c r="K22" s="33">
        <f>'Wheighing Board August 2016'!M24</f>
        <v>0</v>
      </c>
      <c r="L22" s="33" t="str">
        <f>'Wheighing Board August 2016'!N24</f>
        <v>CLE</v>
      </c>
      <c r="M22" s="33" t="str">
        <f>'Wheighing Board August 2016'!O24</f>
        <v>16PR0056</v>
      </c>
    </row>
    <row r="23" spans="1:13" ht="46.5" x14ac:dyDescent="0.25">
      <c r="A23" s="234">
        <f>'Wheighing Board August 2016'!A25</f>
        <v>42606</v>
      </c>
      <c r="B23" s="234" t="str">
        <f>'Wheighing Board August 2016'!B25</f>
        <v>16SAM148</v>
      </c>
      <c r="C23" s="33" t="str">
        <f>'Wheighing Board August 2016'!C25</f>
        <v>Patch</v>
      </c>
      <c r="D23" s="33" t="str">
        <f>'Wheighing Board August 2016'!D25</f>
        <v>CHDI/evotec</v>
      </c>
      <c r="E23" s="33" t="str">
        <f>'Wheighing Board August 2016'!E25</f>
        <v>CHDI-00488215</v>
      </c>
      <c r="F23" s="235">
        <f>'Wheighing Board August 2016'!F25</f>
        <v>42606</v>
      </c>
      <c r="G23" s="33">
        <f>'Wheighing Board August 2016'!G25</f>
        <v>352.39</v>
      </c>
      <c r="H23" s="33" t="str">
        <f>'Wheighing Board August 2016'!H25</f>
        <v>1 mM</v>
      </c>
      <c r="I23" s="33" t="str">
        <f>'Wheighing Board August 2016'!K25</f>
        <v>DMSO</v>
      </c>
      <c r="J23" s="33">
        <f>'Wheighing Board August 2016'!L25</f>
        <v>160</v>
      </c>
      <c r="K23" s="33">
        <f>'Wheighing Board August 2016'!M25</f>
        <v>460</v>
      </c>
      <c r="L23" s="33" t="str">
        <f>'Wheighing Board August 2016'!N25</f>
        <v>ABA</v>
      </c>
      <c r="M23" s="33" t="str">
        <f>'Wheighing Board August 2016'!O25</f>
        <v>16PR0095</v>
      </c>
    </row>
    <row r="24" spans="1:13" ht="46.5" x14ac:dyDescent="0.25">
      <c r="A24" s="234">
        <f>'Wheighing Board August 2016'!A26</f>
        <v>42611</v>
      </c>
      <c r="B24" s="234" t="str">
        <f>'Wheighing Board August 2016'!B26</f>
        <v>16REF137</v>
      </c>
      <c r="C24" s="33" t="str">
        <f>'Wheighing Board August 2016'!C26</f>
        <v>MEA</v>
      </c>
      <c r="D24" s="33" t="str">
        <f>'Wheighing Board August 2016'!E26</f>
        <v>DNAse I</v>
      </c>
      <c r="E24" s="33" t="e">
        <f>'Wheighing Board August 2016'!#REF!</f>
        <v>#REF!</v>
      </c>
      <c r="F24" s="235">
        <f>'Wheighing Board August 2016'!F26</f>
        <v>42611</v>
      </c>
      <c r="G24" s="33" t="str">
        <f>'Wheighing Board August 2016'!G26</f>
        <v>-</v>
      </c>
      <c r="H24" s="33" t="str">
        <f>'Wheighing Board August 2016'!H26</f>
        <v>1 mg/mL</v>
      </c>
      <c r="I24" s="33" t="str">
        <f>'Wheighing Board August 2016'!K26</f>
        <v>H2O mQ</v>
      </c>
      <c r="J24" s="33">
        <f>'Wheighing Board August 2016'!L26</f>
        <v>220</v>
      </c>
      <c r="K24" s="33">
        <f>'Wheighing Board August 2016'!M26</f>
        <v>0</v>
      </c>
      <c r="L24" s="33" t="str">
        <f>'Wheighing Board August 2016'!N26</f>
        <v>BST</v>
      </c>
      <c r="M24" s="33" t="str">
        <f>'Wheighing Board August 2016'!O26</f>
        <v>16PR0081</v>
      </c>
    </row>
    <row r="25" spans="1:13" ht="46.5" x14ac:dyDescent="0.25">
      <c r="A25" s="234">
        <f>'Wheighing Board August 2016'!A27</f>
        <v>42613</v>
      </c>
      <c r="B25" s="234" t="str">
        <f>'Wheighing Board August 2016'!B27</f>
        <v>15REF047</v>
      </c>
      <c r="C25" s="33" t="str">
        <f>'Wheighing Board August 2016'!C27</f>
        <v>MEA</v>
      </c>
      <c r="D25" s="33" t="str">
        <f>'Wheighing Board August 2016'!D27</f>
        <v>NEUROSERVICE</v>
      </c>
      <c r="E25" s="33" t="str">
        <f>'Wheighing Board August 2016'!E27</f>
        <v>Kainate</v>
      </c>
      <c r="F25" s="235">
        <f>'Wheighing Board August 2016'!F27</f>
        <v>42234</v>
      </c>
      <c r="G25" s="33">
        <f>'Wheighing Board August 2016'!G27</f>
        <v>213.23</v>
      </c>
      <c r="H25" s="33" t="str">
        <f>'Wheighing Board August 2016'!H27</f>
        <v>1 mM</v>
      </c>
      <c r="I25" s="33" t="str">
        <f>'Wheighing Board August 2016'!K27</f>
        <v>H2O mQ</v>
      </c>
      <c r="J25" s="33">
        <f>'Wheighing Board August 2016'!L27</f>
        <v>0</v>
      </c>
      <c r="K25" s="33">
        <f>'Wheighing Board August 2016'!M27</f>
        <v>0</v>
      </c>
      <c r="L25" s="33" t="str">
        <f>'Wheighing Board August 2016'!N27</f>
        <v>BST</v>
      </c>
      <c r="M25" s="33" t="str">
        <f>'Wheighing Board August 2016'!O27</f>
        <v>16PR0100</v>
      </c>
    </row>
    <row r="26" spans="1:13" ht="23.25" x14ac:dyDescent="0.25">
      <c r="A26" s="234">
        <f>'Wheighing Board August 2016'!A28</f>
        <v>0</v>
      </c>
      <c r="B26" s="234">
        <f>'Wheighing Board August 2016'!B28</f>
        <v>0</v>
      </c>
      <c r="C26" s="33">
        <f>'Wheighing Board August 2016'!C28</f>
        <v>0</v>
      </c>
      <c r="D26" s="33">
        <f>'Wheighing Board August 2016'!D28</f>
        <v>0</v>
      </c>
      <c r="E26" s="33">
        <f>'Wheighing Board August 2016'!E28</f>
        <v>0</v>
      </c>
      <c r="F26" s="235">
        <f>'Wheighing Board August 2016'!F28</f>
        <v>0</v>
      </c>
      <c r="G26" s="33">
        <f>'Wheighing Board August 2016'!G28</f>
        <v>0</v>
      </c>
      <c r="H26" s="33">
        <f>'Wheighing Board August 2016'!H28</f>
        <v>0</v>
      </c>
      <c r="I26" s="33">
        <f>'Wheighing Board August 2016'!K28</f>
        <v>0</v>
      </c>
      <c r="J26" s="33">
        <f>'Wheighing Board August 2016'!L28</f>
        <v>0</v>
      </c>
      <c r="K26" s="33">
        <f>'Wheighing Board August 2016'!M28</f>
        <v>0</v>
      </c>
      <c r="L26" s="33">
        <f>'Wheighing Board August 2016'!N28</f>
        <v>0</v>
      </c>
      <c r="M26" s="33">
        <f>'Wheighing Board August 2016'!O28</f>
        <v>0</v>
      </c>
    </row>
    <row r="27" spans="1:13" ht="23.25" x14ac:dyDescent="0.25">
      <c r="A27" s="234">
        <f>'Wheighing Board August 2016'!A29</f>
        <v>0</v>
      </c>
      <c r="B27" s="234">
        <f>'Wheighing Board August 2016'!B29</f>
        <v>0</v>
      </c>
      <c r="C27" s="33">
        <f>'Wheighing Board August 2016'!C29</f>
        <v>0</v>
      </c>
      <c r="D27" s="33">
        <f>'Wheighing Board August 2016'!D29</f>
        <v>0</v>
      </c>
      <c r="E27" s="33">
        <f>'Wheighing Board August 2016'!E29</f>
        <v>0</v>
      </c>
      <c r="F27" s="235">
        <f>'Wheighing Board August 2016'!F29</f>
        <v>0</v>
      </c>
      <c r="G27" s="33">
        <f>'Wheighing Board August 2016'!G29</f>
        <v>0</v>
      </c>
      <c r="H27" s="33">
        <f>'Wheighing Board August 2016'!H29</f>
        <v>0</v>
      </c>
      <c r="I27" s="33">
        <f>'Wheighing Board August 2016'!K29</f>
        <v>0</v>
      </c>
      <c r="J27" s="33">
        <f>'Wheighing Board August 2016'!L29</f>
        <v>0</v>
      </c>
      <c r="K27" s="33">
        <f>'Wheighing Board August 2016'!M29</f>
        <v>0</v>
      </c>
      <c r="L27" s="33">
        <f>'Wheighing Board August 2016'!N29</f>
        <v>0</v>
      </c>
      <c r="M27" s="33">
        <f>'Wheighing Board August 2016'!O29</f>
        <v>0</v>
      </c>
    </row>
    <row r="28" spans="1:13" ht="23.25" x14ac:dyDescent="0.25">
      <c r="A28" s="234">
        <f>'Wheighing Board August 2016'!A30</f>
        <v>0</v>
      </c>
      <c r="B28" s="234">
        <f>'Wheighing Board August 2016'!B30</f>
        <v>0</v>
      </c>
      <c r="C28" s="33">
        <f>'Wheighing Board August 2016'!C30</f>
        <v>0</v>
      </c>
      <c r="D28" s="33">
        <f>'Wheighing Board August 2016'!D30</f>
        <v>0</v>
      </c>
      <c r="E28" s="33">
        <f>'Wheighing Board August 2016'!E30</f>
        <v>0</v>
      </c>
      <c r="F28" s="235">
        <f>'Wheighing Board August 2016'!F30</f>
        <v>0</v>
      </c>
      <c r="G28" s="33">
        <f>'Wheighing Board August 2016'!G30</f>
        <v>0</v>
      </c>
      <c r="H28" s="33">
        <f>'Wheighing Board August 2016'!H30</f>
        <v>0</v>
      </c>
      <c r="I28" s="33">
        <f>'Wheighing Board August 2016'!K30</f>
        <v>0</v>
      </c>
      <c r="J28" s="33">
        <f>'Wheighing Board August 2016'!L30</f>
        <v>0</v>
      </c>
      <c r="K28" s="33">
        <f>'Wheighing Board August 2016'!M30</f>
        <v>0</v>
      </c>
      <c r="L28" s="33">
        <f>'Wheighing Board August 2016'!N30</f>
        <v>0</v>
      </c>
      <c r="M28" s="33">
        <f>'Wheighing Board August 2016'!O30</f>
        <v>0</v>
      </c>
    </row>
    <row r="29" spans="1:13" ht="23.25" x14ac:dyDescent="0.25">
      <c r="A29" s="234">
        <f>'Wheighing Board August 2016'!A31</f>
        <v>0</v>
      </c>
      <c r="B29" s="234">
        <f>'Wheighing Board August 2016'!B31</f>
        <v>0</v>
      </c>
      <c r="C29" s="33">
        <f>'Wheighing Board August 2016'!C31</f>
        <v>0</v>
      </c>
      <c r="D29" s="33">
        <f>'Wheighing Board August 2016'!D31</f>
        <v>0</v>
      </c>
      <c r="E29" s="33">
        <f>'Wheighing Board August 2016'!E31</f>
        <v>0</v>
      </c>
      <c r="F29" s="235">
        <f>'Wheighing Board August 2016'!F31</f>
        <v>0</v>
      </c>
      <c r="G29" s="33">
        <f>'Wheighing Board August 2016'!G31</f>
        <v>0</v>
      </c>
      <c r="H29" s="33">
        <f>'Wheighing Board August 2016'!H31</f>
        <v>0</v>
      </c>
      <c r="I29" s="33">
        <f>'Wheighing Board August 2016'!K31</f>
        <v>0</v>
      </c>
      <c r="J29" s="33">
        <f>'Wheighing Board August 2016'!L31</f>
        <v>0</v>
      </c>
      <c r="K29" s="33">
        <f>'Wheighing Board August 2016'!M31</f>
        <v>0</v>
      </c>
      <c r="L29" s="33">
        <f>'Wheighing Board August 2016'!N31</f>
        <v>0</v>
      </c>
      <c r="M29" s="33">
        <f>'Wheighing Board August 2016'!O31</f>
        <v>0</v>
      </c>
    </row>
    <row r="30" spans="1:13" ht="45" x14ac:dyDescent="0.25">
      <c r="A30" s="234">
        <f>'Wheighing Board August 2016'!A32</f>
        <v>0</v>
      </c>
      <c r="B30" s="234">
        <f>'Wheighing Board August 2016'!B32</f>
        <v>0</v>
      </c>
      <c r="C30" s="33">
        <f>'Wheighing Board August 2016'!C32</f>
        <v>0</v>
      </c>
      <c r="D30" s="33">
        <f>'Wheighing Board August 2016'!D32</f>
        <v>0</v>
      </c>
      <c r="E30" s="33">
        <f>'Wheighing Board August 2016'!E32</f>
        <v>0</v>
      </c>
      <c r="F30" s="235">
        <f>'Wheighing Board August 2016'!F32</f>
        <v>0</v>
      </c>
      <c r="G30" s="33" t="str">
        <f>'Wheighing Board August 2016'!G32</f>
        <v>Cloturée le 31 Aout 2016 SRI</v>
      </c>
      <c r="H30" s="33">
        <f>'Wheighing Board August 2016'!H32</f>
        <v>0</v>
      </c>
      <c r="I30" s="33">
        <f>'Wheighing Board August 2016'!K32</f>
        <v>0</v>
      </c>
      <c r="J30" s="33">
        <f>'Wheighing Board August 2016'!L32</f>
        <v>0</v>
      </c>
      <c r="K30" s="33">
        <f>'Wheighing Board August 2016'!M32</f>
        <v>0</v>
      </c>
      <c r="L30" s="33">
        <f>'Wheighing Board August 2016'!N32</f>
        <v>0</v>
      </c>
      <c r="M30" s="33">
        <f>'Wheighing Board August 2016'!O32</f>
        <v>0</v>
      </c>
    </row>
    <row r="31" spans="1:13" ht="23.25" x14ac:dyDescent="0.25">
      <c r="A31" s="234">
        <f>'Wheighing Board August 2016'!A33</f>
        <v>0</v>
      </c>
      <c r="B31" s="234">
        <f>'Wheighing Board August 2016'!B33</f>
        <v>0</v>
      </c>
      <c r="C31" s="33">
        <f>'Wheighing Board August 2016'!C33</f>
        <v>0</v>
      </c>
      <c r="D31" s="33">
        <f>'Wheighing Board August 2016'!D33</f>
        <v>0</v>
      </c>
      <c r="E31" s="33">
        <f>'Wheighing Board August 2016'!E33</f>
        <v>0</v>
      </c>
      <c r="F31" s="235">
        <f>'Wheighing Board August 2016'!F33</f>
        <v>0</v>
      </c>
      <c r="G31" s="33">
        <f>'Wheighing Board August 2016'!G33</f>
        <v>0</v>
      </c>
      <c r="H31" s="33">
        <f>'Wheighing Board August 2016'!H33</f>
        <v>0</v>
      </c>
      <c r="I31" s="33">
        <f>'Wheighing Board August 2016'!K33</f>
        <v>0</v>
      </c>
      <c r="J31" s="33">
        <f>'Wheighing Board August 2016'!L33</f>
        <v>0</v>
      </c>
      <c r="K31" s="33">
        <f>'Wheighing Board August 2016'!M33</f>
        <v>0</v>
      </c>
      <c r="L31" s="33">
        <f>'Wheighing Board August 2016'!N33</f>
        <v>0</v>
      </c>
      <c r="M31" s="33">
        <f>'Wheighing Board August 2016'!O33</f>
        <v>0</v>
      </c>
    </row>
    <row r="32" spans="1:13" ht="23.25" x14ac:dyDescent="0.25">
      <c r="A32" s="234">
        <f>'Wheighing Board August 2016'!A34</f>
        <v>0</v>
      </c>
      <c r="B32" s="234">
        <f>'Wheighing Board August 2016'!B34</f>
        <v>0</v>
      </c>
      <c r="C32" s="33">
        <f>'Wheighing Board August 2016'!C34</f>
        <v>0</v>
      </c>
      <c r="D32" s="33">
        <f>'Wheighing Board August 2016'!D34</f>
        <v>0</v>
      </c>
      <c r="E32" s="33">
        <f>'Wheighing Board August 2016'!E34</f>
        <v>0</v>
      </c>
      <c r="F32" s="235">
        <f>'Wheighing Board August 2016'!F34</f>
        <v>0</v>
      </c>
      <c r="G32" s="33">
        <f>'Wheighing Board August 2016'!G34</f>
        <v>0</v>
      </c>
      <c r="H32" s="33">
        <f>'Wheighing Board August 2016'!H34</f>
        <v>0</v>
      </c>
      <c r="I32" s="33">
        <f>'Wheighing Board August 2016'!K34</f>
        <v>0</v>
      </c>
      <c r="J32" s="33">
        <f>'Wheighing Board August 2016'!L34</f>
        <v>0</v>
      </c>
      <c r="K32" s="33">
        <f>'Wheighing Board August 2016'!M34</f>
        <v>0</v>
      </c>
      <c r="L32" s="33">
        <f>'Wheighing Board August 2016'!N34</f>
        <v>0</v>
      </c>
      <c r="M32" s="33">
        <f>'Wheighing Board August 2016'!O34</f>
        <v>0</v>
      </c>
    </row>
    <row r="33" spans="1:13" ht="23.25" x14ac:dyDescent="0.25">
      <c r="A33" s="234">
        <f>'Wheighing Board August 2016'!A35</f>
        <v>0</v>
      </c>
      <c r="B33" s="234">
        <f>'Wheighing Board August 2016'!B35</f>
        <v>0</v>
      </c>
      <c r="C33" s="33">
        <f>'Wheighing Board August 2016'!C35</f>
        <v>0</v>
      </c>
      <c r="D33" s="33">
        <f>'Wheighing Board August 2016'!D35</f>
        <v>0</v>
      </c>
      <c r="E33" s="33">
        <f>'Wheighing Board August 2016'!E35</f>
        <v>0</v>
      </c>
      <c r="F33" s="235">
        <f>'Wheighing Board August 2016'!F35</f>
        <v>0</v>
      </c>
      <c r="G33" s="33">
        <f>'Wheighing Board August 2016'!G35</f>
        <v>0</v>
      </c>
      <c r="H33" s="33">
        <f>'Wheighing Board August 2016'!H35</f>
        <v>0</v>
      </c>
      <c r="I33" s="33">
        <f>'Wheighing Board August 2016'!K35</f>
        <v>0</v>
      </c>
      <c r="J33" s="33">
        <f>'Wheighing Board August 2016'!L35</f>
        <v>0</v>
      </c>
      <c r="K33" s="33">
        <f>'Wheighing Board August 2016'!M35</f>
        <v>0</v>
      </c>
      <c r="L33" s="33">
        <f>'Wheighing Board August 2016'!N35</f>
        <v>0</v>
      </c>
      <c r="M33" s="33">
        <f>'Wheighing Board August 2016'!O35</f>
        <v>0</v>
      </c>
    </row>
    <row r="34" spans="1:13" ht="23.25" x14ac:dyDescent="0.25">
      <c r="A34" s="234">
        <f>'Wheighing Board August 2016'!A36</f>
        <v>0</v>
      </c>
      <c r="B34" s="234">
        <f>'Wheighing Board August 2016'!B36</f>
        <v>0</v>
      </c>
      <c r="C34" s="33">
        <f>'Wheighing Board August 2016'!C36</f>
        <v>0</v>
      </c>
      <c r="D34" s="33">
        <f>'Wheighing Board August 2016'!D36</f>
        <v>0</v>
      </c>
      <c r="E34" s="33">
        <f>'Wheighing Board August 2016'!E36</f>
        <v>0</v>
      </c>
      <c r="F34" s="235">
        <f>'Wheighing Board August 2016'!F36</f>
        <v>0</v>
      </c>
      <c r="G34" s="33">
        <f>'Wheighing Board August 2016'!G36</f>
        <v>0</v>
      </c>
      <c r="H34" s="33">
        <f>'Wheighing Board August 2016'!H36</f>
        <v>0</v>
      </c>
      <c r="I34" s="33">
        <f>'Wheighing Board August 2016'!K36</f>
        <v>0</v>
      </c>
      <c r="J34" s="33">
        <f>'Wheighing Board August 2016'!L36</f>
        <v>0</v>
      </c>
      <c r="K34" s="33">
        <f>'Wheighing Board August 2016'!M36</f>
        <v>0</v>
      </c>
      <c r="L34" s="33">
        <f>'Wheighing Board August 2016'!N36</f>
        <v>0</v>
      </c>
      <c r="M34" s="33">
        <f>'Wheighing Board August 2016'!O36</f>
        <v>0</v>
      </c>
    </row>
    <row r="35" spans="1:13" ht="23.25" x14ac:dyDescent="0.25">
      <c r="A35" s="234">
        <f>'Wheighing Board August 2016'!A37</f>
        <v>0</v>
      </c>
      <c r="B35" s="234">
        <f>'Wheighing Board August 2016'!B37</f>
        <v>0</v>
      </c>
      <c r="C35" s="33">
        <f>'Wheighing Board August 2016'!C37</f>
        <v>0</v>
      </c>
      <c r="D35" s="33">
        <f>'Wheighing Board August 2016'!D37</f>
        <v>0</v>
      </c>
      <c r="E35" s="33">
        <f>'Wheighing Board August 2016'!E37</f>
        <v>0</v>
      </c>
      <c r="F35" s="235">
        <f>'Wheighing Board August 2016'!F37</f>
        <v>0</v>
      </c>
      <c r="G35" s="33">
        <f>'Wheighing Board August 2016'!G37</f>
        <v>0</v>
      </c>
      <c r="H35" s="33">
        <f>'Wheighing Board August 2016'!H37</f>
        <v>0</v>
      </c>
      <c r="I35" s="33">
        <f>'Wheighing Board August 2016'!K37</f>
        <v>0</v>
      </c>
      <c r="J35" s="33">
        <f>'Wheighing Board August 2016'!L37</f>
        <v>0</v>
      </c>
      <c r="K35" s="33">
        <f>'Wheighing Board August 2016'!M37</f>
        <v>0</v>
      </c>
      <c r="L35" s="33">
        <f>'Wheighing Board August 2016'!N37</f>
        <v>0</v>
      </c>
      <c r="M35" s="33">
        <f>'Wheighing Board August 2016'!O37</f>
        <v>0</v>
      </c>
    </row>
    <row r="36" spans="1:13" ht="23.25" x14ac:dyDescent="0.25">
      <c r="A36" s="234">
        <f>'Wheighing Board August 2016'!A38</f>
        <v>0</v>
      </c>
      <c r="B36" s="234">
        <f>'Wheighing Board August 2016'!B38</f>
        <v>0</v>
      </c>
      <c r="C36" s="33">
        <f>'Wheighing Board August 2016'!C38</f>
        <v>0</v>
      </c>
      <c r="D36" s="33">
        <f>'Wheighing Board August 2016'!D38</f>
        <v>0</v>
      </c>
      <c r="E36" s="33">
        <f>'Wheighing Board August 2016'!E38</f>
        <v>0</v>
      </c>
      <c r="F36" s="235">
        <f>'Wheighing Board August 2016'!F38</f>
        <v>0</v>
      </c>
      <c r="G36" s="33">
        <f>'Wheighing Board August 2016'!G38</f>
        <v>0</v>
      </c>
      <c r="H36" s="33">
        <f>'Wheighing Board August 2016'!H38</f>
        <v>0</v>
      </c>
      <c r="I36" s="33">
        <f>'Wheighing Board August 2016'!K38</f>
        <v>0</v>
      </c>
      <c r="J36" s="33">
        <f>'Wheighing Board August 2016'!L38</f>
        <v>0</v>
      </c>
      <c r="K36" s="33">
        <f>'Wheighing Board August 2016'!M38</f>
        <v>0</v>
      </c>
      <c r="L36" s="33">
        <f>'Wheighing Board August 2016'!N38</f>
        <v>0</v>
      </c>
      <c r="M36" s="33">
        <f>'Wheighing Board August 2016'!O38</f>
        <v>0</v>
      </c>
    </row>
    <row r="37" spans="1:13" ht="23.25" x14ac:dyDescent="0.25">
      <c r="A37" s="234">
        <f>'Wheighing Board August 2016'!A39</f>
        <v>0</v>
      </c>
      <c r="B37" s="234">
        <f>'Wheighing Board August 2016'!B39</f>
        <v>0</v>
      </c>
      <c r="C37" s="33">
        <f>'Wheighing Board August 2016'!C39</f>
        <v>0</v>
      </c>
      <c r="D37" s="33">
        <f>'Wheighing Board August 2016'!D39</f>
        <v>0</v>
      </c>
      <c r="E37" s="33">
        <f>'Wheighing Board August 2016'!E39</f>
        <v>0</v>
      </c>
      <c r="F37" s="235">
        <f>'Wheighing Board August 2016'!F39</f>
        <v>0</v>
      </c>
      <c r="G37" s="33">
        <f>'Wheighing Board August 2016'!G39</f>
        <v>0</v>
      </c>
      <c r="H37" s="33">
        <f>'Wheighing Board August 2016'!H39</f>
        <v>0</v>
      </c>
      <c r="I37" s="33">
        <f>'Wheighing Board August 2016'!K39</f>
        <v>0</v>
      </c>
      <c r="J37" s="33">
        <f>'Wheighing Board August 2016'!L39</f>
        <v>0</v>
      </c>
      <c r="K37" s="33">
        <f>'Wheighing Board August 2016'!M39</f>
        <v>0</v>
      </c>
      <c r="L37" s="33">
        <f>'Wheighing Board August 2016'!N39</f>
        <v>0</v>
      </c>
      <c r="M37" s="33">
        <f>'Wheighing Board August 2016'!O39</f>
        <v>0</v>
      </c>
    </row>
    <row r="38" spans="1:13" ht="23.25" x14ac:dyDescent="0.25">
      <c r="A38" s="234">
        <f>'Wheighing Board August 2016'!A40</f>
        <v>0</v>
      </c>
      <c r="B38" s="234">
        <f>'Wheighing Board August 2016'!B40</f>
        <v>0</v>
      </c>
      <c r="C38" s="33">
        <f>'Wheighing Board August 2016'!C40</f>
        <v>0</v>
      </c>
      <c r="D38" s="33">
        <f>'Wheighing Board August 2016'!D40</f>
        <v>0</v>
      </c>
      <c r="E38" s="33">
        <f>'Wheighing Board August 2016'!E40</f>
        <v>0</v>
      </c>
      <c r="F38" s="235">
        <f>'Wheighing Board August 2016'!F40</f>
        <v>0</v>
      </c>
      <c r="G38" s="33">
        <f>'Wheighing Board August 2016'!G40</f>
        <v>0</v>
      </c>
      <c r="H38" s="33">
        <f>'Wheighing Board August 2016'!H40</f>
        <v>0</v>
      </c>
      <c r="I38" s="33">
        <f>'Wheighing Board August 2016'!K40</f>
        <v>0</v>
      </c>
      <c r="J38" s="33">
        <f>'Wheighing Board August 2016'!L40</f>
        <v>0</v>
      </c>
      <c r="K38" s="33">
        <f>'Wheighing Board August 2016'!M40</f>
        <v>0</v>
      </c>
      <c r="L38" s="33">
        <f>'Wheighing Board August 2016'!N40</f>
        <v>0</v>
      </c>
      <c r="M38" s="33">
        <f>'Wheighing Board August 2016'!O40</f>
        <v>0</v>
      </c>
    </row>
    <row r="39" spans="1:13" ht="23.25" x14ac:dyDescent="0.25">
      <c r="A39" s="234">
        <f>'Wheighing Board August 2016'!A41</f>
        <v>0</v>
      </c>
      <c r="B39" s="234">
        <f>'Wheighing Board August 2016'!B41</f>
        <v>0</v>
      </c>
      <c r="C39" s="33">
        <f>'Wheighing Board August 2016'!C41</f>
        <v>0</v>
      </c>
      <c r="D39" s="33">
        <f>'Wheighing Board August 2016'!D41</f>
        <v>0</v>
      </c>
      <c r="E39" s="33">
        <f>'Wheighing Board August 2016'!E41</f>
        <v>0</v>
      </c>
      <c r="F39" s="235">
        <f>'Wheighing Board August 2016'!F41</f>
        <v>0</v>
      </c>
      <c r="G39" s="33">
        <f>'Wheighing Board August 2016'!G41</f>
        <v>0</v>
      </c>
      <c r="H39" s="33">
        <f>'Wheighing Board August 2016'!H41</f>
        <v>0</v>
      </c>
      <c r="I39" s="33">
        <f>'Wheighing Board August 2016'!K41</f>
        <v>0</v>
      </c>
      <c r="J39" s="33">
        <f>'Wheighing Board August 2016'!L41</f>
        <v>0</v>
      </c>
      <c r="K39" s="33">
        <f>'Wheighing Board August 2016'!M41</f>
        <v>0</v>
      </c>
      <c r="L39" s="33">
        <f>'Wheighing Board August 2016'!N41</f>
        <v>0</v>
      </c>
      <c r="M39" s="33">
        <f>'Wheighing Board August 2016'!O41</f>
        <v>0</v>
      </c>
    </row>
    <row r="40" spans="1:13" ht="23.25" x14ac:dyDescent="0.25">
      <c r="A40" s="234">
        <f>'Wheighing Board August 2016'!A42</f>
        <v>0</v>
      </c>
      <c r="B40" s="234">
        <f>'Wheighing Board August 2016'!B42</f>
        <v>0</v>
      </c>
      <c r="C40" s="33">
        <f>'Wheighing Board August 2016'!C42</f>
        <v>0</v>
      </c>
      <c r="D40" s="33">
        <f>'Wheighing Board August 2016'!D42</f>
        <v>0</v>
      </c>
      <c r="E40" s="33">
        <f>'Wheighing Board August 2016'!E42</f>
        <v>0</v>
      </c>
      <c r="F40" s="235">
        <f>'Wheighing Board August 2016'!F42</f>
        <v>0</v>
      </c>
      <c r="G40" s="33">
        <f>'Wheighing Board August 2016'!G42</f>
        <v>0</v>
      </c>
      <c r="H40" s="33">
        <f>'Wheighing Board August 2016'!H42</f>
        <v>0</v>
      </c>
      <c r="I40" s="33">
        <f>'Wheighing Board August 2016'!K42</f>
        <v>0</v>
      </c>
      <c r="J40" s="33">
        <f>'Wheighing Board August 2016'!L42</f>
        <v>0</v>
      </c>
      <c r="K40" s="33">
        <f>'Wheighing Board August 2016'!M42</f>
        <v>0</v>
      </c>
      <c r="L40" s="33">
        <f>'Wheighing Board August 2016'!N42</f>
        <v>0</v>
      </c>
      <c r="M40" s="33">
        <f>'Wheighing Board August 2016'!O42</f>
        <v>0</v>
      </c>
    </row>
    <row r="41" spans="1:13" ht="23.25" x14ac:dyDescent="0.25">
      <c r="A41" s="234">
        <f>'Wheighing Board August 2016'!A43</f>
        <v>0</v>
      </c>
      <c r="B41" s="234">
        <f>'Wheighing Board August 2016'!B43</f>
        <v>0</v>
      </c>
      <c r="C41" s="33">
        <f>'Wheighing Board August 2016'!C43</f>
        <v>0</v>
      </c>
      <c r="D41" s="33">
        <f>'Wheighing Board August 2016'!D43</f>
        <v>0</v>
      </c>
      <c r="E41" s="33">
        <f>'Wheighing Board August 2016'!E43</f>
        <v>0</v>
      </c>
      <c r="F41" s="235">
        <f>'Wheighing Board August 2016'!F43</f>
        <v>0</v>
      </c>
      <c r="G41" s="33">
        <f>'Wheighing Board August 2016'!G43</f>
        <v>0</v>
      </c>
      <c r="H41" s="33">
        <f>'Wheighing Board August 2016'!H43</f>
        <v>0</v>
      </c>
      <c r="I41" s="33">
        <f>'Wheighing Board August 2016'!K43</f>
        <v>0</v>
      </c>
      <c r="J41" s="33">
        <f>'Wheighing Board August 2016'!L43</f>
        <v>0</v>
      </c>
      <c r="K41" s="33">
        <f>'Wheighing Board August 2016'!M43</f>
        <v>0</v>
      </c>
      <c r="L41" s="33">
        <f>'Wheighing Board August 2016'!N43</f>
        <v>0</v>
      </c>
      <c r="M41" s="33">
        <f>'Wheighing Board August 2016'!O43</f>
        <v>0</v>
      </c>
    </row>
    <row r="42" spans="1:13" ht="23.25" x14ac:dyDescent="0.25">
      <c r="A42" s="234">
        <f>'Wheighing Board August 2016'!A44</f>
        <v>0</v>
      </c>
      <c r="B42" s="234">
        <f>'Wheighing Board August 2016'!B44</f>
        <v>0</v>
      </c>
      <c r="C42" s="33">
        <f>'Wheighing Board August 2016'!C44</f>
        <v>0</v>
      </c>
      <c r="D42" s="33">
        <f>'Wheighing Board August 2016'!D44</f>
        <v>0</v>
      </c>
      <c r="E42" s="33">
        <f>'Wheighing Board August 2016'!E44</f>
        <v>0</v>
      </c>
      <c r="F42" s="235">
        <f>'Wheighing Board August 2016'!F44</f>
        <v>0</v>
      </c>
      <c r="G42" s="33">
        <f>'Wheighing Board August 2016'!G44</f>
        <v>0</v>
      </c>
      <c r="H42" s="33">
        <f>'Wheighing Board August 2016'!H44</f>
        <v>0</v>
      </c>
      <c r="I42" s="33">
        <f>'Wheighing Board August 2016'!K44</f>
        <v>0</v>
      </c>
      <c r="J42" s="33">
        <f>'Wheighing Board August 2016'!L44</f>
        <v>0</v>
      </c>
      <c r="K42" s="33">
        <f>'Wheighing Board August 2016'!M44</f>
        <v>0</v>
      </c>
      <c r="L42" s="33">
        <f>'Wheighing Board August 2016'!N44</f>
        <v>0</v>
      </c>
      <c r="M42" s="33">
        <f>'Wheighing Board August 2016'!O44</f>
        <v>0</v>
      </c>
    </row>
    <row r="43" spans="1:13" ht="23.25" x14ac:dyDescent="0.25">
      <c r="A43" s="234">
        <f>'Wheighing Board August 2016'!A45</f>
        <v>0</v>
      </c>
      <c r="B43" s="234">
        <f>'Wheighing Board August 2016'!B45</f>
        <v>0</v>
      </c>
      <c r="C43" s="33">
        <f>'Wheighing Board August 2016'!C45</f>
        <v>0</v>
      </c>
      <c r="D43" s="33">
        <f>'Wheighing Board August 2016'!D45</f>
        <v>0</v>
      </c>
      <c r="E43" s="33">
        <f>'Wheighing Board August 2016'!E45</f>
        <v>0</v>
      </c>
      <c r="F43" s="235">
        <f>'Wheighing Board August 2016'!F45</f>
        <v>0</v>
      </c>
      <c r="G43" s="33">
        <f>'Wheighing Board August 2016'!G45</f>
        <v>0</v>
      </c>
      <c r="H43" s="33">
        <f>'Wheighing Board August 2016'!H45</f>
        <v>0</v>
      </c>
      <c r="I43" s="33">
        <f>'Wheighing Board August 2016'!K45</f>
        <v>0</v>
      </c>
      <c r="J43" s="33">
        <f>'Wheighing Board August 2016'!L45</f>
        <v>0</v>
      </c>
      <c r="K43" s="33">
        <f>'Wheighing Board August 2016'!M45</f>
        <v>0</v>
      </c>
      <c r="L43" s="33">
        <f>'Wheighing Board August 2016'!N45</f>
        <v>0</v>
      </c>
      <c r="M43" s="33">
        <f>'Wheighing Board August 2016'!O45</f>
        <v>0</v>
      </c>
    </row>
    <row r="44" spans="1:13" ht="23.25" x14ac:dyDescent="0.25">
      <c r="A44" s="234">
        <f>'Wheighing Board August 2016'!A46</f>
        <v>0</v>
      </c>
      <c r="B44" s="234">
        <f>'Wheighing Board August 2016'!B46</f>
        <v>0</v>
      </c>
      <c r="C44" s="33">
        <f>'Wheighing Board August 2016'!C46</f>
        <v>0</v>
      </c>
      <c r="D44" s="33">
        <f>'Wheighing Board August 2016'!D46</f>
        <v>0</v>
      </c>
      <c r="E44" s="33">
        <f>'Wheighing Board August 2016'!E46</f>
        <v>0</v>
      </c>
      <c r="F44" s="235">
        <f>'Wheighing Board August 2016'!F46</f>
        <v>0</v>
      </c>
      <c r="G44" s="33">
        <f>'Wheighing Board August 2016'!G46</f>
        <v>0</v>
      </c>
      <c r="H44" s="33">
        <f>'Wheighing Board August 2016'!H46</f>
        <v>0</v>
      </c>
      <c r="I44" s="33">
        <f>'Wheighing Board August 2016'!K46</f>
        <v>0</v>
      </c>
      <c r="J44" s="33">
        <f>'Wheighing Board August 2016'!L46</f>
        <v>0</v>
      </c>
      <c r="K44" s="33">
        <f>'Wheighing Board August 2016'!M46</f>
        <v>0</v>
      </c>
      <c r="L44" s="33">
        <f>'Wheighing Board August 2016'!N46</f>
        <v>0</v>
      </c>
      <c r="M44" s="33">
        <f>'Wheighing Board August 2016'!O46</f>
        <v>0</v>
      </c>
    </row>
    <row r="45" spans="1:13" ht="23.25" x14ac:dyDescent="0.25">
      <c r="A45" s="234">
        <f>'Wheighing Board August 2016'!A47</f>
        <v>0</v>
      </c>
      <c r="B45" s="234">
        <f>'Wheighing Board August 2016'!B47</f>
        <v>0</v>
      </c>
      <c r="C45" s="33">
        <f>'Wheighing Board August 2016'!C47</f>
        <v>0</v>
      </c>
      <c r="D45" s="33">
        <f>'Wheighing Board August 2016'!D47</f>
        <v>0</v>
      </c>
      <c r="E45" s="33">
        <f>'Wheighing Board August 2016'!E47</f>
        <v>0</v>
      </c>
      <c r="F45" s="235">
        <f>'Wheighing Board August 2016'!F47</f>
        <v>0</v>
      </c>
      <c r="G45" s="33">
        <f>'Wheighing Board August 2016'!G47</f>
        <v>0</v>
      </c>
      <c r="H45" s="33">
        <f>'Wheighing Board August 2016'!H47</f>
        <v>0</v>
      </c>
      <c r="I45" s="33">
        <f>'Wheighing Board August 2016'!K47</f>
        <v>0</v>
      </c>
      <c r="J45" s="33">
        <f>'Wheighing Board August 2016'!L47</f>
        <v>0</v>
      </c>
      <c r="K45" s="33">
        <f>'Wheighing Board August 2016'!M47</f>
        <v>0</v>
      </c>
      <c r="L45" s="33">
        <f>'Wheighing Board August 2016'!N47</f>
        <v>0</v>
      </c>
      <c r="M45" s="33">
        <f>'Wheighing Board August 2016'!O47</f>
        <v>0</v>
      </c>
    </row>
    <row r="46" spans="1:13" ht="23.25" x14ac:dyDescent="0.25">
      <c r="A46" s="234">
        <f>'Wheighing Board August 2016'!A48</f>
        <v>0</v>
      </c>
      <c r="B46" s="234">
        <f>'Wheighing Board August 2016'!B48</f>
        <v>0</v>
      </c>
      <c r="C46" s="33">
        <f>'Wheighing Board August 2016'!C48</f>
        <v>0</v>
      </c>
      <c r="D46" s="33">
        <f>'Wheighing Board August 2016'!D48</f>
        <v>0</v>
      </c>
      <c r="E46" s="33">
        <f>'Wheighing Board August 2016'!E48</f>
        <v>0</v>
      </c>
      <c r="F46" s="235">
        <f>'Wheighing Board August 2016'!F48</f>
        <v>0</v>
      </c>
      <c r="G46" s="33">
        <f>'Wheighing Board August 2016'!G48</f>
        <v>0</v>
      </c>
      <c r="H46" s="33">
        <f>'Wheighing Board August 2016'!H48</f>
        <v>0</v>
      </c>
      <c r="I46" s="33">
        <f>'Wheighing Board August 2016'!K48</f>
        <v>0</v>
      </c>
      <c r="J46" s="33">
        <f>'Wheighing Board August 2016'!L48</f>
        <v>0</v>
      </c>
      <c r="K46" s="33">
        <f>'Wheighing Board August 2016'!M48</f>
        <v>0</v>
      </c>
      <c r="L46" s="33">
        <f>'Wheighing Board August 2016'!N48</f>
        <v>0</v>
      </c>
      <c r="M46" s="33">
        <f>'Wheighing Board August 2016'!O48</f>
        <v>0</v>
      </c>
    </row>
    <row r="47" spans="1:13" ht="23.25" x14ac:dyDescent="0.25">
      <c r="A47" s="234">
        <f>'Wheighing Board August 2016'!A49</f>
        <v>0</v>
      </c>
      <c r="B47" s="234">
        <f>'Wheighing Board August 2016'!B49</f>
        <v>0</v>
      </c>
      <c r="C47" s="33">
        <f>'Wheighing Board August 2016'!C49</f>
        <v>0</v>
      </c>
      <c r="D47" s="33">
        <f>'Wheighing Board August 2016'!D49</f>
        <v>0</v>
      </c>
      <c r="E47" s="33">
        <f>'Wheighing Board August 2016'!E49</f>
        <v>0</v>
      </c>
      <c r="F47" s="235">
        <f>'Wheighing Board August 2016'!F49</f>
        <v>0</v>
      </c>
      <c r="G47" s="33">
        <f>'Wheighing Board August 2016'!G49</f>
        <v>0</v>
      </c>
      <c r="H47" s="33">
        <f>'Wheighing Board August 2016'!H49</f>
        <v>0</v>
      </c>
      <c r="I47" s="33">
        <f>'Wheighing Board August 2016'!K49</f>
        <v>0</v>
      </c>
      <c r="J47" s="33">
        <f>'Wheighing Board August 2016'!L49</f>
        <v>0</v>
      </c>
      <c r="K47" s="33">
        <f>'Wheighing Board August 2016'!M49</f>
        <v>0</v>
      </c>
      <c r="L47" s="33">
        <f>'Wheighing Board August 2016'!N49</f>
        <v>0</v>
      </c>
      <c r="M47" s="33">
        <f>'Wheighing Board August 2016'!O49</f>
        <v>0</v>
      </c>
    </row>
    <row r="48" spans="1:13" ht="23.25" x14ac:dyDescent="0.25">
      <c r="A48" s="234">
        <f>'Wheighing Board August 2016'!A50</f>
        <v>0</v>
      </c>
      <c r="B48" s="234">
        <f>'Wheighing Board August 2016'!B50</f>
        <v>0</v>
      </c>
      <c r="C48" s="33">
        <f>'Wheighing Board August 2016'!C50</f>
        <v>0</v>
      </c>
      <c r="D48" s="33">
        <f>'Wheighing Board August 2016'!D50</f>
        <v>0</v>
      </c>
      <c r="E48" s="33">
        <f>'Wheighing Board August 2016'!E50</f>
        <v>0</v>
      </c>
      <c r="F48" s="235">
        <f>'Wheighing Board August 2016'!F50</f>
        <v>0</v>
      </c>
      <c r="G48" s="33">
        <f>'Wheighing Board August 2016'!G50</f>
        <v>0</v>
      </c>
      <c r="H48" s="33">
        <f>'Wheighing Board August 2016'!H50</f>
        <v>0</v>
      </c>
      <c r="I48" s="33">
        <f>'Wheighing Board August 2016'!K50</f>
        <v>0</v>
      </c>
      <c r="J48" s="33">
        <f>'Wheighing Board August 2016'!L50</f>
        <v>0</v>
      </c>
      <c r="K48" s="33">
        <f>'Wheighing Board August 2016'!M50</f>
        <v>0</v>
      </c>
      <c r="L48" s="33">
        <f>'Wheighing Board August 2016'!N50</f>
        <v>0</v>
      </c>
      <c r="M48" s="33">
        <f>'Wheighing Board August 2016'!O50</f>
        <v>0</v>
      </c>
    </row>
    <row r="49" spans="1:13" ht="23.25" x14ac:dyDescent="0.25">
      <c r="A49" s="234">
        <f>'Wheighing Board August 2016'!A51</f>
        <v>0</v>
      </c>
      <c r="B49" s="234">
        <f>'Wheighing Board August 2016'!B51</f>
        <v>0</v>
      </c>
      <c r="C49" s="33">
        <f>'Wheighing Board August 2016'!C51</f>
        <v>0</v>
      </c>
      <c r="D49" s="33">
        <f>'Wheighing Board August 2016'!D51</f>
        <v>0</v>
      </c>
      <c r="E49" s="33">
        <f>'Wheighing Board August 2016'!E51</f>
        <v>0</v>
      </c>
      <c r="F49" s="235">
        <f>'Wheighing Board August 2016'!F51</f>
        <v>0</v>
      </c>
      <c r="G49" s="33">
        <f>'Wheighing Board August 2016'!G51</f>
        <v>0</v>
      </c>
      <c r="H49" s="33">
        <f>'Wheighing Board August 2016'!H51</f>
        <v>0</v>
      </c>
      <c r="I49" s="33">
        <f>'Wheighing Board August 2016'!K51</f>
        <v>0</v>
      </c>
      <c r="J49" s="33">
        <f>'Wheighing Board August 2016'!L51</f>
        <v>0</v>
      </c>
      <c r="K49" s="33">
        <f>'Wheighing Board August 2016'!M51</f>
        <v>0</v>
      </c>
      <c r="L49" s="33">
        <f>'Wheighing Board August 2016'!N51</f>
        <v>0</v>
      </c>
      <c r="M49" s="33">
        <f>'Wheighing Board August 2016'!O51</f>
        <v>0</v>
      </c>
    </row>
    <row r="50" spans="1:13" ht="23.25" x14ac:dyDescent="0.25">
      <c r="A50" s="234">
        <f>'Wheighing Board August 2016'!A52</f>
        <v>0</v>
      </c>
      <c r="B50" s="234">
        <f>'Wheighing Board August 2016'!B52</f>
        <v>0</v>
      </c>
      <c r="C50" s="33">
        <f>'Wheighing Board August 2016'!C52</f>
        <v>0</v>
      </c>
      <c r="D50" s="33">
        <f>'Wheighing Board August 2016'!D52</f>
        <v>0</v>
      </c>
      <c r="E50" s="33">
        <f>'Wheighing Board August 2016'!E52</f>
        <v>0</v>
      </c>
      <c r="F50" s="235">
        <f>'Wheighing Board August 2016'!F52</f>
        <v>0</v>
      </c>
      <c r="G50" s="33">
        <f>'Wheighing Board August 2016'!G52</f>
        <v>0</v>
      </c>
      <c r="H50" s="33">
        <f>'Wheighing Board August 2016'!H52</f>
        <v>0</v>
      </c>
      <c r="I50" s="33">
        <f>'Wheighing Board August 2016'!K52</f>
        <v>0</v>
      </c>
      <c r="J50" s="33">
        <f>'Wheighing Board August 2016'!L52</f>
        <v>0</v>
      </c>
      <c r="K50" s="33">
        <f>'Wheighing Board August 2016'!M52</f>
        <v>0</v>
      </c>
      <c r="L50" s="33">
        <f>'Wheighing Board August 2016'!N52</f>
        <v>0</v>
      </c>
      <c r="M50" s="33">
        <f>'Wheighing Board August 2016'!O52</f>
        <v>0</v>
      </c>
    </row>
    <row r="51" spans="1:13" ht="23.25" x14ac:dyDescent="0.25">
      <c r="A51" s="234">
        <f>'Wheighing Board August 2016'!A53</f>
        <v>0</v>
      </c>
      <c r="B51" s="234">
        <f>'Wheighing Board August 2016'!B53</f>
        <v>0</v>
      </c>
      <c r="C51" s="33">
        <f>'Wheighing Board August 2016'!C53</f>
        <v>0</v>
      </c>
      <c r="D51" s="33">
        <f>'Wheighing Board August 2016'!D53</f>
        <v>0</v>
      </c>
      <c r="E51" s="33">
        <f>'Wheighing Board August 2016'!E53</f>
        <v>0</v>
      </c>
      <c r="F51" s="235">
        <f>'Wheighing Board August 2016'!F53</f>
        <v>0</v>
      </c>
      <c r="G51" s="33">
        <f>'Wheighing Board August 2016'!G53</f>
        <v>0</v>
      </c>
      <c r="H51" s="33">
        <f>'Wheighing Board August 2016'!H53</f>
        <v>0</v>
      </c>
      <c r="I51" s="33">
        <f>'Wheighing Board August 2016'!K53</f>
        <v>0</v>
      </c>
      <c r="J51" s="33">
        <f>'Wheighing Board August 2016'!L53</f>
        <v>0</v>
      </c>
      <c r="K51" s="33">
        <f>'Wheighing Board August 2016'!M53</f>
        <v>0</v>
      </c>
      <c r="L51" s="33">
        <f>'Wheighing Board August 2016'!N53</f>
        <v>0</v>
      </c>
      <c r="M51" s="33">
        <f>'Wheighing Board August 2016'!O53</f>
        <v>0</v>
      </c>
    </row>
    <row r="52" spans="1:13" ht="23.25" x14ac:dyDescent="0.25">
      <c r="A52" s="234">
        <f>'Wheighing Board August 2016'!A54</f>
        <v>0</v>
      </c>
      <c r="B52" s="234">
        <f>'Wheighing Board August 2016'!B54</f>
        <v>0</v>
      </c>
      <c r="C52" s="33">
        <f>'Wheighing Board August 2016'!C54</f>
        <v>0</v>
      </c>
      <c r="D52" s="33">
        <f>'Wheighing Board August 2016'!D54</f>
        <v>0</v>
      </c>
      <c r="E52" s="33">
        <f>'Wheighing Board August 2016'!E54</f>
        <v>0</v>
      </c>
      <c r="F52" s="235">
        <f>'Wheighing Board August 2016'!F54</f>
        <v>0</v>
      </c>
      <c r="G52" s="33">
        <f>'Wheighing Board August 2016'!G54</f>
        <v>0</v>
      </c>
      <c r="H52" s="33">
        <f>'Wheighing Board August 2016'!H54</f>
        <v>0</v>
      </c>
      <c r="I52" s="33">
        <f>'Wheighing Board August 2016'!K54</f>
        <v>0</v>
      </c>
      <c r="J52" s="33">
        <f>'Wheighing Board August 2016'!L54</f>
        <v>0</v>
      </c>
      <c r="K52" s="33">
        <f>'Wheighing Board August 2016'!M54</f>
        <v>0</v>
      </c>
      <c r="L52" s="33">
        <f>'Wheighing Board August 2016'!N54</f>
        <v>0</v>
      </c>
      <c r="M52" s="33">
        <f>'Wheighing Board August 2016'!O54</f>
        <v>0</v>
      </c>
    </row>
    <row r="53" spans="1:13" ht="23.25" x14ac:dyDescent="0.25">
      <c r="A53" s="234">
        <f>'Wheighing Board August 2016'!A55</f>
        <v>0</v>
      </c>
      <c r="B53" s="234">
        <f>'Wheighing Board August 2016'!B55</f>
        <v>0</v>
      </c>
      <c r="C53" s="33">
        <f>'Wheighing Board August 2016'!C55</f>
        <v>0</v>
      </c>
      <c r="D53" s="33">
        <f>'Wheighing Board August 2016'!D55</f>
        <v>0</v>
      </c>
      <c r="E53" s="33">
        <f>'Wheighing Board August 2016'!E55</f>
        <v>0</v>
      </c>
      <c r="F53" s="235">
        <f>'Wheighing Board August 2016'!F55</f>
        <v>0</v>
      </c>
      <c r="G53" s="33">
        <f>'Wheighing Board August 2016'!G55</f>
        <v>0</v>
      </c>
      <c r="H53" s="33">
        <f>'Wheighing Board August 2016'!H55</f>
        <v>0</v>
      </c>
      <c r="I53" s="33">
        <f>'Wheighing Board August 2016'!K55</f>
        <v>0</v>
      </c>
      <c r="J53" s="33">
        <f>'Wheighing Board August 2016'!L55</f>
        <v>0</v>
      </c>
      <c r="K53" s="33">
        <f>'Wheighing Board August 2016'!M55</f>
        <v>0</v>
      </c>
      <c r="L53" s="33">
        <f>'Wheighing Board August 2016'!N55</f>
        <v>0</v>
      </c>
      <c r="M53" s="33">
        <f>'Wheighing Board August 2016'!O55</f>
        <v>0</v>
      </c>
    </row>
    <row r="54" spans="1:13" ht="23.25" x14ac:dyDescent="0.25">
      <c r="A54" s="234">
        <f>'Wheighing Board August 2016'!A56</f>
        <v>0</v>
      </c>
      <c r="B54" s="234">
        <f>'Wheighing Board August 2016'!B56</f>
        <v>0</v>
      </c>
      <c r="C54" s="33">
        <f>'Wheighing Board August 2016'!C56</f>
        <v>0</v>
      </c>
      <c r="D54" s="33">
        <f>'Wheighing Board August 2016'!D56</f>
        <v>0</v>
      </c>
      <c r="E54" s="33">
        <f>'Wheighing Board August 2016'!E56</f>
        <v>0</v>
      </c>
      <c r="F54" s="235">
        <f>'Wheighing Board August 2016'!F56</f>
        <v>0</v>
      </c>
      <c r="G54" s="33">
        <f>'Wheighing Board August 2016'!G56</f>
        <v>0</v>
      </c>
      <c r="H54" s="33">
        <f>'Wheighing Board August 2016'!H56</f>
        <v>0</v>
      </c>
      <c r="I54" s="33">
        <f>'Wheighing Board August 2016'!K56</f>
        <v>0</v>
      </c>
      <c r="J54" s="33">
        <f>'Wheighing Board August 2016'!L56</f>
        <v>0</v>
      </c>
      <c r="K54" s="33">
        <f>'Wheighing Board August 2016'!M56</f>
        <v>0</v>
      </c>
      <c r="L54" s="33">
        <f>'Wheighing Board August 2016'!N56</f>
        <v>0</v>
      </c>
      <c r="M54" s="33">
        <f>'Wheighing Board August 2016'!O56</f>
        <v>0</v>
      </c>
    </row>
    <row r="55" spans="1:13" ht="23.25" x14ac:dyDescent="0.25">
      <c r="A55" s="234">
        <f>'Wheighing Board August 2016'!A57</f>
        <v>0</v>
      </c>
      <c r="B55" s="234">
        <f>'Wheighing Board August 2016'!B57</f>
        <v>0</v>
      </c>
      <c r="C55" s="33">
        <f>'Wheighing Board August 2016'!C57</f>
        <v>0</v>
      </c>
      <c r="D55" s="33">
        <f>'Wheighing Board August 2016'!D57</f>
        <v>0</v>
      </c>
      <c r="E55" s="33">
        <f>'Wheighing Board August 2016'!E57</f>
        <v>0</v>
      </c>
      <c r="F55" s="235">
        <f>'Wheighing Board August 2016'!F57</f>
        <v>0</v>
      </c>
      <c r="G55" s="33">
        <f>'Wheighing Board August 2016'!G57</f>
        <v>0</v>
      </c>
      <c r="H55" s="33">
        <f>'Wheighing Board August 2016'!H57</f>
        <v>0</v>
      </c>
      <c r="I55" s="33">
        <f>'Wheighing Board August 2016'!K57</f>
        <v>0</v>
      </c>
      <c r="J55" s="33">
        <f>'Wheighing Board August 2016'!L57</f>
        <v>0</v>
      </c>
      <c r="K55" s="33">
        <f>'Wheighing Board August 2016'!M57</f>
        <v>0</v>
      </c>
      <c r="L55" s="33">
        <f>'Wheighing Board August 2016'!N57</f>
        <v>0</v>
      </c>
      <c r="M55" s="33">
        <f>'Wheighing Board August 2016'!O57</f>
        <v>0</v>
      </c>
    </row>
    <row r="56" spans="1:13" ht="23.25" x14ac:dyDescent="0.25">
      <c r="A56" s="234">
        <f>'Wheighing Board August 2016'!A58</f>
        <v>0</v>
      </c>
      <c r="B56" s="234">
        <f>'Wheighing Board August 2016'!B58</f>
        <v>0</v>
      </c>
      <c r="C56" s="33">
        <f>'Wheighing Board August 2016'!C58</f>
        <v>0</v>
      </c>
      <c r="D56" s="33">
        <f>'Wheighing Board August 2016'!D58</f>
        <v>0</v>
      </c>
      <c r="E56" s="33">
        <f>'Wheighing Board August 2016'!E58</f>
        <v>0</v>
      </c>
      <c r="F56" s="235">
        <f>'Wheighing Board August 2016'!F58</f>
        <v>0</v>
      </c>
      <c r="G56" s="33">
        <f>'Wheighing Board August 2016'!G58</f>
        <v>0</v>
      </c>
      <c r="H56" s="33">
        <f>'Wheighing Board August 2016'!H58</f>
        <v>0</v>
      </c>
      <c r="I56" s="33">
        <f>'Wheighing Board August 2016'!K58</f>
        <v>0</v>
      </c>
      <c r="J56" s="33">
        <f>'Wheighing Board August 2016'!L58</f>
        <v>0</v>
      </c>
      <c r="K56" s="33">
        <f>'Wheighing Board August 2016'!M58</f>
        <v>0</v>
      </c>
      <c r="L56" s="33">
        <f>'Wheighing Board August 2016'!N58</f>
        <v>0</v>
      </c>
      <c r="M56" s="33">
        <f>'Wheighing Board August 2016'!O58</f>
        <v>0</v>
      </c>
    </row>
    <row r="57" spans="1:13" ht="23.25" x14ac:dyDescent="0.25">
      <c r="A57" s="234">
        <f>'Wheighing Board August 2016'!A59</f>
        <v>0</v>
      </c>
      <c r="B57" s="234">
        <f>'Wheighing Board August 2016'!B59</f>
        <v>0</v>
      </c>
      <c r="C57" s="33">
        <f>'Wheighing Board August 2016'!C59</f>
        <v>0</v>
      </c>
      <c r="D57" s="33">
        <f>'Wheighing Board August 2016'!D59</f>
        <v>0</v>
      </c>
      <c r="E57" s="33">
        <f>'Wheighing Board August 2016'!E59</f>
        <v>0</v>
      </c>
      <c r="F57" s="235">
        <f>'Wheighing Board August 2016'!F59</f>
        <v>0</v>
      </c>
      <c r="G57" s="33">
        <f>'Wheighing Board August 2016'!G59</f>
        <v>0</v>
      </c>
      <c r="H57" s="33">
        <f>'Wheighing Board August 2016'!H59</f>
        <v>0</v>
      </c>
      <c r="I57" s="33">
        <f>'Wheighing Board August 2016'!K59</f>
        <v>0</v>
      </c>
      <c r="J57" s="33">
        <f>'Wheighing Board August 2016'!L59</f>
        <v>0</v>
      </c>
      <c r="K57" s="33">
        <f>'Wheighing Board August 2016'!M59</f>
        <v>0</v>
      </c>
      <c r="L57" s="33">
        <f>'Wheighing Board August 2016'!N59</f>
        <v>0</v>
      </c>
      <c r="M57" s="33">
        <f>'Wheighing Board August 2016'!O59</f>
        <v>0</v>
      </c>
    </row>
    <row r="58" spans="1:13" ht="23.25" x14ac:dyDescent="0.25">
      <c r="A58" s="234">
        <f>'Wheighing Board August 2016'!A60</f>
        <v>0</v>
      </c>
      <c r="B58" s="234">
        <f>'Wheighing Board August 2016'!B60</f>
        <v>0</v>
      </c>
      <c r="C58" s="33">
        <f>'Wheighing Board August 2016'!C60</f>
        <v>0</v>
      </c>
      <c r="D58" s="33">
        <f>'Wheighing Board August 2016'!D60</f>
        <v>0</v>
      </c>
      <c r="E58" s="33">
        <f>'Wheighing Board August 2016'!E60</f>
        <v>0</v>
      </c>
      <c r="F58" s="235">
        <f>'Wheighing Board August 2016'!F60</f>
        <v>0</v>
      </c>
      <c r="G58" s="33">
        <f>'Wheighing Board August 2016'!G60</f>
        <v>0</v>
      </c>
      <c r="H58" s="33">
        <f>'Wheighing Board August 2016'!H60</f>
        <v>0</v>
      </c>
      <c r="I58" s="33">
        <f>'Wheighing Board August 2016'!K60</f>
        <v>0</v>
      </c>
      <c r="J58" s="33">
        <f>'Wheighing Board August 2016'!L60</f>
        <v>0</v>
      </c>
      <c r="K58" s="33">
        <f>'Wheighing Board August 2016'!M60</f>
        <v>0</v>
      </c>
      <c r="L58" s="33">
        <f>'Wheighing Board August 2016'!N60</f>
        <v>0</v>
      </c>
      <c r="M58" s="33">
        <f>'Wheighing Board August 2016'!O60</f>
        <v>0</v>
      </c>
    </row>
    <row r="59" spans="1:13" ht="23.25" x14ac:dyDescent="0.25">
      <c r="A59" s="234">
        <f>'Wheighing Board August 2016'!A61</f>
        <v>0</v>
      </c>
      <c r="B59" s="234">
        <f>'Wheighing Board August 2016'!B61</f>
        <v>0</v>
      </c>
      <c r="C59" s="33">
        <f>'Wheighing Board August 2016'!C61</f>
        <v>0</v>
      </c>
      <c r="D59" s="33">
        <f>'Wheighing Board August 2016'!D61</f>
        <v>0</v>
      </c>
      <c r="E59" s="33">
        <f>'Wheighing Board August 2016'!E61</f>
        <v>0</v>
      </c>
      <c r="F59" s="235">
        <f>'Wheighing Board August 2016'!F61</f>
        <v>0</v>
      </c>
      <c r="G59" s="33">
        <f>'Wheighing Board August 2016'!G61</f>
        <v>0</v>
      </c>
      <c r="H59" s="33">
        <f>'Wheighing Board August 2016'!H61</f>
        <v>0</v>
      </c>
      <c r="I59" s="33">
        <f>'Wheighing Board August 2016'!K61</f>
        <v>0</v>
      </c>
      <c r="J59" s="33">
        <f>'Wheighing Board August 2016'!L61</f>
        <v>0</v>
      </c>
      <c r="K59" s="33">
        <f>'Wheighing Board August 2016'!M61</f>
        <v>0</v>
      </c>
      <c r="L59" s="33">
        <f>'Wheighing Board August 2016'!N61</f>
        <v>0</v>
      </c>
      <c r="M59" s="33">
        <f>'Wheighing Board August 2016'!O61</f>
        <v>0</v>
      </c>
    </row>
    <row r="60" spans="1:13" ht="23.25" x14ac:dyDescent="0.25">
      <c r="A60" s="234">
        <f>'Wheighing Board August 2016'!A62</f>
        <v>0</v>
      </c>
      <c r="B60" s="234">
        <f>'Wheighing Board August 2016'!B62</f>
        <v>0</v>
      </c>
      <c r="C60" s="33">
        <f>'Wheighing Board August 2016'!C62</f>
        <v>0</v>
      </c>
      <c r="D60" s="33">
        <f>'Wheighing Board August 2016'!D62</f>
        <v>0</v>
      </c>
      <c r="E60" s="33">
        <f>'Wheighing Board August 2016'!E62</f>
        <v>0</v>
      </c>
      <c r="F60" s="235">
        <f>'Wheighing Board August 2016'!F62</f>
        <v>0</v>
      </c>
      <c r="G60" s="33">
        <f>'Wheighing Board August 2016'!G62</f>
        <v>0</v>
      </c>
      <c r="H60" s="33">
        <f>'Wheighing Board August 2016'!H62</f>
        <v>0</v>
      </c>
      <c r="I60" s="33">
        <f>'Wheighing Board August 2016'!K62</f>
        <v>0</v>
      </c>
      <c r="J60" s="33">
        <f>'Wheighing Board August 2016'!L62</f>
        <v>0</v>
      </c>
      <c r="K60" s="33">
        <f>'Wheighing Board August 2016'!M62</f>
        <v>0</v>
      </c>
      <c r="L60" s="33">
        <f>'Wheighing Board August 2016'!N62</f>
        <v>0</v>
      </c>
      <c r="M60" s="33">
        <f>'Wheighing Board August 2016'!O62</f>
        <v>0</v>
      </c>
    </row>
    <row r="61" spans="1:13" ht="23.25" x14ac:dyDescent="0.25">
      <c r="A61" s="234">
        <f>'Wheighing Board August 2016'!A63</f>
        <v>0</v>
      </c>
      <c r="B61" s="234">
        <f>'Wheighing Board August 2016'!B63</f>
        <v>0</v>
      </c>
      <c r="C61" s="33">
        <f>'Wheighing Board August 2016'!C63</f>
        <v>0</v>
      </c>
      <c r="D61" s="33">
        <f>'Wheighing Board August 2016'!D63</f>
        <v>0</v>
      </c>
      <c r="E61" s="33">
        <f>'Wheighing Board August 2016'!E63</f>
        <v>0</v>
      </c>
      <c r="F61" s="235">
        <f>'Wheighing Board August 2016'!F63</f>
        <v>0</v>
      </c>
      <c r="G61" s="33">
        <f>'Wheighing Board August 2016'!G63</f>
        <v>0</v>
      </c>
      <c r="H61" s="33">
        <f>'Wheighing Board August 2016'!H63</f>
        <v>0</v>
      </c>
      <c r="I61" s="33">
        <f>'Wheighing Board August 2016'!K63</f>
        <v>0</v>
      </c>
      <c r="J61" s="33">
        <f>'Wheighing Board August 2016'!L63</f>
        <v>0</v>
      </c>
      <c r="K61" s="33">
        <f>'Wheighing Board August 2016'!M63</f>
        <v>0</v>
      </c>
      <c r="L61" s="33">
        <f>'Wheighing Board August 2016'!N63</f>
        <v>0</v>
      </c>
      <c r="M61" s="33">
        <f>'Wheighing Board August 2016'!O63</f>
        <v>0</v>
      </c>
    </row>
    <row r="62" spans="1:13" ht="23.25" x14ac:dyDescent="0.25">
      <c r="A62" s="234">
        <f>'Wheighing Board August 2016'!A64</f>
        <v>0</v>
      </c>
      <c r="B62" s="234">
        <f>'Wheighing Board August 2016'!B64</f>
        <v>0</v>
      </c>
      <c r="C62" s="33">
        <f>'Wheighing Board August 2016'!C64</f>
        <v>0</v>
      </c>
      <c r="D62" s="33">
        <f>'Wheighing Board August 2016'!D64</f>
        <v>0</v>
      </c>
      <c r="E62" s="33">
        <f>'Wheighing Board August 2016'!E64</f>
        <v>0</v>
      </c>
      <c r="F62" s="235">
        <f>'Wheighing Board August 2016'!F64</f>
        <v>0</v>
      </c>
      <c r="G62" s="33">
        <f>'Wheighing Board August 2016'!G64</f>
        <v>0</v>
      </c>
      <c r="H62" s="33">
        <f>'Wheighing Board August 2016'!H64</f>
        <v>0</v>
      </c>
      <c r="I62" s="33">
        <f>'Wheighing Board August 2016'!K64</f>
        <v>0</v>
      </c>
      <c r="J62" s="33">
        <f>'Wheighing Board August 2016'!L64</f>
        <v>0</v>
      </c>
      <c r="K62" s="33">
        <f>'Wheighing Board August 2016'!M64</f>
        <v>0</v>
      </c>
      <c r="L62" s="33">
        <f>'Wheighing Board August 2016'!N64</f>
        <v>0</v>
      </c>
      <c r="M62" s="33">
        <f>'Wheighing Board August 2016'!O64</f>
        <v>0</v>
      </c>
    </row>
    <row r="63" spans="1:13" ht="23.25" x14ac:dyDescent="0.25">
      <c r="A63" s="234">
        <f>'Wheighing Board August 2016'!A65</f>
        <v>0</v>
      </c>
      <c r="B63" s="234">
        <f>'Wheighing Board August 2016'!B65</f>
        <v>0</v>
      </c>
      <c r="C63" s="33">
        <f>'Wheighing Board August 2016'!C65</f>
        <v>0</v>
      </c>
      <c r="D63" s="33">
        <f>'Wheighing Board August 2016'!D65</f>
        <v>0</v>
      </c>
      <c r="E63" s="33">
        <f>'Wheighing Board August 2016'!E65</f>
        <v>0</v>
      </c>
      <c r="F63" s="235">
        <f>'Wheighing Board August 2016'!F65</f>
        <v>0</v>
      </c>
      <c r="G63" s="33">
        <f>'Wheighing Board August 2016'!G65</f>
        <v>0</v>
      </c>
      <c r="H63" s="33">
        <f>'Wheighing Board August 2016'!H65</f>
        <v>0</v>
      </c>
      <c r="I63" s="33">
        <f>'Wheighing Board August 2016'!K65</f>
        <v>0</v>
      </c>
      <c r="J63" s="33">
        <f>'Wheighing Board August 2016'!L65</f>
        <v>0</v>
      </c>
      <c r="K63" s="33">
        <f>'Wheighing Board August 2016'!M65</f>
        <v>0</v>
      </c>
      <c r="L63" s="33">
        <f>'Wheighing Board August 2016'!N65</f>
        <v>0</v>
      </c>
      <c r="M63" s="33">
        <f>'Wheighing Board August 2016'!O65</f>
        <v>0</v>
      </c>
    </row>
    <row r="64" spans="1:13" ht="23.25" x14ac:dyDescent="0.25">
      <c r="A64" s="234">
        <f>'Wheighing Board August 2016'!A66</f>
        <v>0</v>
      </c>
      <c r="B64" s="234">
        <f>'Wheighing Board August 2016'!B66</f>
        <v>0</v>
      </c>
      <c r="C64" s="33">
        <f>'Wheighing Board August 2016'!C66</f>
        <v>0</v>
      </c>
      <c r="D64" s="33">
        <f>'Wheighing Board August 2016'!D66</f>
        <v>0</v>
      </c>
      <c r="E64" s="33">
        <f>'Wheighing Board August 2016'!E66</f>
        <v>0</v>
      </c>
      <c r="F64" s="235">
        <f>'Wheighing Board August 2016'!F66</f>
        <v>0</v>
      </c>
      <c r="G64" s="33">
        <f>'Wheighing Board August 2016'!G66</f>
        <v>0</v>
      </c>
      <c r="H64" s="33">
        <f>'Wheighing Board August 2016'!H66</f>
        <v>0</v>
      </c>
      <c r="I64" s="33">
        <f>'Wheighing Board August 2016'!K66</f>
        <v>0</v>
      </c>
      <c r="J64" s="33">
        <f>'Wheighing Board August 2016'!L66</f>
        <v>0</v>
      </c>
      <c r="K64" s="33">
        <f>'Wheighing Board August 2016'!M66</f>
        <v>0</v>
      </c>
      <c r="L64" s="33">
        <f>'Wheighing Board August 2016'!N66</f>
        <v>0</v>
      </c>
      <c r="M64" s="33">
        <f>'Wheighing Board August 2016'!O66</f>
        <v>0</v>
      </c>
    </row>
    <row r="65" spans="1:13" ht="23.25" x14ac:dyDescent="0.25">
      <c r="A65" s="234">
        <f>'Wheighing Board August 2016'!A67</f>
        <v>0</v>
      </c>
      <c r="B65" s="234">
        <f>'Wheighing Board August 2016'!B67</f>
        <v>0</v>
      </c>
      <c r="C65" s="33">
        <f>'Wheighing Board August 2016'!C67</f>
        <v>0</v>
      </c>
      <c r="D65" s="33">
        <f>'Wheighing Board August 2016'!D67</f>
        <v>0</v>
      </c>
      <c r="E65" s="33">
        <f>'Wheighing Board August 2016'!E67</f>
        <v>0</v>
      </c>
      <c r="F65" s="235">
        <f>'Wheighing Board August 2016'!F67</f>
        <v>0</v>
      </c>
      <c r="G65" s="33">
        <f>'Wheighing Board August 2016'!G67</f>
        <v>0</v>
      </c>
      <c r="H65" s="33">
        <f>'Wheighing Board August 2016'!H67</f>
        <v>0</v>
      </c>
      <c r="I65" s="33">
        <f>'Wheighing Board August 2016'!K67</f>
        <v>0</v>
      </c>
      <c r="J65" s="33">
        <f>'Wheighing Board August 2016'!L67</f>
        <v>0</v>
      </c>
      <c r="K65" s="33">
        <f>'Wheighing Board August 2016'!M67</f>
        <v>0</v>
      </c>
      <c r="L65" s="33">
        <f>'Wheighing Board August 2016'!N67</f>
        <v>0</v>
      </c>
      <c r="M65" s="33">
        <f>'Wheighing Board August 2016'!O67</f>
        <v>0</v>
      </c>
    </row>
    <row r="66" spans="1:13" ht="23.25" x14ac:dyDescent="0.25">
      <c r="A66" s="234">
        <f>'Wheighing Board August 2016'!A68</f>
        <v>0</v>
      </c>
      <c r="B66" s="234">
        <f>'Wheighing Board August 2016'!B68</f>
        <v>0</v>
      </c>
      <c r="C66" s="33">
        <f>'Wheighing Board August 2016'!C68</f>
        <v>0</v>
      </c>
      <c r="D66" s="33">
        <f>'Wheighing Board August 2016'!D68</f>
        <v>0</v>
      </c>
      <c r="E66" s="33">
        <f>'Wheighing Board August 2016'!E68</f>
        <v>0</v>
      </c>
      <c r="F66" s="235">
        <f>'Wheighing Board August 2016'!F68</f>
        <v>0</v>
      </c>
      <c r="G66" s="33">
        <f>'Wheighing Board August 2016'!G68</f>
        <v>0</v>
      </c>
      <c r="H66" s="33">
        <f>'Wheighing Board August 2016'!H68</f>
        <v>0</v>
      </c>
      <c r="I66" s="33">
        <f>'Wheighing Board August 2016'!K68</f>
        <v>0</v>
      </c>
      <c r="J66" s="33">
        <f>'Wheighing Board August 2016'!L68</f>
        <v>0</v>
      </c>
      <c r="K66" s="33">
        <f>'Wheighing Board August 2016'!M68</f>
        <v>0</v>
      </c>
      <c r="L66" s="33">
        <f>'Wheighing Board August 2016'!N68</f>
        <v>0</v>
      </c>
      <c r="M66" s="33">
        <f>'Wheighing Board August 2016'!O68</f>
        <v>0</v>
      </c>
    </row>
    <row r="67" spans="1:13" ht="23.25" x14ac:dyDescent="0.25">
      <c r="A67" s="234">
        <f>'Wheighing Board August 2016'!A69</f>
        <v>0</v>
      </c>
      <c r="B67" s="234">
        <f>'Wheighing Board August 2016'!B69</f>
        <v>0</v>
      </c>
      <c r="C67" s="33">
        <f>'Wheighing Board August 2016'!C69</f>
        <v>0</v>
      </c>
      <c r="D67" s="33">
        <f>'Wheighing Board August 2016'!D69</f>
        <v>0</v>
      </c>
      <c r="E67" s="33">
        <f>'Wheighing Board August 2016'!E69</f>
        <v>0</v>
      </c>
      <c r="F67" s="235">
        <f>'Wheighing Board August 2016'!F69</f>
        <v>0</v>
      </c>
      <c r="G67" s="33">
        <f>'Wheighing Board August 2016'!G69</f>
        <v>0</v>
      </c>
      <c r="H67" s="33">
        <f>'Wheighing Board August 2016'!H69</f>
        <v>0</v>
      </c>
      <c r="I67" s="33">
        <f>'Wheighing Board August 2016'!K69</f>
        <v>0</v>
      </c>
      <c r="J67" s="33">
        <f>'Wheighing Board August 2016'!L69</f>
        <v>0</v>
      </c>
      <c r="K67" s="33">
        <f>'Wheighing Board August 2016'!M69</f>
        <v>0</v>
      </c>
      <c r="L67" s="33">
        <f>'Wheighing Board August 2016'!N69</f>
        <v>0</v>
      </c>
      <c r="M67" s="33">
        <f>'Wheighing Board August 2016'!O69</f>
        <v>0</v>
      </c>
    </row>
    <row r="68" spans="1:13" ht="23.25" x14ac:dyDescent="0.25">
      <c r="A68" s="234">
        <f>'Wheighing Board August 2016'!A70</f>
        <v>0</v>
      </c>
      <c r="B68" s="234">
        <f>'Wheighing Board August 2016'!B70</f>
        <v>0</v>
      </c>
      <c r="C68" s="33">
        <f>'Wheighing Board August 2016'!C70</f>
        <v>0</v>
      </c>
      <c r="D68" s="33">
        <f>'Wheighing Board August 2016'!D70</f>
        <v>0</v>
      </c>
      <c r="E68" s="33">
        <f>'Wheighing Board August 2016'!E70</f>
        <v>0</v>
      </c>
      <c r="F68" s="235">
        <f>'Wheighing Board August 2016'!F70</f>
        <v>0</v>
      </c>
      <c r="G68" s="33">
        <f>'Wheighing Board August 2016'!G70</f>
        <v>0</v>
      </c>
      <c r="H68" s="33">
        <f>'Wheighing Board August 2016'!H70</f>
        <v>0</v>
      </c>
      <c r="I68" s="33">
        <f>'Wheighing Board August 2016'!K70</f>
        <v>0</v>
      </c>
      <c r="J68" s="33">
        <f>'Wheighing Board August 2016'!L70</f>
        <v>0</v>
      </c>
      <c r="K68" s="33">
        <f>'Wheighing Board August 2016'!M70</f>
        <v>0</v>
      </c>
      <c r="L68" s="33">
        <f>'Wheighing Board August 2016'!N70</f>
        <v>0</v>
      </c>
      <c r="M68" s="33">
        <f>'Wheighing Board August 2016'!O70</f>
        <v>0</v>
      </c>
    </row>
    <row r="69" spans="1:13" ht="23.25" x14ac:dyDescent="0.25">
      <c r="A69" s="234">
        <f>'Wheighing Board August 2016'!A71</f>
        <v>0</v>
      </c>
      <c r="B69" s="234">
        <f>'Wheighing Board August 2016'!B71</f>
        <v>0</v>
      </c>
      <c r="C69" s="33">
        <f>'Wheighing Board August 2016'!C71</f>
        <v>0</v>
      </c>
      <c r="D69" s="33">
        <f>'Wheighing Board August 2016'!D71</f>
        <v>0</v>
      </c>
      <c r="E69" s="33">
        <f>'Wheighing Board August 2016'!E71</f>
        <v>0</v>
      </c>
      <c r="F69" s="235">
        <f>'Wheighing Board August 2016'!F71</f>
        <v>0</v>
      </c>
      <c r="G69" s="33">
        <f>'Wheighing Board August 2016'!G71</f>
        <v>0</v>
      </c>
      <c r="H69" s="33">
        <f>'Wheighing Board August 2016'!H71</f>
        <v>0</v>
      </c>
      <c r="I69" s="33">
        <f>'Wheighing Board August 2016'!K71</f>
        <v>0</v>
      </c>
      <c r="J69" s="33">
        <f>'Wheighing Board August 2016'!L71</f>
        <v>0</v>
      </c>
      <c r="K69" s="33">
        <f>'Wheighing Board August 2016'!M71</f>
        <v>0</v>
      </c>
      <c r="L69" s="33">
        <f>'Wheighing Board August 2016'!N71</f>
        <v>0</v>
      </c>
      <c r="M69" s="33">
        <f>'Wheighing Board August 2016'!O71</f>
        <v>0</v>
      </c>
    </row>
    <row r="70" spans="1:13" ht="23.25" x14ac:dyDescent="0.25">
      <c r="A70" s="234">
        <f>'Wheighing Board August 2016'!A72</f>
        <v>0</v>
      </c>
      <c r="B70" s="234">
        <f>'Wheighing Board August 2016'!B72</f>
        <v>0</v>
      </c>
      <c r="C70" s="33">
        <f>'Wheighing Board August 2016'!C72</f>
        <v>0</v>
      </c>
      <c r="D70" s="33">
        <f>'Wheighing Board August 2016'!D72</f>
        <v>0</v>
      </c>
      <c r="E70" s="33">
        <f>'Wheighing Board August 2016'!E72</f>
        <v>0</v>
      </c>
      <c r="F70" s="235">
        <f>'Wheighing Board August 2016'!F72</f>
        <v>0</v>
      </c>
      <c r="G70" s="33">
        <f>'Wheighing Board August 2016'!G72</f>
        <v>0</v>
      </c>
      <c r="H70" s="33">
        <f>'Wheighing Board August 2016'!H72</f>
        <v>0</v>
      </c>
      <c r="I70" s="33">
        <f>'Wheighing Board August 2016'!K72</f>
        <v>0</v>
      </c>
      <c r="J70" s="33">
        <f>'Wheighing Board August 2016'!L72</f>
        <v>0</v>
      </c>
      <c r="K70" s="33">
        <f>'Wheighing Board August 2016'!M72</f>
        <v>0</v>
      </c>
      <c r="L70" s="33">
        <f>'Wheighing Board August 2016'!N72</f>
        <v>0</v>
      </c>
      <c r="M70" s="33">
        <f>'Wheighing Board August 2016'!O72</f>
        <v>0</v>
      </c>
    </row>
    <row r="71" spans="1:13" ht="23.25" x14ac:dyDescent="0.25">
      <c r="A71" s="234">
        <f>'Wheighing Board August 2016'!A73</f>
        <v>0</v>
      </c>
      <c r="B71" s="234">
        <f>'Wheighing Board August 2016'!B73</f>
        <v>0</v>
      </c>
      <c r="C71" s="33">
        <f>'Wheighing Board August 2016'!C73</f>
        <v>0</v>
      </c>
      <c r="D71" s="33">
        <f>'Wheighing Board August 2016'!D73</f>
        <v>0</v>
      </c>
      <c r="E71" s="33">
        <f>'Wheighing Board August 2016'!E73</f>
        <v>0</v>
      </c>
      <c r="F71" s="235">
        <f>'Wheighing Board August 2016'!F73</f>
        <v>0</v>
      </c>
      <c r="G71" s="33">
        <f>'Wheighing Board August 2016'!G73</f>
        <v>0</v>
      </c>
      <c r="H71" s="33">
        <f>'Wheighing Board August 2016'!H73</f>
        <v>0</v>
      </c>
      <c r="I71" s="33">
        <f>'Wheighing Board August 2016'!K73</f>
        <v>0</v>
      </c>
      <c r="J71" s="33">
        <f>'Wheighing Board August 2016'!L73</f>
        <v>0</v>
      </c>
      <c r="K71" s="33">
        <f>'Wheighing Board August 2016'!M73</f>
        <v>0</v>
      </c>
      <c r="L71" s="33">
        <f>'Wheighing Board August 2016'!N73</f>
        <v>0</v>
      </c>
      <c r="M71" s="33">
        <f>'Wheighing Board August 2016'!O73</f>
        <v>0</v>
      </c>
    </row>
    <row r="72" spans="1:13" ht="23.25" x14ac:dyDescent="0.25">
      <c r="A72" s="234">
        <f>'Wheighing Board August 2016'!A74</f>
        <v>0</v>
      </c>
      <c r="B72" s="234">
        <f>'Wheighing Board August 2016'!B74</f>
        <v>0</v>
      </c>
      <c r="C72" s="33">
        <f>'Wheighing Board August 2016'!C74</f>
        <v>0</v>
      </c>
      <c r="D72" s="33">
        <f>'Wheighing Board August 2016'!D74</f>
        <v>0</v>
      </c>
      <c r="E72" s="33">
        <f>'Wheighing Board August 2016'!E74</f>
        <v>0</v>
      </c>
      <c r="F72" s="235">
        <f>'Wheighing Board August 2016'!F74</f>
        <v>0</v>
      </c>
      <c r="G72" s="33">
        <f>'Wheighing Board August 2016'!G74</f>
        <v>0</v>
      </c>
      <c r="H72" s="33">
        <f>'Wheighing Board August 2016'!H74</f>
        <v>0</v>
      </c>
      <c r="I72" s="33">
        <f>'Wheighing Board August 2016'!K74</f>
        <v>0</v>
      </c>
      <c r="J72" s="33">
        <f>'Wheighing Board August 2016'!L74</f>
        <v>0</v>
      </c>
      <c r="K72" s="33">
        <f>'Wheighing Board August 2016'!M74</f>
        <v>0</v>
      </c>
      <c r="L72" s="33">
        <f>'Wheighing Board August 2016'!N74</f>
        <v>0</v>
      </c>
      <c r="M72" s="33">
        <f>'Wheighing Board August 2016'!O74</f>
        <v>0</v>
      </c>
    </row>
    <row r="73" spans="1:13" ht="23.25" x14ac:dyDescent="0.25">
      <c r="A73" s="234">
        <f>'Wheighing Board August 2016'!A75</f>
        <v>0</v>
      </c>
      <c r="B73" s="234">
        <f>'Wheighing Board August 2016'!B75</f>
        <v>0</v>
      </c>
      <c r="C73" s="33">
        <f>'Wheighing Board August 2016'!C75</f>
        <v>0</v>
      </c>
      <c r="D73" s="33">
        <f>'Wheighing Board August 2016'!D75</f>
        <v>0</v>
      </c>
      <c r="E73" s="33">
        <f>'Wheighing Board August 2016'!E75</f>
        <v>0</v>
      </c>
      <c r="F73" s="235">
        <f>'Wheighing Board August 2016'!F75</f>
        <v>0</v>
      </c>
      <c r="G73" s="33">
        <f>'Wheighing Board August 2016'!G75</f>
        <v>0</v>
      </c>
      <c r="H73" s="33">
        <f>'Wheighing Board August 2016'!H75</f>
        <v>0</v>
      </c>
      <c r="I73" s="33">
        <f>'Wheighing Board August 2016'!K75</f>
        <v>0</v>
      </c>
      <c r="J73" s="33">
        <f>'Wheighing Board August 2016'!L75</f>
        <v>0</v>
      </c>
      <c r="K73" s="33">
        <f>'Wheighing Board August 2016'!M75</f>
        <v>0</v>
      </c>
      <c r="L73" s="33">
        <f>'Wheighing Board August 2016'!N75</f>
        <v>0</v>
      </c>
      <c r="M73" s="33">
        <f>'Wheighing Board August 2016'!O75</f>
        <v>0</v>
      </c>
    </row>
    <row r="74" spans="1:13" ht="23.25" x14ac:dyDescent="0.25">
      <c r="A74" s="234">
        <f>'Wheighing Board August 2016'!A76</f>
        <v>0</v>
      </c>
      <c r="B74" s="234">
        <f>'Wheighing Board August 2016'!B76</f>
        <v>0</v>
      </c>
      <c r="C74" s="33">
        <f>'Wheighing Board August 2016'!C76</f>
        <v>0</v>
      </c>
      <c r="D74" s="33">
        <f>'Wheighing Board August 2016'!D76</f>
        <v>0</v>
      </c>
      <c r="E74" s="33">
        <f>'Wheighing Board August 2016'!E76</f>
        <v>0</v>
      </c>
      <c r="F74" s="235">
        <f>'Wheighing Board August 2016'!F76</f>
        <v>0</v>
      </c>
      <c r="G74" s="33">
        <f>'Wheighing Board August 2016'!G76</f>
        <v>0</v>
      </c>
      <c r="H74" s="33">
        <f>'Wheighing Board August 2016'!H76</f>
        <v>0</v>
      </c>
      <c r="I74" s="33">
        <f>'Wheighing Board August 2016'!K76</f>
        <v>0</v>
      </c>
      <c r="J74" s="33">
        <f>'Wheighing Board August 2016'!L76</f>
        <v>0</v>
      </c>
      <c r="K74" s="33">
        <f>'Wheighing Board August 2016'!M76</f>
        <v>0</v>
      </c>
      <c r="L74" s="33">
        <f>'Wheighing Board August 2016'!N76</f>
        <v>0</v>
      </c>
      <c r="M74" s="33">
        <f>'Wheighing Board August 2016'!O76</f>
        <v>0</v>
      </c>
    </row>
    <row r="75" spans="1:13" ht="23.25" x14ac:dyDescent="0.25">
      <c r="A75" s="234">
        <f>'Wheighing Board August 2016'!A77</f>
        <v>0</v>
      </c>
      <c r="B75" s="234">
        <f>'Wheighing Board August 2016'!B77</f>
        <v>0</v>
      </c>
      <c r="C75" s="33">
        <f>'Wheighing Board August 2016'!C77</f>
        <v>0</v>
      </c>
      <c r="D75" s="33">
        <f>'Wheighing Board August 2016'!D77</f>
        <v>0</v>
      </c>
      <c r="E75" s="33">
        <f>'Wheighing Board August 2016'!E77</f>
        <v>0</v>
      </c>
      <c r="F75" s="235">
        <f>'Wheighing Board August 2016'!F77</f>
        <v>0</v>
      </c>
      <c r="G75" s="33">
        <f>'Wheighing Board August 2016'!G77</f>
        <v>0</v>
      </c>
      <c r="H75" s="33">
        <f>'Wheighing Board August 2016'!H77</f>
        <v>0</v>
      </c>
      <c r="I75" s="33">
        <f>'Wheighing Board August 2016'!K77</f>
        <v>0</v>
      </c>
      <c r="J75" s="33">
        <f>'Wheighing Board August 2016'!L77</f>
        <v>0</v>
      </c>
      <c r="K75" s="33">
        <f>'Wheighing Board August 2016'!M77</f>
        <v>0</v>
      </c>
      <c r="L75" s="33">
        <f>'Wheighing Board August 2016'!N77</f>
        <v>0</v>
      </c>
      <c r="M75" s="33">
        <f>'Wheighing Board August 2016'!O77</f>
        <v>0</v>
      </c>
    </row>
    <row r="76" spans="1:13" ht="23.25" x14ac:dyDescent="0.25">
      <c r="A76" s="234">
        <f>'Wheighing Board August 2016'!A78</f>
        <v>0</v>
      </c>
      <c r="B76" s="234">
        <f>'Wheighing Board August 2016'!B78</f>
        <v>0</v>
      </c>
      <c r="C76" s="33">
        <f>'Wheighing Board August 2016'!C78</f>
        <v>0</v>
      </c>
      <c r="D76" s="33">
        <f>'Wheighing Board August 2016'!D78</f>
        <v>0</v>
      </c>
      <c r="E76" s="33">
        <f>'Wheighing Board August 2016'!E78</f>
        <v>0</v>
      </c>
      <c r="F76" s="235">
        <f>'Wheighing Board August 2016'!F78</f>
        <v>0</v>
      </c>
      <c r="G76" s="33">
        <f>'Wheighing Board August 2016'!G78</f>
        <v>0</v>
      </c>
      <c r="H76" s="33">
        <f>'Wheighing Board August 2016'!H78</f>
        <v>0</v>
      </c>
      <c r="I76" s="33">
        <f>'Wheighing Board August 2016'!K78</f>
        <v>0</v>
      </c>
      <c r="J76" s="33">
        <f>'Wheighing Board August 2016'!L78</f>
        <v>0</v>
      </c>
      <c r="K76" s="33">
        <f>'Wheighing Board August 2016'!M78</f>
        <v>0</v>
      </c>
      <c r="L76" s="33">
        <f>'Wheighing Board August 2016'!N78</f>
        <v>0</v>
      </c>
      <c r="M76" s="33">
        <f>'Wheighing Board August 2016'!O78</f>
        <v>0</v>
      </c>
    </row>
    <row r="77" spans="1:13" ht="23.25" x14ac:dyDescent="0.25">
      <c r="A77" s="234">
        <f>'Wheighing Board August 2016'!A79</f>
        <v>0</v>
      </c>
      <c r="B77" s="234">
        <f>'Wheighing Board August 2016'!B79</f>
        <v>0</v>
      </c>
      <c r="C77" s="33">
        <f>'Wheighing Board August 2016'!C79</f>
        <v>0</v>
      </c>
      <c r="D77" s="33">
        <f>'Wheighing Board August 2016'!D79</f>
        <v>0</v>
      </c>
      <c r="E77" s="33">
        <f>'Wheighing Board August 2016'!E79</f>
        <v>0</v>
      </c>
      <c r="F77" s="235">
        <f>'Wheighing Board August 2016'!F79</f>
        <v>0</v>
      </c>
      <c r="G77" s="33">
        <f>'Wheighing Board August 2016'!G79</f>
        <v>0</v>
      </c>
      <c r="H77" s="33">
        <f>'Wheighing Board August 2016'!H79</f>
        <v>0</v>
      </c>
      <c r="I77" s="33">
        <f>'Wheighing Board August 2016'!K79</f>
        <v>0</v>
      </c>
      <c r="J77" s="33">
        <f>'Wheighing Board August 2016'!L79</f>
        <v>0</v>
      </c>
      <c r="K77" s="33">
        <f>'Wheighing Board August 2016'!M79</f>
        <v>0</v>
      </c>
      <c r="L77" s="33">
        <f>'Wheighing Board August 2016'!N79</f>
        <v>0</v>
      </c>
      <c r="M77" s="33">
        <f>'Wheighing Board August 2016'!O79</f>
        <v>0</v>
      </c>
    </row>
    <row r="78" spans="1:13" ht="23.25" x14ac:dyDescent="0.25">
      <c r="A78" s="234">
        <f>'Wheighing Board August 2016'!A80</f>
        <v>0</v>
      </c>
      <c r="B78" s="234">
        <f>'Wheighing Board August 2016'!B80</f>
        <v>0</v>
      </c>
      <c r="C78" s="33">
        <f>'Wheighing Board August 2016'!C80</f>
        <v>0</v>
      </c>
      <c r="D78" s="33">
        <f>'Wheighing Board August 2016'!D80</f>
        <v>0</v>
      </c>
      <c r="E78" s="33">
        <f>'Wheighing Board August 2016'!E80</f>
        <v>0</v>
      </c>
      <c r="F78" s="235">
        <f>'Wheighing Board August 2016'!F80</f>
        <v>0</v>
      </c>
      <c r="G78" s="33">
        <f>'Wheighing Board August 2016'!G80</f>
        <v>0</v>
      </c>
      <c r="H78" s="33">
        <f>'Wheighing Board August 2016'!H80</f>
        <v>0</v>
      </c>
      <c r="I78" s="33">
        <f>'Wheighing Board August 2016'!K80</f>
        <v>0</v>
      </c>
      <c r="J78" s="33">
        <f>'Wheighing Board August 2016'!L80</f>
        <v>0</v>
      </c>
      <c r="K78" s="33">
        <f>'Wheighing Board August 2016'!M80</f>
        <v>0</v>
      </c>
      <c r="L78" s="33">
        <f>'Wheighing Board August 2016'!N80</f>
        <v>0</v>
      </c>
      <c r="M78" s="33">
        <f>'Wheighing Board August 2016'!O80</f>
        <v>0</v>
      </c>
    </row>
    <row r="79" spans="1:13" ht="23.25" x14ac:dyDescent="0.25">
      <c r="A79" s="234">
        <f>'Wheighing Board August 2016'!A81</f>
        <v>0</v>
      </c>
      <c r="B79" s="234">
        <f>'Wheighing Board August 2016'!B81</f>
        <v>0</v>
      </c>
      <c r="C79" s="33">
        <f>'Wheighing Board August 2016'!C81</f>
        <v>0</v>
      </c>
      <c r="D79" s="33">
        <f>'Wheighing Board August 2016'!D81</f>
        <v>0</v>
      </c>
      <c r="E79" s="33">
        <f>'Wheighing Board August 2016'!E81</f>
        <v>0</v>
      </c>
      <c r="F79" s="235">
        <f>'Wheighing Board August 2016'!F81</f>
        <v>0</v>
      </c>
      <c r="G79" s="33">
        <f>'Wheighing Board August 2016'!G81</f>
        <v>0</v>
      </c>
      <c r="H79" s="33">
        <f>'Wheighing Board August 2016'!H81</f>
        <v>0</v>
      </c>
      <c r="I79" s="33">
        <f>'Wheighing Board August 2016'!K81</f>
        <v>0</v>
      </c>
      <c r="J79" s="33">
        <f>'Wheighing Board August 2016'!L81</f>
        <v>0</v>
      </c>
      <c r="K79" s="33">
        <f>'Wheighing Board August 2016'!M81</f>
        <v>0</v>
      </c>
      <c r="L79" s="33">
        <f>'Wheighing Board August 2016'!N81</f>
        <v>0</v>
      </c>
      <c r="M79" s="33">
        <f>'Wheighing Board August 2016'!O81</f>
        <v>0</v>
      </c>
    </row>
    <row r="80" spans="1:13" ht="23.25" x14ac:dyDescent="0.25">
      <c r="A80" s="234">
        <f>'Wheighing Board August 2016'!A82</f>
        <v>0</v>
      </c>
      <c r="B80" s="234">
        <f>'Wheighing Board August 2016'!B82</f>
        <v>0</v>
      </c>
      <c r="C80" s="33">
        <f>'Wheighing Board August 2016'!C82</f>
        <v>0</v>
      </c>
      <c r="D80" s="33">
        <f>'Wheighing Board August 2016'!D82</f>
        <v>0</v>
      </c>
      <c r="E80" s="33">
        <f>'Wheighing Board August 2016'!E82</f>
        <v>0</v>
      </c>
      <c r="F80" s="235">
        <f>'Wheighing Board August 2016'!F82</f>
        <v>0</v>
      </c>
      <c r="G80" s="33">
        <f>'Wheighing Board August 2016'!G82</f>
        <v>0</v>
      </c>
      <c r="H80" s="33">
        <f>'Wheighing Board August 2016'!H82</f>
        <v>0</v>
      </c>
      <c r="I80" s="33">
        <f>'Wheighing Board August 2016'!K82</f>
        <v>0</v>
      </c>
      <c r="J80" s="33">
        <f>'Wheighing Board August 2016'!L82</f>
        <v>0</v>
      </c>
      <c r="K80" s="33">
        <f>'Wheighing Board August 2016'!M82</f>
        <v>0</v>
      </c>
      <c r="L80" s="33">
        <f>'Wheighing Board August 2016'!N82</f>
        <v>0</v>
      </c>
      <c r="M80" s="33">
        <f>'Wheighing Board August 2016'!O82</f>
        <v>0</v>
      </c>
    </row>
    <row r="81" spans="1:13" ht="23.25" x14ac:dyDescent="0.25">
      <c r="A81" s="234">
        <f>'Wheighing Board August 2016'!A83</f>
        <v>0</v>
      </c>
      <c r="B81" s="234">
        <f>'Wheighing Board August 2016'!B83</f>
        <v>0</v>
      </c>
      <c r="C81" s="33">
        <f>'Wheighing Board August 2016'!C83</f>
        <v>0</v>
      </c>
      <c r="D81" s="33">
        <f>'Wheighing Board August 2016'!D83</f>
        <v>0</v>
      </c>
      <c r="E81" s="33">
        <f>'Wheighing Board August 2016'!E83</f>
        <v>0</v>
      </c>
      <c r="F81" s="235">
        <f>'Wheighing Board August 2016'!F83</f>
        <v>0</v>
      </c>
      <c r="G81" s="33">
        <f>'Wheighing Board August 2016'!G83</f>
        <v>0</v>
      </c>
      <c r="H81" s="33">
        <f>'Wheighing Board August 2016'!H83</f>
        <v>0</v>
      </c>
      <c r="I81" s="33">
        <f>'Wheighing Board August 2016'!K83</f>
        <v>0</v>
      </c>
      <c r="J81" s="33">
        <f>'Wheighing Board August 2016'!L83</f>
        <v>0</v>
      </c>
      <c r="K81" s="33">
        <f>'Wheighing Board August 2016'!M83</f>
        <v>0</v>
      </c>
      <c r="L81" s="33">
        <f>'Wheighing Board August 2016'!N83</f>
        <v>0</v>
      </c>
      <c r="M81" s="33">
        <f>'Wheighing Board August 2016'!O83</f>
        <v>0</v>
      </c>
    </row>
    <row r="82" spans="1:13" ht="23.25" x14ac:dyDescent="0.25">
      <c r="A82" s="234">
        <f>'Wheighing Board August 2016'!A84</f>
        <v>0</v>
      </c>
      <c r="B82" s="234">
        <f>'Wheighing Board August 2016'!B84</f>
        <v>0</v>
      </c>
      <c r="C82" s="33">
        <f>'Wheighing Board August 2016'!C84</f>
        <v>0</v>
      </c>
      <c r="D82" s="33">
        <f>'Wheighing Board August 2016'!D84</f>
        <v>0</v>
      </c>
      <c r="E82" s="33">
        <f>'Wheighing Board August 2016'!E84</f>
        <v>0</v>
      </c>
      <c r="F82" s="235">
        <f>'Wheighing Board August 2016'!F84</f>
        <v>0</v>
      </c>
      <c r="G82" s="33">
        <f>'Wheighing Board August 2016'!G84</f>
        <v>0</v>
      </c>
      <c r="H82" s="33">
        <f>'Wheighing Board August 2016'!H84</f>
        <v>0</v>
      </c>
      <c r="I82" s="33">
        <f>'Wheighing Board August 2016'!K84</f>
        <v>0</v>
      </c>
      <c r="J82" s="33">
        <f>'Wheighing Board August 2016'!L84</f>
        <v>0</v>
      </c>
      <c r="K82" s="33">
        <f>'Wheighing Board August 2016'!M84</f>
        <v>0</v>
      </c>
      <c r="L82" s="33">
        <f>'Wheighing Board August 2016'!N84</f>
        <v>0</v>
      </c>
      <c r="M82" s="33">
        <f>'Wheighing Board August 2016'!O84</f>
        <v>0</v>
      </c>
    </row>
    <row r="83" spans="1:13" ht="23.25" x14ac:dyDescent="0.25">
      <c r="A83" s="234">
        <f>'Wheighing Board August 2016'!A85</f>
        <v>0</v>
      </c>
      <c r="B83" s="234">
        <f>'Wheighing Board August 2016'!B85</f>
        <v>0</v>
      </c>
      <c r="C83" s="33">
        <f>'Wheighing Board August 2016'!C85</f>
        <v>0</v>
      </c>
      <c r="D83" s="33">
        <f>'Wheighing Board August 2016'!D85</f>
        <v>0</v>
      </c>
      <c r="E83" s="33">
        <f>'Wheighing Board August 2016'!E85</f>
        <v>0</v>
      </c>
      <c r="F83" s="235">
        <f>'Wheighing Board August 2016'!F85</f>
        <v>0</v>
      </c>
      <c r="G83" s="33">
        <f>'Wheighing Board August 2016'!G85</f>
        <v>0</v>
      </c>
      <c r="H83" s="33">
        <f>'Wheighing Board August 2016'!H85</f>
        <v>0</v>
      </c>
      <c r="I83" s="33">
        <f>'Wheighing Board August 2016'!K85</f>
        <v>0</v>
      </c>
      <c r="J83" s="33">
        <f>'Wheighing Board August 2016'!L85</f>
        <v>0</v>
      </c>
      <c r="K83" s="33">
        <f>'Wheighing Board August 2016'!M85</f>
        <v>0</v>
      </c>
      <c r="L83" s="33">
        <f>'Wheighing Board August 2016'!N85</f>
        <v>0</v>
      </c>
      <c r="M83" s="33">
        <f>'Wheighing Board August 2016'!O85</f>
        <v>0</v>
      </c>
    </row>
    <row r="84" spans="1:13" ht="23.25" x14ac:dyDescent="0.25">
      <c r="A84" s="234">
        <f>'Wheighing Board August 2016'!A86</f>
        <v>0</v>
      </c>
      <c r="B84" s="234">
        <f>'Wheighing Board August 2016'!B86</f>
        <v>0</v>
      </c>
      <c r="C84" s="33">
        <f>'Wheighing Board August 2016'!C86</f>
        <v>0</v>
      </c>
      <c r="D84" s="33">
        <f>'Wheighing Board August 2016'!D86</f>
        <v>0</v>
      </c>
      <c r="E84" s="33">
        <f>'Wheighing Board August 2016'!E86</f>
        <v>0</v>
      </c>
      <c r="F84" s="235">
        <f>'Wheighing Board August 2016'!F86</f>
        <v>0</v>
      </c>
      <c r="G84" s="33">
        <f>'Wheighing Board August 2016'!G86</f>
        <v>0</v>
      </c>
      <c r="H84" s="33">
        <f>'Wheighing Board August 2016'!H86</f>
        <v>0</v>
      </c>
      <c r="I84" s="33">
        <f>'Wheighing Board August 2016'!K86</f>
        <v>0</v>
      </c>
      <c r="J84" s="33">
        <f>'Wheighing Board August 2016'!L86</f>
        <v>0</v>
      </c>
      <c r="K84" s="33">
        <f>'Wheighing Board August 2016'!M86</f>
        <v>0</v>
      </c>
      <c r="L84" s="33">
        <f>'Wheighing Board August 2016'!N86</f>
        <v>0</v>
      </c>
      <c r="M84" s="33">
        <f>'Wheighing Board August 2016'!O86</f>
        <v>0</v>
      </c>
    </row>
    <row r="85" spans="1:13" ht="23.25" x14ac:dyDescent="0.25">
      <c r="A85" s="234">
        <f>'Wheighing Board August 2016'!A87</f>
        <v>0</v>
      </c>
      <c r="B85" s="234">
        <f>'Wheighing Board August 2016'!B87</f>
        <v>0</v>
      </c>
      <c r="C85" s="33">
        <f>'Wheighing Board August 2016'!C87</f>
        <v>0</v>
      </c>
      <c r="D85" s="33">
        <f>'Wheighing Board August 2016'!D87</f>
        <v>0</v>
      </c>
      <c r="E85" s="33">
        <f>'Wheighing Board August 2016'!E87</f>
        <v>0</v>
      </c>
      <c r="F85" s="235">
        <f>'Wheighing Board August 2016'!F87</f>
        <v>0</v>
      </c>
      <c r="G85" s="33">
        <f>'Wheighing Board August 2016'!G87</f>
        <v>0</v>
      </c>
      <c r="H85" s="33">
        <f>'Wheighing Board August 2016'!H87</f>
        <v>0</v>
      </c>
      <c r="I85" s="33">
        <f>'Wheighing Board August 2016'!K87</f>
        <v>0</v>
      </c>
      <c r="J85" s="33">
        <f>'Wheighing Board August 2016'!L87</f>
        <v>0</v>
      </c>
      <c r="K85" s="33">
        <f>'Wheighing Board August 2016'!M87</f>
        <v>0</v>
      </c>
      <c r="L85" s="33">
        <f>'Wheighing Board August 2016'!N87</f>
        <v>0</v>
      </c>
      <c r="M85" s="33">
        <f>'Wheighing Board August 2016'!O87</f>
        <v>0</v>
      </c>
    </row>
    <row r="86" spans="1:13" ht="23.25" x14ac:dyDescent="0.25">
      <c r="A86" s="234">
        <f>'Wheighing Board August 2016'!A88</f>
        <v>0</v>
      </c>
      <c r="B86" s="234">
        <f>'Wheighing Board August 2016'!B88</f>
        <v>0</v>
      </c>
      <c r="C86" s="33">
        <f>'Wheighing Board August 2016'!C88</f>
        <v>0</v>
      </c>
      <c r="D86" s="33">
        <f>'Wheighing Board August 2016'!D88</f>
        <v>0</v>
      </c>
      <c r="E86" s="33">
        <f>'Wheighing Board August 2016'!E88</f>
        <v>0</v>
      </c>
      <c r="F86" s="235">
        <f>'Wheighing Board August 2016'!F88</f>
        <v>0</v>
      </c>
      <c r="G86" s="33">
        <f>'Wheighing Board August 2016'!G88</f>
        <v>0</v>
      </c>
      <c r="H86" s="33">
        <f>'Wheighing Board August 2016'!H88</f>
        <v>0</v>
      </c>
      <c r="I86" s="33">
        <f>'Wheighing Board August 2016'!K88</f>
        <v>0</v>
      </c>
      <c r="J86" s="33">
        <f>'Wheighing Board August 2016'!L88</f>
        <v>0</v>
      </c>
      <c r="K86" s="33">
        <f>'Wheighing Board August 2016'!M88</f>
        <v>0</v>
      </c>
      <c r="L86" s="33">
        <f>'Wheighing Board August 2016'!N88</f>
        <v>0</v>
      </c>
      <c r="M86" s="33">
        <f>'Wheighing Board August 2016'!O88</f>
        <v>0</v>
      </c>
    </row>
    <row r="87" spans="1:13" ht="23.25" x14ac:dyDescent="0.25">
      <c r="A87" s="234">
        <f>'Wheighing Board August 2016'!A89</f>
        <v>0</v>
      </c>
      <c r="B87" s="234">
        <f>'Wheighing Board August 2016'!B89</f>
        <v>0</v>
      </c>
      <c r="C87" s="33">
        <f>'Wheighing Board August 2016'!C89</f>
        <v>0</v>
      </c>
      <c r="D87" s="33">
        <f>'Wheighing Board August 2016'!D89</f>
        <v>0</v>
      </c>
      <c r="E87" s="33">
        <f>'Wheighing Board August 2016'!E89</f>
        <v>0</v>
      </c>
      <c r="F87" s="235">
        <f>'Wheighing Board August 2016'!F89</f>
        <v>0</v>
      </c>
      <c r="G87" s="33">
        <f>'Wheighing Board August 2016'!G89</f>
        <v>0</v>
      </c>
      <c r="H87" s="33">
        <f>'Wheighing Board August 2016'!H89</f>
        <v>0</v>
      </c>
      <c r="I87" s="33">
        <f>'Wheighing Board August 2016'!K89</f>
        <v>0</v>
      </c>
      <c r="J87" s="33">
        <f>'Wheighing Board August 2016'!L89</f>
        <v>0</v>
      </c>
      <c r="K87" s="33">
        <f>'Wheighing Board August 2016'!M89</f>
        <v>0</v>
      </c>
      <c r="L87" s="33">
        <f>'Wheighing Board August 2016'!N89</f>
        <v>0</v>
      </c>
      <c r="M87" s="33">
        <f>'Wheighing Board August 2016'!O89</f>
        <v>0</v>
      </c>
    </row>
    <row r="88" spans="1:13" ht="23.25" x14ac:dyDescent="0.25">
      <c r="A88" s="234">
        <f>'Wheighing Board August 2016'!A90</f>
        <v>0</v>
      </c>
      <c r="B88" s="234">
        <f>'Wheighing Board August 2016'!B90</f>
        <v>0</v>
      </c>
      <c r="C88" s="33">
        <f>'Wheighing Board August 2016'!C90</f>
        <v>0</v>
      </c>
      <c r="D88" s="33">
        <f>'Wheighing Board August 2016'!D90</f>
        <v>0</v>
      </c>
      <c r="E88" s="33">
        <f>'Wheighing Board August 2016'!E90</f>
        <v>0</v>
      </c>
      <c r="F88" s="235">
        <f>'Wheighing Board August 2016'!F90</f>
        <v>0</v>
      </c>
      <c r="G88" s="33">
        <f>'Wheighing Board August 2016'!G90</f>
        <v>0</v>
      </c>
      <c r="H88" s="33">
        <f>'Wheighing Board August 2016'!H90</f>
        <v>0</v>
      </c>
      <c r="I88" s="33">
        <f>'Wheighing Board August 2016'!K90</f>
        <v>0</v>
      </c>
      <c r="J88" s="33">
        <f>'Wheighing Board August 2016'!L90</f>
        <v>0</v>
      </c>
      <c r="K88" s="33">
        <f>'Wheighing Board August 2016'!M90</f>
        <v>0</v>
      </c>
      <c r="L88" s="33">
        <f>'Wheighing Board August 2016'!N90</f>
        <v>0</v>
      </c>
      <c r="M88" s="33">
        <f>'Wheighing Board August 2016'!O90</f>
        <v>0</v>
      </c>
    </row>
    <row r="89" spans="1:13" ht="23.25" x14ac:dyDescent="0.25">
      <c r="A89" s="234">
        <f>'Wheighing Board August 2016'!A91</f>
        <v>0</v>
      </c>
      <c r="B89" s="234">
        <f>'Wheighing Board August 2016'!B91</f>
        <v>0</v>
      </c>
      <c r="C89" s="33">
        <f>'Wheighing Board August 2016'!C91</f>
        <v>0</v>
      </c>
      <c r="D89" s="33">
        <f>'Wheighing Board August 2016'!D91</f>
        <v>0</v>
      </c>
      <c r="E89" s="33">
        <f>'Wheighing Board August 2016'!E91</f>
        <v>0</v>
      </c>
      <c r="F89" s="235">
        <f>'Wheighing Board August 2016'!F91</f>
        <v>0</v>
      </c>
      <c r="G89" s="33">
        <f>'Wheighing Board August 2016'!G91</f>
        <v>0</v>
      </c>
      <c r="H89" s="33">
        <f>'Wheighing Board August 2016'!H91</f>
        <v>0</v>
      </c>
      <c r="I89" s="33">
        <f>'Wheighing Board August 2016'!K91</f>
        <v>0</v>
      </c>
      <c r="J89" s="33">
        <f>'Wheighing Board August 2016'!L91</f>
        <v>0</v>
      </c>
      <c r="K89" s="33">
        <f>'Wheighing Board August 2016'!M91</f>
        <v>0</v>
      </c>
      <c r="L89" s="33">
        <f>'Wheighing Board August 2016'!N91</f>
        <v>0</v>
      </c>
      <c r="M89" s="33">
        <f>'Wheighing Board August 2016'!O91</f>
        <v>0</v>
      </c>
    </row>
    <row r="90" spans="1:13" ht="23.25" x14ac:dyDescent="0.25">
      <c r="A90" s="234">
        <f>'Wheighing Board August 2016'!A92</f>
        <v>0</v>
      </c>
      <c r="B90" s="234">
        <f>'Wheighing Board August 2016'!B92</f>
        <v>0</v>
      </c>
      <c r="C90" s="33">
        <f>'Wheighing Board August 2016'!C92</f>
        <v>0</v>
      </c>
      <c r="D90" s="33">
        <f>'Wheighing Board August 2016'!D92</f>
        <v>0</v>
      </c>
      <c r="E90" s="33">
        <f>'Wheighing Board August 2016'!E92</f>
        <v>0</v>
      </c>
      <c r="F90" s="235">
        <f>'Wheighing Board August 2016'!F92</f>
        <v>0</v>
      </c>
      <c r="G90" s="33">
        <f>'Wheighing Board August 2016'!G92</f>
        <v>0</v>
      </c>
      <c r="H90" s="33">
        <f>'Wheighing Board August 2016'!H92</f>
        <v>0</v>
      </c>
      <c r="I90" s="33">
        <f>'Wheighing Board August 2016'!K92</f>
        <v>0</v>
      </c>
      <c r="J90" s="33">
        <f>'Wheighing Board August 2016'!L92</f>
        <v>0</v>
      </c>
      <c r="K90" s="33">
        <f>'Wheighing Board August 2016'!M92</f>
        <v>0</v>
      </c>
      <c r="L90" s="33">
        <f>'Wheighing Board August 2016'!N92</f>
        <v>0</v>
      </c>
      <c r="M90" s="33">
        <f>'Wheighing Board August 2016'!O92</f>
        <v>0</v>
      </c>
    </row>
    <row r="91" spans="1:13" ht="23.25" x14ac:dyDescent="0.25">
      <c r="A91" s="234">
        <f>'Wheighing Board August 2016'!A93</f>
        <v>0</v>
      </c>
      <c r="B91" s="234">
        <f>'Wheighing Board August 2016'!B93</f>
        <v>0</v>
      </c>
      <c r="C91" s="33">
        <f>'Wheighing Board August 2016'!C93</f>
        <v>0</v>
      </c>
      <c r="D91" s="33">
        <f>'Wheighing Board August 2016'!D93</f>
        <v>0</v>
      </c>
      <c r="E91" s="33">
        <f>'Wheighing Board August 2016'!E93</f>
        <v>0</v>
      </c>
      <c r="F91" s="235">
        <f>'Wheighing Board August 2016'!F93</f>
        <v>0</v>
      </c>
      <c r="G91" s="33">
        <f>'Wheighing Board August 2016'!G93</f>
        <v>0</v>
      </c>
      <c r="H91" s="33">
        <f>'Wheighing Board August 2016'!H93</f>
        <v>0</v>
      </c>
      <c r="I91" s="33">
        <f>'Wheighing Board August 2016'!K93</f>
        <v>0</v>
      </c>
      <c r="J91" s="33">
        <f>'Wheighing Board August 2016'!L93</f>
        <v>0</v>
      </c>
      <c r="K91" s="33">
        <f>'Wheighing Board August 2016'!M93</f>
        <v>0</v>
      </c>
      <c r="L91" s="33">
        <f>'Wheighing Board August 2016'!N93</f>
        <v>0</v>
      </c>
      <c r="M91" s="33">
        <f>'Wheighing Board August 2016'!O93</f>
        <v>0</v>
      </c>
    </row>
    <row r="92" spans="1:13" ht="23.25" x14ac:dyDescent="0.25">
      <c r="A92" s="234">
        <f>'Wheighing Board August 2016'!A94</f>
        <v>0</v>
      </c>
      <c r="B92" s="234">
        <f>'Wheighing Board August 2016'!B94</f>
        <v>0</v>
      </c>
      <c r="C92" s="33">
        <f>'Wheighing Board August 2016'!C94</f>
        <v>0</v>
      </c>
      <c r="D92" s="33">
        <f>'Wheighing Board August 2016'!D94</f>
        <v>0</v>
      </c>
      <c r="E92" s="33">
        <f>'Wheighing Board August 2016'!E94</f>
        <v>0</v>
      </c>
      <c r="F92" s="235">
        <f>'Wheighing Board August 2016'!F94</f>
        <v>0</v>
      </c>
      <c r="G92" s="33">
        <f>'Wheighing Board August 2016'!G94</f>
        <v>0</v>
      </c>
      <c r="H92" s="33">
        <f>'Wheighing Board August 2016'!H94</f>
        <v>0</v>
      </c>
      <c r="I92" s="33">
        <f>'Wheighing Board August 2016'!K94</f>
        <v>0</v>
      </c>
      <c r="J92" s="33">
        <f>'Wheighing Board August 2016'!L94</f>
        <v>0</v>
      </c>
      <c r="K92" s="33">
        <f>'Wheighing Board August 2016'!M94</f>
        <v>0</v>
      </c>
      <c r="L92" s="33">
        <f>'Wheighing Board August 2016'!N94</f>
        <v>0</v>
      </c>
      <c r="M92" s="33">
        <f>'Wheighing Board August 2016'!O94</f>
        <v>0</v>
      </c>
    </row>
    <row r="93" spans="1:13" ht="23.25" x14ac:dyDescent="0.25">
      <c r="A93" s="234">
        <f>'Wheighing Board August 2016'!A95</f>
        <v>0</v>
      </c>
      <c r="B93" s="234">
        <f>'Wheighing Board August 2016'!B95</f>
        <v>0</v>
      </c>
      <c r="C93" s="33">
        <f>'Wheighing Board August 2016'!C95</f>
        <v>0</v>
      </c>
      <c r="D93" s="33">
        <f>'Wheighing Board August 2016'!D95</f>
        <v>0</v>
      </c>
      <c r="E93" s="33">
        <f>'Wheighing Board August 2016'!E95</f>
        <v>0</v>
      </c>
      <c r="F93" s="235">
        <f>'Wheighing Board August 2016'!F95</f>
        <v>0</v>
      </c>
      <c r="G93" s="33">
        <f>'Wheighing Board August 2016'!G95</f>
        <v>0</v>
      </c>
      <c r="H93" s="33">
        <f>'Wheighing Board August 2016'!H95</f>
        <v>0</v>
      </c>
      <c r="I93" s="33">
        <f>'Wheighing Board August 2016'!K95</f>
        <v>0</v>
      </c>
      <c r="J93" s="33">
        <f>'Wheighing Board August 2016'!L95</f>
        <v>0</v>
      </c>
      <c r="K93" s="33">
        <f>'Wheighing Board August 2016'!M95</f>
        <v>0</v>
      </c>
      <c r="L93" s="33">
        <f>'Wheighing Board August 2016'!N95</f>
        <v>0</v>
      </c>
      <c r="M93" s="33">
        <f>'Wheighing Board August 2016'!O95</f>
        <v>0</v>
      </c>
    </row>
    <row r="94" spans="1:13" ht="23.25" x14ac:dyDescent="0.25">
      <c r="A94" s="234">
        <f>'Wheighing Board August 2016'!A96</f>
        <v>0</v>
      </c>
      <c r="B94" s="234">
        <f>'Wheighing Board August 2016'!B96</f>
        <v>0</v>
      </c>
      <c r="C94" s="33">
        <f>'Wheighing Board August 2016'!C96</f>
        <v>0</v>
      </c>
      <c r="D94" s="33">
        <f>'Wheighing Board August 2016'!D96</f>
        <v>0</v>
      </c>
      <c r="E94" s="33">
        <f>'Wheighing Board August 2016'!E96</f>
        <v>0</v>
      </c>
      <c r="F94" s="235">
        <f>'Wheighing Board August 2016'!F96</f>
        <v>0</v>
      </c>
      <c r="G94" s="33">
        <f>'Wheighing Board August 2016'!G96</f>
        <v>0</v>
      </c>
      <c r="H94" s="33">
        <f>'Wheighing Board August 2016'!H96</f>
        <v>0</v>
      </c>
      <c r="I94" s="33">
        <f>'Wheighing Board August 2016'!K96</f>
        <v>0</v>
      </c>
      <c r="J94" s="33">
        <f>'Wheighing Board August 2016'!L96</f>
        <v>0</v>
      </c>
      <c r="K94" s="33">
        <f>'Wheighing Board August 2016'!M96</f>
        <v>0</v>
      </c>
      <c r="L94" s="33">
        <f>'Wheighing Board August 2016'!N96</f>
        <v>0</v>
      </c>
      <c r="M94" s="33">
        <f>'Wheighing Board August 2016'!O96</f>
        <v>0</v>
      </c>
    </row>
    <row r="95" spans="1:13" ht="23.25" x14ac:dyDescent="0.25">
      <c r="A95" s="234">
        <f>'Wheighing Board August 2016'!A97</f>
        <v>0</v>
      </c>
      <c r="B95" s="234">
        <f>'Wheighing Board August 2016'!B97</f>
        <v>0</v>
      </c>
      <c r="C95" s="33">
        <f>'Wheighing Board August 2016'!C97</f>
        <v>0</v>
      </c>
      <c r="D95" s="33">
        <f>'Wheighing Board August 2016'!D97</f>
        <v>0</v>
      </c>
      <c r="E95" s="33">
        <f>'Wheighing Board August 2016'!E97</f>
        <v>0</v>
      </c>
      <c r="F95" s="235">
        <f>'Wheighing Board August 2016'!F97</f>
        <v>0</v>
      </c>
      <c r="G95" s="33">
        <f>'Wheighing Board August 2016'!G97</f>
        <v>0</v>
      </c>
      <c r="H95" s="33">
        <f>'Wheighing Board August 2016'!H97</f>
        <v>0</v>
      </c>
      <c r="I95" s="33">
        <f>'Wheighing Board August 2016'!K97</f>
        <v>0</v>
      </c>
      <c r="J95" s="33">
        <f>'Wheighing Board August 2016'!L97</f>
        <v>0</v>
      </c>
      <c r="K95" s="33">
        <f>'Wheighing Board August 2016'!M97</f>
        <v>0</v>
      </c>
      <c r="L95" s="33">
        <f>'Wheighing Board August 2016'!N97</f>
        <v>0</v>
      </c>
      <c r="M95" s="33">
        <f>'Wheighing Board August 2016'!O97</f>
        <v>0</v>
      </c>
    </row>
    <row r="96" spans="1:13" ht="23.25" x14ac:dyDescent="0.25">
      <c r="A96" s="234">
        <f>'Wheighing Board August 2016'!A98</f>
        <v>0</v>
      </c>
      <c r="B96" s="234">
        <f>'Wheighing Board August 2016'!B98</f>
        <v>0</v>
      </c>
      <c r="C96" s="33">
        <f>'Wheighing Board August 2016'!C98</f>
        <v>0</v>
      </c>
      <c r="D96" s="33">
        <f>'Wheighing Board August 2016'!D98</f>
        <v>0</v>
      </c>
      <c r="E96" s="33">
        <f>'Wheighing Board August 2016'!E98</f>
        <v>0</v>
      </c>
      <c r="F96" s="235">
        <f>'Wheighing Board August 2016'!F98</f>
        <v>0</v>
      </c>
      <c r="G96" s="33">
        <f>'Wheighing Board August 2016'!G98</f>
        <v>0</v>
      </c>
      <c r="H96" s="33">
        <f>'Wheighing Board August 2016'!H98</f>
        <v>0</v>
      </c>
      <c r="I96" s="33">
        <f>'Wheighing Board August 2016'!K98</f>
        <v>0</v>
      </c>
      <c r="J96" s="33">
        <f>'Wheighing Board August 2016'!L98</f>
        <v>0</v>
      </c>
      <c r="K96" s="33">
        <f>'Wheighing Board August 2016'!M98</f>
        <v>0</v>
      </c>
      <c r="L96" s="33">
        <f>'Wheighing Board August 2016'!N98</f>
        <v>0</v>
      </c>
      <c r="M96" s="33">
        <f>'Wheighing Board August 2016'!O98</f>
        <v>0</v>
      </c>
    </row>
    <row r="97" spans="1:13" ht="23.25" x14ac:dyDescent="0.25">
      <c r="A97" s="234">
        <f>'Wheighing Board August 2016'!A99</f>
        <v>0</v>
      </c>
      <c r="B97" s="234">
        <f>'Wheighing Board August 2016'!B99</f>
        <v>0</v>
      </c>
      <c r="C97" s="33">
        <f>'Wheighing Board August 2016'!C99</f>
        <v>0</v>
      </c>
      <c r="D97" s="33">
        <f>'Wheighing Board August 2016'!D99</f>
        <v>0</v>
      </c>
      <c r="E97" s="33">
        <f>'Wheighing Board August 2016'!E99</f>
        <v>0</v>
      </c>
      <c r="F97" s="235">
        <f>'Wheighing Board August 2016'!F99</f>
        <v>0</v>
      </c>
      <c r="G97" s="33">
        <f>'Wheighing Board August 2016'!G99</f>
        <v>0</v>
      </c>
      <c r="H97" s="33">
        <f>'Wheighing Board August 2016'!H99</f>
        <v>0</v>
      </c>
      <c r="I97" s="33">
        <f>'Wheighing Board August 2016'!K99</f>
        <v>0</v>
      </c>
      <c r="J97" s="33">
        <f>'Wheighing Board August 2016'!L99</f>
        <v>0</v>
      </c>
      <c r="K97" s="33">
        <f>'Wheighing Board August 2016'!M99</f>
        <v>0</v>
      </c>
      <c r="L97" s="33">
        <f>'Wheighing Board August 2016'!N99</f>
        <v>0</v>
      </c>
      <c r="M97" s="33">
        <f>'Wheighing Board August 2016'!O99</f>
        <v>0</v>
      </c>
    </row>
    <row r="98" spans="1:13" ht="23.25" x14ac:dyDescent="0.25">
      <c r="A98" s="234">
        <f>'Wheighing Board August 2016'!A100</f>
        <v>0</v>
      </c>
      <c r="B98" s="234">
        <f>'Wheighing Board August 2016'!B100</f>
        <v>0</v>
      </c>
      <c r="C98" s="33">
        <f>'Wheighing Board August 2016'!C100</f>
        <v>0</v>
      </c>
      <c r="D98" s="33">
        <f>'Wheighing Board August 2016'!D100</f>
        <v>0</v>
      </c>
      <c r="E98" s="33">
        <f>'Wheighing Board August 2016'!E100</f>
        <v>0</v>
      </c>
      <c r="F98" s="235">
        <f>'Wheighing Board August 2016'!F100</f>
        <v>0</v>
      </c>
      <c r="G98" s="33">
        <f>'Wheighing Board August 2016'!G100</f>
        <v>0</v>
      </c>
      <c r="H98" s="33">
        <f>'Wheighing Board August 2016'!H100</f>
        <v>0</v>
      </c>
      <c r="I98" s="33">
        <f>'Wheighing Board August 2016'!K100</f>
        <v>0</v>
      </c>
      <c r="J98" s="33">
        <f>'Wheighing Board August 2016'!L100</f>
        <v>0</v>
      </c>
      <c r="K98" s="33">
        <f>'Wheighing Board August 2016'!M100</f>
        <v>0</v>
      </c>
      <c r="L98" s="33">
        <f>'Wheighing Board August 2016'!N100</f>
        <v>0</v>
      </c>
      <c r="M98" s="33">
        <f>'Wheighing Board August 2016'!O100</f>
        <v>0</v>
      </c>
    </row>
    <row r="99" spans="1:13" ht="23.25" x14ac:dyDescent="0.25">
      <c r="A99" s="234">
        <f>'Wheighing Board August 2016'!A101</f>
        <v>0</v>
      </c>
      <c r="B99" s="234">
        <f>'Wheighing Board August 2016'!B101</f>
        <v>0</v>
      </c>
      <c r="C99" s="33">
        <f>'Wheighing Board August 2016'!C101</f>
        <v>0</v>
      </c>
      <c r="D99" s="33">
        <f>'Wheighing Board August 2016'!D101</f>
        <v>0</v>
      </c>
      <c r="E99" s="33">
        <f>'Wheighing Board August 2016'!E101</f>
        <v>0</v>
      </c>
      <c r="F99" s="235">
        <f>'Wheighing Board August 2016'!F101</f>
        <v>0</v>
      </c>
      <c r="G99" s="33">
        <f>'Wheighing Board August 2016'!G101</f>
        <v>0</v>
      </c>
      <c r="H99" s="33">
        <f>'Wheighing Board August 2016'!H101</f>
        <v>0</v>
      </c>
      <c r="I99" s="33">
        <f>'Wheighing Board August 2016'!K101</f>
        <v>0</v>
      </c>
      <c r="J99" s="33">
        <f>'Wheighing Board August 2016'!L101</f>
        <v>0</v>
      </c>
      <c r="K99" s="33">
        <f>'Wheighing Board August 2016'!M101</f>
        <v>0</v>
      </c>
      <c r="L99" s="33">
        <f>'Wheighing Board August 2016'!N101</f>
        <v>0</v>
      </c>
      <c r="M99" s="33">
        <f>'Wheighing Board August 2016'!O101</f>
        <v>0</v>
      </c>
    </row>
    <row r="100" spans="1:13" ht="23.25" x14ac:dyDescent="0.25">
      <c r="A100" s="234">
        <f>'Wheighing Board August 2016'!A102</f>
        <v>0</v>
      </c>
      <c r="B100" s="234">
        <f>'Wheighing Board August 2016'!B102</f>
        <v>0</v>
      </c>
      <c r="C100" s="33">
        <f>'Wheighing Board August 2016'!C102</f>
        <v>0</v>
      </c>
      <c r="D100" s="33">
        <f>'Wheighing Board August 2016'!D102</f>
        <v>0</v>
      </c>
      <c r="E100" s="33">
        <f>'Wheighing Board August 2016'!E102</f>
        <v>0</v>
      </c>
      <c r="F100" s="235">
        <f>'Wheighing Board August 2016'!F102</f>
        <v>0</v>
      </c>
      <c r="G100" s="33">
        <f>'Wheighing Board August 2016'!G102</f>
        <v>0</v>
      </c>
      <c r="H100" s="33">
        <f>'Wheighing Board August 2016'!H102</f>
        <v>0</v>
      </c>
      <c r="I100" s="33">
        <f>'Wheighing Board August 2016'!K102</f>
        <v>0</v>
      </c>
      <c r="J100" s="33">
        <f>'Wheighing Board August 2016'!L102</f>
        <v>0</v>
      </c>
      <c r="K100" s="33">
        <f>'Wheighing Board August 2016'!M102</f>
        <v>0</v>
      </c>
      <c r="L100" s="33">
        <f>'Wheighing Board August 2016'!N102</f>
        <v>0</v>
      </c>
      <c r="M100" s="33">
        <f>'Wheighing Board August 2016'!O102</f>
        <v>0</v>
      </c>
    </row>
    <row r="101" spans="1:13" ht="23.25" x14ac:dyDescent="0.25">
      <c r="A101" s="234">
        <f>'Wheighing Board August 2016'!A103</f>
        <v>0</v>
      </c>
      <c r="B101" s="234">
        <f>'Wheighing Board August 2016'!B103</f>
        <v>0</v>
      </c>
      <c r="C101" s="33">
        <f>'Wheighing Board August 2016'!C103</f>
        <v>0</v>
      </c>
      <c r="D101" s="33">
        <f>'Wheighing Board August 2016'!D103</f>
        <v>0</v>
      </c>
      <c r="E101" s="33">
        <f>'Wheighing Board August 2016'!E103</f>
        <v>0</v>
      </c>
      <c r="F101" s="235">
        <f>'Wheighing Board August 2016'!F103</f>
        <v>0</v>
      </c>
      <c r="G101" s="33">
        <f>'Wheighing Board August 2016'!G103</f>
        <v>0</v>
      </c>
      <c r="H101" s="33">
        <f>'Wheighing Board August 2016'!H103</f>
        <v>0</v>
      </c>
      <c r="I101" s="33">
        <f>'Wheighing Board August 2016'!K103</f>
        <v>0</v>
      </c>
      <c r="J101" s="33">
        <f>'Wheighing Board August 2016'!L103</f>
        <v>0</v>
      </c>
      <c r="K101" s="33">
        <f>'Wheighing Board August 2016'!M103</f>
        <v>0</v>
      </c>
      <c r="L101" s="33">
        <f>'Wheighing Board August 2016'!N103</f>
        <v>0</v>
      </c>
      <c r="M101" s="33">
        <f>'Wheighing Board August 2016'!O103</f>
        <v>0</v>
      </c>
    </row>
    <row r="102" spans="1:13" ht="23.25" x14ac:dyDescent="0.25">
      <c r="A102" s="234">
        <f>'Wheighing Board August 2016'!A104</f>
        <v>0</v>
      </c>
      <c r="B102" s="234">
        <f>'Wheighing Board August 2016'!B104</f>
        <v>0</v>
      </c>
      <c r="C102" s="33">
        <f>'Wheighing Board August 2016'!C104</f>
        <v>0</v>
      </c>
      <c r="D102" s="33">
        <f>'Wheighing Board August 2016'!D104</f>
        <v>0</v>
      </c>
      <c r="E102" s="33">
        <f>'Wheighing Board August 2016'!E104</f>
        <v>0</v>
      </c>
      <c r="F102" s="235">
        <f>'Wheighing Board August 2016'!F104</f>
        <v>0</v>
      </c>
      <c r="G102" s="33">
        <f>'Wheighing Board August 2016'!G104</f>
        <v>0</v>
      </c>
      <c r="H102" s="33">
        <f>'Wheighing Board August 2016'!H104</f>
        <v>0</v>
      </c>
      <c r="I102" s="33">
        <f>'Wheighing Board August 2016'!K104</f>
        <v>0</v>
      </c>
      <c r="J102" s="33">
        <f>'Wheighing Board August 2016'!L104</f>
        <v>0</v>
      </c>
      <c r="K102" s="33">
        <f>'Wheighing Board August 2016'!M104</f>
        <v>0</v>
      </c>
      <c r="L102" s="33">
        <f>'Wheighing Board August 2016'!N104</f>
        <v>0</v>
      </c>
      <c r="M102" s="33">
        <f>'Wheighing Board August 2016'!O104</f>
        <v>0</v>
      </c>
    </row>
    <row r="103" spans="1:13" ht="23.25" x14ac:dyDescent="0.25">
      <c r="A103" s="234">
        <f>'Wheighing Board August 2016'!A105</f>
        <v>0</v>
      </c>
      <c r="B103" s="234">
        <f>'Wheighing Board August 2016'!B105</f>
        <v>0</v>
      </c>
      <c r="C103" s="33">
        <f>'Wheighing Board August 2016'!C105</f>
        <v>0</v>
      </c>
      <c r="D103" s="33">
        <f>'Wheighing Board August 2016'!D105</f>
        <v>0</v>
      </c>
      <c r="E103" s="33">
        <f>'Wheighing Board August 2016'!E105</f>
        <v>0</v>
      </c>
      <c r="F103" s="235">
        <f>'Wheighing Board August 2016'!F105</f>
        <v>0</v>
      </c>
      <c r="G103" s="33">
        <f>'Wheighing Board August 2016'!G105</f>
        <v>0</v>
      </c>
      <c r="H103" s="33">
        <f>'Wheighing Board August 2016'!H105</f>
        <v>0</v>
      </c>
      <c r="I103" s="33">
        <f>'Wheighing Board August 2016'!K105</f>
        <v>0</v>
      </c>
      <c r="J103" s="33">
        <f>'Wheighing Board August 2016'!L105</f>
        <v>0</v>
      </c>
      <c r="K103" s="33">
        <f>'Wheighing Board August 2016'!M105</f>
        <v>0</v>
      </c>
      <c r="L103" s="33">
        <f>'Wheighing Board August 2016'!N105</f>
        <v>0</v>
      </c>
      <c r="M103" s="33">
        <f>'Wheighing Board August 2016'!O105</f>
        <v>0</v>
      </c>
    </row>
    <row r="104" spans="1:13" ht="23.25" x14ac:dyDescent="0.25">
      <c r="A104" s="234">
        <f>'Wheighing Board August 2016'!A106</f>
        <v>0</v>
      </c>
      <c r="B104" s="234">
        <f>'Wheighing Board August 2016'!B106</f>
        <v>0</v>
      </c>
      <c r="C104" s="33">
        <f>'Wheighing Board August 2016'!C106</f>
        <v>0</v>
      </c>
      <c r="D104" s="33">
        <f>'Wheighing Board August 2016'!D106</f>
        <v>0</v>
      </c>
      <c r="E104" s="33">
        <f>'Wheighing Board August 2016'!E106</f>
        <v>0</v>
      </c>
      <c r="F104" s="235">
        <f>'Wheighing Board August 2016'!F106</f>
        <v>0</v>
      </c>
      <c r="G104" s="33">
        <f>'Wheighing Board August 2016'!G106</f>
        <v>0</v>
      </c>
      <c r="H104" s="33">
        <f>'Wheighing Board August 2016'!H106</f>
        <v>0</v>
      </c>
      <c r="I104" s="33">
        <f>'Wheighing Board August 2016'!K106</f>
        <v>0</v>
      </c>
      <c r="J104" s="33">
        <f>'Wheighing Board August 2016'!L106</f>
        <v>0</v>
      </c>
      <c r="K104" s="33">
        <f>'Wheighing Board August 2016'!M106</f>
        <v>0</v>
      </c>
      <c r="L104" s="33">
        <f>'Wheighing Board August 2016'!N106</f>
        <v>0</v>
      </c>
      <c r="M104" s="33">
        <f>'Wheighing Board August 2016'!O106</f>
        <v>0</v>
      </c>
    </row>
    <row r="105" spans="1:13" ht="23.25" x14ac:dyDescent="0.25">
      <c r="A105" s="234">
        <f>'Wheighing Board August 2016'!A107</f>
        <v>0</v>
      </c>
      <c r="B105" s="234">
        <f>'Wheighing Board August 2016'!B107</f>
        <v>0</v>
      </c>
      <c r="C105" s="33">
        <f>'Wheighing Board August 2016'!C107</f>
        <v>0</v>
      </c>
      <c r="D105" s="33">
        <f>'Wheighing Board August 2016'!D107</f>
        <v>0</v>
      </c>
      <c r="E105" s="33">
        <f>'Wheighing Board August 2016'!E107</f>
        <v>0</v>
      </c>
      <c r="F105" s="235">
        <f>'Wheighing Board August 2016'!F107</f>
        <v>0</v>
      </c>
      <c r="G105" s="33">
        <f>'Wheighing Board August 2016'!G107</f>
        <v>0</v>
      </c>
      <c r="H105" s="33">
        <f>'Wheighing Board August 2016'!H107</f>
        <v>0</v>
      </c>
      <c r="I105" s="33">
        <f>'Wheighing Board August 2016'!K107</f>
        <v>0</v>
      </c>
      <c r="J105" s="33">
        <f>'Wheighing Board August 2016'!L107</f>
        <v>0</v>
      </c>
      <c r="K105" s="33">
        <f>'Wheighing Board August 2016'!M107</f>
        <v>0</v>
      </c>
      <c r="L105" s="33">
        <f>'Wheighing Board August 2016'!N107</f>
        <v>0</v>
      </c>
      <c r="M105" s="33">
        <f>'Wheighing Board August 2016'!O107</f>
        <v>0</v>
      </c>
    </row>
    <row r="106" spans="1:13" ht="23.25" x14ac:dyDescent="0.25">
      <c r="A106" s="234">
        <f>'Wheighing Board August 2016'!A108</f>
        <v>0</v>
      </c>
      <c r="B106" s="234">
        <f>'Wheighing Board August 2016'!B108</f>
        <v>0</v>
      </c>
      <c r="C106" s="33">
        <f>'Wheighing Board August 2016'!C108</f>
        <v>0</v>
      </c>
      <c r="D106" s="33">
        <f>'Wheighing Board August 2016'!D108</f>
        <v>0</v>
      </c>
      <c r="E106" s="33">
        <f>'Wheighing Board August 2016'!E108</f>
        <v>0</v>
      </c>
      <c r="F106" s="235">
        <f>'Wheighing Board August 2016'!F108</f>
        <v>0</v>
      </c>
      <c r="G106" s="33">
        <f>'Wheighing Board August 2016'!G108</f>
        <v>0</v>
      </c>
      <c r="H106" s="33">
        <f>'Wheighing Board August 2016'!H108</f>
        <v>0</v>
      </c>
      <c r="I106" s="33">
        <f>'Wheighing Board August 2016'!K108</f>
        <v>0</v>
      </c>
      <c r="J106" s="33">
        <f>'Wheighing Board August 2016'!L108</f>
        <v>0</v>
      </c>
      <c r="K106" s="33">
        <f>'Wheighing Board August 2016'!M108</f>
        <v>0</v>
      </c>
      <c r="L106" s="33">
        <f>'Wheighing Board August 2016'!N108</f>
        <v>0</v>
      </c>
      <c r="M106" s="33">
        <f>'Wheighing Board August 2016'!O108</f>
        <v>0</v>
      </c>
    </row>
    <row r="107" spans="1:13" ht="23.25" x14ac:dyDescent="0.25">
      <c r="A107" s="234">
        <f>'Wheighing Board August 2016'!A109</f>
        <v>0</v>
      </c>
      <c r="B107" s="234">
        <f>'Wheighing Board August 2016'!B109</f>
        <v>0</v>
      </c>
      <c r="C107" s="33">
        <f>'Wheighing Board August 2016'!C109</f>
        <v>0</v>
      </c>
      <c r="D107" s="33">
        <f>'Wheighing Board August 2016'!D109</f>
        <v>0</v>
      </c>
      <c r="E107" s="33">
        <f>'Wheighing Board August 2016'!E109</f>
        <v>0</v>
      </c>
      <c r="F107" s="235">
        <f>'Wheighing Board August 2016'!F109</f>
        <v>0</v>
      </c>
      <c r="G107" s="33">
        <f>'Wheighing Board August 2016'!G109</f>
        <v>0</v>
      </c>
      <c r="H107" s="33">
        <f>'Wheighing Board August 2016'!H109</f>
        <v>0</v>
      </c>
      <c r="I107" s="33">
        <f>'Wheighing Board August 2016'!K109</f>
        <v>0</v>
      </c>
      <c r="J107" s="33">
        <f>'Wheighing Board August 2016'!L109</f>
        <v>0</v>
      </c>
      <c r="K107" s="33">
        <f>'Wheighing Board August 2016'!M109</f>
        <v>0</v>
      </c>
      <c r="L107" s="33">
        <f>'Wheighing Board August 2016'!N109</f>
        <v>0</v>
      </c>
      <c r="M107" s="33">
        <f>'Wheighing Board August 2016'!O109</f>
        <v>0</v>
      </c>
    </row>
    <row r="108" spans="1:13" ht="23.25" x14ac:dyDescent="0.25">
      <c r="A108" s="234">
        <f>'Wheighing Board August 2016'!A110</f>
        <v>0</v>
      </c>
      <c r="B108" s="234">
        <f>'Wheighing Board August 2016'!B110</f>
        <v>0</v>
      </c>
      <c r="C108" s="33">
        <f>'Wheighing Board August 2016'!C110</f>
        <v>0</v>
      </c>
      <c r="D108" s="33">
        <f>'Wheighing Board August 2016'!D110</f>
        <v>0</v>
      </c>
      <c r="E108" s="33">
        <f>'Wheighing Board August 2016'!E110</f>
        <v>0</v>
      </c>
      <c r="F108" s="235">
        <f>'Wheighing Board August 2016'!F110</f>
        <v>0</v>
      </c>
      <c r="G108" s="33">
        <f>'Wheighing Board August 2016'!G110</f>
        <v>0</v>
      </c>
      <c r="H108" s="33">
        <f>'Wheighing Board August 2016'!H110</f>
        <v>0</v>
      </c>
      <c r="I108" s="33">
        <f>'Wheighing Board August 2016'!K110</f>
        <v>0</v>
      </c>
      <c r="J108" s="33">
        <f>'Wheighing Board August 2016'!L110</f>
        <v>0</v>
      </c>
      <c r="K108" s="33">
        <f>'Wheighing Board August 2016'!M110</f>
        <v>0</v>
      </c>
      <c r="L108" s="33">
        <f>'Wheighing Board August 2016'!N110</f>
        <v>0</v>
      </c>
      <c r="M108" s="33">
        <f>'Wheighing Board August 2016'!O110</f>
        <v>0</v>
      </c>
    </row>
    <row r="109" spans="1:13" ht="23.25" x14ac:dyDescent="0.25">
      <c r="A109" s="234">
        <f>'Wheighing Board August 2016'!A111</f>
        <v>0</v>
      </c>
      <c r="B109" s="234">
        <f>'Wheighing Board August 2016'!B111</f>
        <v>0</v>
      </c>
      <c r="C109" s="33">
        <f>'Wheighing Board August 2016'!C111</f>
        <v>0</v>
      </c>
      <c r="D109" s="33">
        <f>'Wheighing Board August 2016'!D111</f>
        <v>0</v>
      </c>
      <c r="E109" s="33">
        <f>'Wheighing Board August 2016'!E111</f>
        <v>0</v>
      </c>
      <c r="F109" s="235">
        <f>'Wheighing Board August 2016'!F111</f>
        <v>0</v>
      </c>
      <c r="G109" s="33">
        <f>'Wheighing Board August 2016'!G111</f>
        <v>0</v>
      </c>
      <c r="H109" s="33">
        <f>'Wheighing Board August 2016'!H111</f>
        <v>0</v>
      </c>
      <c r="I109" s="33">
        <f>'Wheighing Board August 2016'!K111</f>
        <v>0</v>
      </c>
      <c r="J109" s="33">
        <f>'Wheighing Board August 2016'!L111</f>
        <v>0</v>
      </c>
      <c r="K109" s="33">
        <f>'Wheighing Board August 2016'!M111</f>
        <v>0</v>
      </c>
      <c r="L109" s="33">
        <f>'Wheighing Board August 2016'!N111</f>
        <v>0</v>
      </c>
      <c r="M109" s="33">
        <f>'Wheighing Board August 2016'!O111</f>
        <v>0</v>
      </c>
    </row>
    <row r="110" spans="1:13" ht="23.25" x14ac:dyDescent="0.25">
      <c r="A110" s="234">
        <f>'Wheighing Board August 2016'!A112</f>
        <v>0</v>
      </c>
      <c r="B110" s="234">
        <f>'Wheighing Board August 2016'!B112</f>
        <v>0</v>
      </c>
      <c r="C110" s="33">
        <f>'Wheighing Board August 2016'!C112</f>
        <v>0</v>
      </c>
      <c r="D110" s="33">
        <f>'Wheighing Board August 2016'!D112</f>
        <v>0</v>
      </c>
      <c r="E110" s="33">
        <f>'Wheighing Board August 2016'!E112</f>
        <v>0</v>
      </c>
      <c r="F110" s="235">
        <f>'Wheighing Board August 2016'!F112</f>
        <v>0</v>
      </c>
      <c r="G110" s="33">
        <f>'Wheighing Board August 2016'!G112</f>
        <v>0</v>
      </c>
      <c r="H110" s="33">
        <f>'Wheighing Board August 2016'!H112</f>
        <v>0</v>
      </c>
      <c r="I110" s="33">
        <f>'Wheighing Board August 2016'!K112</f>
        <v>0</v>
      </c>
      <c r="J110" s="33">
        <f>'Wheighing Board August 2016'!L112</f>
        <v>0</v>
      </c>
      <c r="K110" s="33">
        <f>'Wheighing Board August 2016'!M112</f>
        <v>0</v>
      </c>
      <c r="L110" s="33">
        <f>'Wheighing Board August 2016'!N112</f>
        <v>0</v>
      </c>
      <c r="M110" s="33">
        <f>'Wheighing Board August 2016'!O112</f>
        <v>0</v>
      </c>
    </row>
    <row r="111" spans="1:13" ht="23.25" x14ac:dyDescent="0.25">
      <c r="A111" s="234">
        <f>'Wheighing Board August 2016'!A113</f>
        <v>0</v>
      </c>
      <c r="B111" s="234">
        <f>'Wheighing Board August 2016'!B113</f>
        <v>0</v>
      </c>
      <c r="C111" s="33">
        <f>'Wheighing Board August 2016'!C113</f>
        <v>0</v>
      </c>
      <c r="D111" s="33">
        <f>'Wheighing Board August 2016'!D113</f>
        <v>0</v>
      </c>
      <c r="E111" s="33">
        <f>'Wheighing Board August 2016'!E113</f>
        <v>0</v>
      </c>
      <c r="F111" s="235">
        <f>'Wheighing Board August 2016'!F113</f>
        <v>0</v>
      </c>
      <c r="G111" s="33">
        <f>'Wheighing Board August 2016'!G113</f>
        <v>0</v>
      </c>
      <c r="H111" s="33">
        <f>'Wheighing Board August 2016'!H113</f>
        <v>0</v>
      </c>
      <c r="I111" s="33">
        <f>'Wheighing Board August 2016'!K113</f>
        <v>0</v>
      </c>
      <c r="J111" s="33">
        <f>'Wheighing Board August 2016'!L113</f>
        <v>0</v>
      </c>
      <c r="K111" s="33">
        <f>'Wheighing Board August 2016'!M113</f>
        <v>0</v>
      </c>
      <c r="L111" s="33">
        <f>'Wheighing Board August 2016'!N113</f>
        <v>0</v>
      </c>
      <c r="M111" s="33">
        <f>'Wheighing Board August 2016'!O113</f>
        <v>0</v>
      </c>
    </row>
    <row r="112" spans="1:13" ht="23.25" x14ac:dyDescent="0.25">
      <c r="A112" s="234">
        <f>'Wheighing Board August 2016'!A114</f>
        <v>0</v>
      </c>
      <c r="B112" s="234">
        <f>'Wheighing Board August 2016'!B114</f>
        <v>0</v>
      </c>
      <c r="C112" s="33">
        <f>'Wheighing Board August 2016'!C114</f>
        <v>0</v>
      </c>
      <c r="D112" s="33">
        <f>'Wheighing Board August 2016'!D114</f>
        <v>0</v>
      </c>
      <c r="E112" s="33">
        <f>'Wheighing Board August 2016'!E114</f>
        <v>0</v>
      </c>
      <c r="F112" s="235">
        <f>'Wheighing Board August 2016'!F114</f>
        <v>0</v>
      </c>
      <c r="G112" s="33">
        <f>'Wheighing Board August 2016'!G114</f>
        <v>0</v>
      </c>
      <c r="H112" s="33">
        <f>'Wheighing Board August 2016'!H114</f>
        <v>0</v>
      </c>
      <c r="I112" s="33">
        <f>'Wheighing Board August 2016'!K114</f>
        <v>0</v>
      </c>
      <c r="J112" s="33">
        <f>'Wheighing Board August 2016'!L114</f>
        <v>0</v>
      </c>
      <c r="K112" s="33">
        <f>'Wheighing Board August 2016'!M114</f>
        <v>0</v>
      </c>
      <c r="L112" s="33">
        <f>'Wheighing Board August 2016'!N114</f>
        <v>0</v>
      </c>
      <c r="M112" s="33">
        <f>'Wheighing Board August 2016'!O114</f>
        <v>0</v>
      </c>
    </row>
    <row r="113" spans="1:13" ht="23.25" x14ac:dyDescent="0.25">
      <c r="A113" s="234">
        <f>'Wheighing Board August 2016'!A115</f>
        <v>0</v>
      </c>
      <c r="B113" s="234">
        <f>'Wheighing Board August 2016'!B115</f>
        <v>0</v>
      </c>
      <c r="C113" s="33">
        <f>'Wheighing Board August 2016'!C115</f>
        <v>0</v>
      </c>
      <c r="D113" s="33">
        <f>'Wheighing Board August 2016'!D115</f>
        <v>0</v>
      </c>
      <c r="E113" s="33">
        <f>'Wheighing Board August 2016'!E115</f>
        <v>0</v>
      </c>
      <c r="F113" s="235">
        <f>'Wheighing Board August 2016'!F115</f>
        <v>0</v>
      </c>
      <c r="G113" s="33">
        <f>'Wheighing Board August 2016'!G115</f>
        <v>0</v>
      </c>
      <c r="H113" s="33">
        <f>'Wheighing Board August 2016'!H115</f>
        <v>0</v>
      </c>
      <c r="I113" s="33">
        <f>'Wheighing Board August 2016'!K115</f>
        <v>0</v>
      </c>
      <c r="J113" s="33">
        <f>'Wheighing Board August 2016'!L115</f>
        <v>0</v>
      </c>
      <c r="K113" s="33">
        <f>'Wheighing Board August 2016'!M115</f>
        <v>0</v>
      </c>
      <c r="L113" s="33">
        <f>'Wheighing Board August 2016'!N115</f>
        <v>0</v>
      </c>
      <c r="M113" s="33">
        <f>'Wheighing Board August 2016'!O115</f>
        <v>0</v>
      </c>
    </row>
    <row r="114" spans="1:13" ht="23.25" x14ac:dyDescent="0.25">
      <c r="A114" s="234">
        <f>'Wheighing Board August 2016'!A116</f>
        <v>0</v>
      </c>
      <c r="B114" s="234">
        <f>'Wheighing Board August 2016'!B116</f>
        <v>0</v>
      </c>
      <c r="C114" s="33">
        <f>'Wheighing Board August 2016'!C116</f>
        <v>0</v>
      </c>
      <c r="D114" s="33">
        <f>'Wheighing Board August 2016'!D116</f>
        <v>0</v>
      </c>
      <c r="E114" s="33">
        <f>'Wheighing Board August 2016'!E116</f>
        <v>0</v>
      </c>
      <c r="F114" s="235">
        <f>'Wheighing Board August 2016'!F116</f>
        <v>0</v>
      </c>
      <c r="G114" s="33">
        <f>'Wheighing Board August 2016'!G116</f>
        <v>0</v>
      </c>
      <c r="H114" s="33">
        <f>'Wheighing Board August 2016'!H116</f>
        <v>0</v>
      </c>
      <c r="I114" s="33">
        <f>'Wheighing Board August 2016'!K116</f>
        <v>0</v>
      </c>
      <c r="J114" s="33">
        <f>'Wheighing Board August 2016'!L116</f>
        <v>0</v>
      </c>
      <c r="K114" s="33">
        <f>'Wheighing Board August 2016'!M116</f>
        <v>0</v>
      </c>
      <c r="L114" s="33">
        <f>'Wheighing Board August 2016'!N116</f>
        <v>0</v>
      </c>
      <c r="M114" s="33">
        <f>'Wheighing Board August 2016'!O116</f>
        <v>0</v>
      </c>
    </row>
    <row r="115" spans="1:13" ht="23.25" x14ac:dyDescent="0.25">
      <c r="A115" s="234">
        <f>'Wheighing Board August 2016'!A117</f>
        <v>0</v>
      </c>
      <c r="B115" s="234">
        <f>'Wheighing Board August 2016'!B117</f>
        <v>0</v>
      </c>
      <c r="C115" s="33">
        <f>'Wheighing Board August 2016'!C117</f>
        <v>0</v>
      </c>
      <c r="D115" s="33">
        <f>'Wheighing Board August 2016'!D117</f>
        <v>0</v>
      </c>
      <c r="E115" s="33">
        <f>'Wheighing Board August 2016'!E117</f>
        <v>0</v>
      </c>
      <c r="F115" s="235">
        <f>'Wheighing Board August 2016'!F117</f>
        <v>0</v>
      </c>
      <c r="G115" s="33">
        <f>'Wheighing Board August 2016'!G117</f>
        <v>0</v>
      </c>
      <c r="H115" s="33">
        <f>'Wheighing Board August 2016'!H117</f>
        <v>0</v>
      </c>
      <c r="I115" s="33">
        <f>'Wheighing Board August 2016'!K117</f>
        <v>0</v>
      </c>
      <c r="J115" s="33">
        <f>'Wheighing Board August 2016'!L117</f>
        <v>0</v>
      </c>
      <c r="K115" s="33">
        <f>'Wheighing Board August 2016'!M117</f>
        <v>0</v>
      </c>
      <c r="L115" s="33">
        <f>'Wheighing Board August 2016'!N117</f>
        <v>0</v>
      </c>
      <c r="M115" s="33">
        <f>'Wheighing Board August 2016'!O117</f>
        <v>0</v>
      </c>
    </row>
    <row r="116" spans="1:13" ht="23.25" x14ac:dyDescent="0.25">
      <c r="A116" s="234">
        <f>'Wheighing Board August 2016'!A118</f>
        <v>0</v>
      </c>
      <c r="B116" s="234">
        <f>'Wheighing Board August 2016'!B118</f>
        <v>0</v>
      </c>
      <c r="C116" s="33">
        <f>'Wheighing Board August 2016'!C118</f>
        <v>0</v>
      </c>
      <c r="D116" s="33">
        <f>'Wheighing Board August 2016'!D118</f>
        <v>0</v>
      </c>
      <c r="E116" s="33">
        <f>'Wheighing Board August 2016'!E118</f>
        <v>0</v>
      </c>
      <c r="F116" s="235">
        <f>'Wheighing Board August 2016'!F118</f>
        <v>0</v>
      </c>
      <c r="G116" s="33">
        <f>'Wheighing Board August 2016'!G118</f>
        <v>0</v>
      </c>
      <c r="H116" s="33">
        <f>'Wheighing Board August 2016'!H118</f>
        <v>0</v>
      </c>
      <c r="I116" s="33">
        <f>'Wheighing Board August 2016'!K118</f>
        <v>0</v>
      </c>
      <c r="J116" s="33">
        <f>'Wheighing Board August 2016'!L118</f>
        <v>0</v>
      </c>
      <c r="K116" s="33">
        <f>'Wheighing Board August 2016'!M118</f>
        <v>0</v>
      </c>
      <c r="L116" s="33">
        <f>'Wheighing Board August 2016'!N118</f>
        <v>0</v>
      </c>
      <c r="M116" s="33">
        <f>'Wheighing Board August 2016'!O118</f>
        <v>0</v>
      </c>
    </row>
    <row r="117" spans="1:13" ht="23.25" x14ac:dyDescent="0.25">
      <c r="A117" s="234">
        <f>'Wheighing Board August 2016'!A119</f>
        <v>0</v>
      </c>
      <c r="B117" s="234">
        <f>'Wheighing Board August 2016'!B119</f>
        <v>0</v>
      </c>
      <c r="C117" s="33">
        <f>'Wheighing Board August 2016'!C119</f>
        <v>0</v>
      </c>
      <c r="D117" s="33">
        <f>'Wheighing Board August 2016'!D119</f>
        <v>0</v>
      </c>
      <c r="E117" s="33">
        <f>'Wheighing Board August 2016'!E119</f>
        <v>0</v>
      </c>
      <c r="F117" s="235">
        <f>'Wheighing Board August 2016'!F119</f>
        <v>0</v>
      </c>
      <c r="G117" s="33">
        <f>'Wheighing Board August 2016'!G119</f>
        <v>0</v>
      </c>
      <c r="H117" s="33">
        <f>'Wheighing Board August 2016'!H119</f>
        <v>0</v>
      </c>
      <c r="I117" s="33">
        <f>'Wheighing Board August 2016'!K119</f>
        <v>0</v>
      </c>
      <c r="J117" s="33">
        <f>'Wheighing Board August 2016'!L119</f>
        <v>0</v>
      </c>
      <c r="K117" s="33">
        <f>'Wheighing Board August 2016'!M119</f>
        <v>0</v>
      </c>
      <c r="L117" s="33">
        <f>'Wheighing Board August 2016'!N119</f>
        <v>0</v>
      </c>
      <c r="M117" s="33">
        <f>'Wheighing Board August 2016'!O119</f>
        <v>0</v>
      </c>
    </row>
    <row r="118" spans="1:13" ht="23.25" x14ac:dyDescent="0.25">
      <c r="A118" s="234">
        <f>'Wheighing Board August 2016'!A120</f>
        <v>0</v>
      </c>
      <c r="B118" s="234">
        <f>'Wheighing Board August 2016'!B120</f>
        <v>0</v>
      </c>
      <c r="C118" s="33">
        <f>'Wheighing Board August 2016'!C120</f>
        <v>0</v>
      </c>
      <c r="D118" s="33">
        <f>'Wheighing Board August 2016'!D120</f>
        <v>0</v>
      </c>
      <c r="E118" s="33">
        <f>'Wheighing Board August 2016'!E120</f>
        <v>0</v>
      </c>
      <c r="F118" s="235">
        <f>'Wheighing Board August 2016'!F120</f>
        <v>0</v>
      </c>
      <c r="G118" s="33">
        <f>'Wheighing Board August 2016'!G120</f>
        <v>0</v>
      </c>
      <c r="H118" s="33">
        <f>'Wheighing Board August 2016'!H120</f>
        <v>0</v>
      </c>
      <c r="I118" s="33">
        <f>'Wheighing Board August 2016'!K120</f>
        <v>0</v>
      </c>
      <c r="J118" s="33">
        <f>'Wheighing Board August 2016'!L120</f>
        <v>0</v>
      </c>
      <c r="K118" s="33">
        <f>'Wheighing Board August 2016'!M120</f>
        <v>0</v>
      </c>
      <c r="L118" s="33">
        <f>'Wheighing Board August 2016'!N120</f>
        <v>0</v>
      </c>
      <c r="M118" s="33">
        <f>'Wheighing Board August 2016'!O120</f>
        <v>0</v>
      </c>
    </row>
    <row r="119" spans="1:13" ht="23.25" x14ac:dyDescent="0.25">
      <c r="A119" s="234">
        <f>'Wheighing Board August 2016'!A121</f>
        <v>0</v>
      </c>
      <c r="B119" s="234">
        <f>'Wheighing Board August 2016'!B121</f>
        <v>0</v>
      </c>
      <c r="C119" s="33">
        <f>'Wheighing Board August 2016'!C121</f>
        <v>0</v>
      </c>
      <c r="D119" s="33">
        <f>'Wheighing Board August 2016'!D121</f>
        <v>0</v>
      </c>
      <c r="E119" s="33">
        <f>'Wheighing Board August 2016'!E121</f>
        <v>0</v>
      </c>
      <c r="F119" s="235">
        <f>'Wheighing Board August 2016'!F121</f>
        <v>0</v>
      </c>
      <c r="G119" s="33">
        <f>'Wheighing Board August 2016'!G121</f>
        <v>0</v>
      </c>
      <c r="H119" s="33">
        <f>'Wheighing Board August 2016'!H121</f>
        <v>0</v>
      </c>
      <c r="I119" s="33">
        <f>'Wheighing Board August 2016'!K121</f>
        <v>0</v>
      </c>
      <c r="J119" s="33">
        <f>'Wheighing Board August 2016'!L121</f>
        <v>0</v>
      </c>
      <c r="K119" s="33">
        <f>'Wheighing Board August 2016'!M121</f>
        <v>0</v>
      </c>
      <c r="L119" s="33">
        <f>'Wheighing Board August 2016'!N121</f>
        <v>0</v>
      </c>
      <c r="M119" s="33">
        <f>'Wheighing Board August 2016'!O121</f>
        <v>0</v>
      </c>
    </row>
    <row r="120" spans="1:13" ht="23.25" x14ac:dyDescent="0.25">
      <c r="A120" s="234">
        <f>'Wheighing Board August 2016'!A122</f>
        <v>0</v>
      </c>
      <c r="B120" s="234">
        <f>'Wheighing Board August 2016'!B122</f>
        <v>0</v>
      </c>
      <c r="C120" s="33">
        <f>'Wheighing Board August 2016'!C122</f>
        <v>0</v>
      </c>
      <c r="D120" s="33">
        <f>'Wheighing Board August 2016'!D122</f>
        <v>0</v>
      </c>
      <c r="E120" s="33">
        <f>'Wheighing Board August 2016'!E122</f>
        <v>0</v>
      </c>
      <c r="F120" s="235">
        <f>'Wheighing Board August 2016'!F122</f>
        <v>0</v>
      </c>
      <c r="G120" s="33">
        <f>'Wheighing Board August 2016'!G122</f>
        <v>0</v>
      </c>
      <c r="H120" s="33">
        <f>'Wheighing Board August 2016'!H122</f>
        <v>0</v>
      </c>
      <c r="I120" s="33">
        <f>'Wheighing Board August 2016'!K122</f>
        <v>0</v>
      </c>
      <c r="J120" s="33">
        <f>'Wheighing Board August 2016'!L122</f>
        <v>0</v>
      </c>
      <c r="K120" s="33">
        <f>'Wheighing Board August 2016'!M122</f>
        <v>0</v>
      </c>
      <c r="L120" s="33">
        <f>'Wheighing Board August 2016'!N122</f>
        <v>0</v>
      </c>
      <c r="M120" s="33">
        <f>'Wheighing Board August 2016'!O122</f>
        <v>0</v>
      </c>
    </row>
    <row r="121" spans="1:13" ht="23.25" x14ac:dyDescent="0.25">
      <c r="A121" s="234">
        <f>'Wheighing Board August 2016'!A123</f>
        <v>0</v>
      </c>
      <c r="B121" s="234">
        <f>'Wheighing Board August 2016'!B123</f>
        <v>0</v>
      </c>
      <c r="C121" s="33">
        <f>'Wheighing Board August 2016'!C123</f>
        <v>0</v>
      </c>
      <c r="D121" s="33">
        <f>'Wheighing Board August 2016'!D123</f>
        <v>0</v>
      </c>
      <c r="E121" s="33">
        <f>'Wheighing Board August 2016'!E123</f>
        <v>0</v>
      </c>
      <c r="F121" s="235">
        <f>'Wheighing Board August 2016'!F123</f>
        <v>0</v>
      </c>
      <c r="G121" s="33">
        <f>'Wheighing Board August 2016'!G123</f>
        <v>0</v>
      </c>
      <c r="H121" s="33">
        <f>'Wheighing Board August 2016'!H123</f>
        <v>0</v>
      </c>
      <c r="I121" s="33">
        <f>'Wheighing Board August 2016'!K123</f>
        <v>0</v>
      </c>
      <c r="J121" s="33">
        <f>'Wheighing Board August 2016'!L123</f>
        <v>0</v>
      </c>
      <c r="K121" s="33">
        <f>'Wheighing Board August 2016'!M123</f>
        <v>0</v>
      </c>
      <c r="L121" s="33">
        <f>'Wheighing Board August 2016'!N123</f>
        <v>0</v>
      </c>
      <c r="M121" s="33">
        <f>'Wheighing Board August 2016'!O123</f>
        <v>0</v>
      </c>
    </row>
    <row r="122" spans="1:13" ht="23.25" x14ac:dyDescent="0.25">
      <c r="A122" s="234">
        <f>'Wheighing Board August 2016'!A124</f>
        <v>0</v>
      </c>
      <c r="B122" s="234">
        <f>'Wheighing Board August 2016'!B124</f>
        <v>0</v>
      </c>
      <c r="C122" s="33">
        <f>'Wheighing Board August 2016'!C124</f>
        <v>0</v>
      </c>
      <c r="D122" s="33">
        <f>'Wheighing Board August 2016'!D124</f>
        <v>0</v>
      </c>
      <c r="E122" s="33">
        <f>'Wheighing Board August 2016'!E124</f>
        <v>0</v>
      </c>
      <c r="F122" s="235">
        <f>'Wheighing Board August 2016'!F124</f>
        <v>0</v>
      </c>
      <c r="G122" s="33">
        <f>'Wheighing Board August 2016'!G124</f>
        <v>0</v>
      </c>
      <c r="H122" s="33">
        <f>'Wheighing Board August 2016'!H124</f>
        <v>0</v>
      </c>
      <c r="I122" s="33">
        <f>'Wheighing Board August 2016'!K124</f>
        <v>0</v>
      </c>
      <c r="J122" s="33">
        <f>'Wheighing Board August 2016'!L124</f>
        <v>0</v>
      </c>
      <c r="K122" s="33">
        <f>'Wheighing Board August 2016'!M124</f>
        <v>0</v>
      </c>
      <c r="L122" s="33">
        <f>'Wheighing Board August 2016'!N124</f>
        <v>0</v>
      </c>
      <c r="M122" s="33">
        <f>'Wheighing Board August 2016'!O124</f>
        <v>0</v>
      </c>
    </row>
    <row r="123" spans="1:13" ht="23.25" x14ac:dyDescent="0.25">
      <c r="A123" s="234">
        <f>'Wheighing Board August 2016'!A125</f>
        <v>0</v>
      </c>
      <c r="B123" s="234">
        <f>'Wheighing Board August 2016'!B125</f>
        <v>0</v>
      </c>
      <c r="C123" s="33">
        <f>'Wheighing Board August 2016'!C125</f>
        <v>0</v>
      </c>
      <c r="D123" s="33">
        <f>'Wheighing Board August 2016'!D125</f>
        <v>0</v>
      </c>
      <c r="E123" s="33">
        <f>'Wheighing Board August 2016'!E125</f>
        <v>0</v>
      </c>
      <c r="F123" s="235">
        <f>'Wheighing Board August 2016'!F125</f>
        <v>0</v>
      </c>
      <c r="G123" s="33">
        <f>'Wheighing Board August 2016'!G125</f>
        <v>0</v>
      </c>
      <c r="H123" s="33">
        <f>'Wheighing Board August 2016'!H125</f>
        <v>0</v>
      </c>
      <c r="I123" s="33">
        <f>'Wheighing Board August 2016'!K125</f>
        <v>0</v>
      </c>
      <c r="J123" s="33">
        <f>'Wheighing Board August 2016'!L125</f>
        <v>0</v>
      </c>
      <c r="K123" s="33">
        <f>'Wheighing Board August 2016'!M125</f>
        <v>0</v>
      </c>
      <c r="L123" s="33">
        <f>'Wheighing Board August 2016'!N125</f>
        <v>0</v>
      </c>
      <c r="M123" s="33">
        <f>'Wheighing Board August 2016'!O125</f>
        <v>0</v>
      </c>
    </row>
    <row r="124" spans="1:13" ht="23.25" x14ac:dyDescent="0.25">
      <c r="A124" s="234">
        <f>'Wheighing Board August 2016'!A126</f>
        <v>0</v>
      </c>
      <c r="B124" s="234">
        <f>'Wheighing Board August 2016'!B126</f>
        <v>0</v>
      </c>
      <c r="C124" s="33">
        <f>'Wheighing Board August 2016'!C126</f>
        <v>0</v>
      </c>
      <c r="D124" s="33">
        <f>'Wheighing Board August 2016'!D126</f>
        <v>0</v>
      </c>
      <c r="E124" s="33">
        <f>'Wheighing Board August 2016'!E126</f>
        <v>0</v>
      </c>
      <c r="F124" s="235">
        <f>'Wheighing Board August 2016'!F126</f>
        <v>0</v>
      </c>
      <c r="G124" s="33">
        <f>'Wheighing Board August 2016'!G126</f>
        <v>0</v>
      </c>
      <c r="H124" s="33">
        <f>'Wheighing Board August 2016'!H126</f>
        <v>0</v>
      </c>
      <c r="I124" s="33">
        <f>'Wheighing Board August 2016'!K126</f>
        <v>0</v>
      </c>
      <c r="J124" s="33">
        <f>'Wheighing Board August 2016'!L126</f>
        <v>0</v>
      </c>
      <c r="K124" s="33">
        <f>'Wheighing Board August 2016'!M126</f>
        <v>0</v>
      </c>
      <c r="L124" s="33">
        <f>'Wheighing Board August 2016'!N126</f>
        <v>0</v>
      </c>
      <c r="M124" s="33">
        <f>'Wheighing Board August 2016'!O126</f>
        <v>0</v>
      </c>
    </row>
    <row r="125" spans="1:13" ht="23.25" x14ac:dyDescent="0.25">
      <c r="A125" s="234">
        <f>'Wheighing Board August 2016'!A127</f>
        <v>0</v>
      </c>
      <c r="B125" s="234">
        <f>'Wheighing Board August 2016'!B127</f>
        <v>0</v>
      </c>
      <c r="C125" s="33">
        <f>'Wheighing Board August 2016'!C127</f>
        <v>0</v>
      </c>
      <c r="D125" s="33">
        <f>'Wheighing Board August 2016'!D127</f>
        <v>0</v>
      </c>
      <c r="E125" s="33">
        <f>'Wheighing Board August 2016'!E127</f>
        <v>0</v>
      </c>
      <c r="F125" s="235">
        <f>'Wheighing Board August 2016'!F127</f>
        <v>0</v>
      </c>
      <c r="G125" s="33">
        <f>'Wheighing Board August 2016'!G127</f>
        <v>0</v>
      </c>
      <c r="H125" s="33">
        <f>'Wheighing Board August 2016'!H127</f>
        <v>0</v>
      </c>
      <c r="I125" s="33">
        <f>'Wheighing Board August 2016'!K127</f>
        <v>0</v>
      </c>
      <c r="J125" s="33">
        <f>'Wheighing Board August 2016'!L127</f>
        <v>0</v>
      </c>
      <c r="K125" s="33">
        <f>'Wheighing Board August 2016'!M127</f>
        <v>0</v>
      </c>
      <c r="L125" s="33">
        <f>'Wheighing Board August 2016'!N127</f>
        <v>0</v>
      </c>
      <c r="M125" s="33">
        <f>'Wheighing Board August 2016'!O127</f>
        <v>0</v>
      </c>
    </row>
    <row r="126" spans="1:13" ht="23.25" x14ac:dyDescent="0.25">
      <c r="A126" s="234">
        <f>'Wheighing Board August 2016'!A128</f>
        <v>0</v>
      </c>
      <c r="B126" s="234">
        <f>'Wheighing Board August 2016'!B128</f>
        <v>0</v>
      </c>
      <c r="C126" s="33">
        <f>'Wheighing Board August 2016'!C128</f>
        <v>0</v>
      </c>
      <c r="D126" s="33">
        <f>'Wheighing Board August 2016'!D128</f>
        <v>0</v>
      </c>
      <c r="E126" s="33">
        <f>'Wheighing Board August 2016'!E128</f>
        <v>0</v>
      </c>
      <c r="F126" s="235">
        <f>'Wheighing Board August 2016'!F128</f>
        <v>0</v>
      </c>
      <c r="G126" s="33">
        <f>'Wheighing Board August 2016'!G128</f>
        <v>0</v>
      </c>
      <c r="H126" s="33">
        <f>'Wheighing Board August 2016'!H128</f>
        <v>0</v>
      </c>
      <c r="I126" s="33">
        <f>'Wheighing Board August 2016'!K128</f>
        <v>0</v>
      </c>
      <c r="J126" s="33">
        <f>'Wheighing Board August 2016'!L128</f>
        <v>0</v>
      </c>
      <c r="K126" s="33">
        <f>'Wheighing Board August 2016'!M128</f>
        <v>0</v>
      </c>
      <c r="L126" s="33">
        <f>'Wheighing Board August 2016'!N128</f>
        <v>0</v>
      </c>
      <c r="M126" s="33">
        <f>'Wheighing Board August 2016'!O128</f>
        <v>0</v>
      </c>
    </row>
    <row r="127" spans="1:13" ht="23.25" x14ac:dyDescent="0.25">
      <c r="A127" s="234">
        <f>'Wheighing Board August 2016'!A129</f>
        <v>0</v>
      </c>
      <c r="B127" s="234">
        <f>'Wheighing Board August 2016'!B129</f>
        <v>0</v>
      </c>
      <c r="C127" s="33">
        <f>'Wheighing Board August 2016'!C129</f>
        <v>0</v>
      </c>
      <c r="D127" s="33">
        <f>'Wheighing Board August 2016'!D129</f>
        <v>0</v>
      </c>
      <c r="E127" s="33">
        <f>'Wheighing Board August 2016'!E129</f>
        <v>0</v>
      </c>
      <c r="F127" s="235">
        <f>'Wheighing Board August 2016'!F129</f>
        <v>0</v>
      </c>
      <c r="G127" s="33">
        <f>'Wheighing Board August 2016'!G129</f>
        <v>0</v>
      </c>
      <c r="H127" s="33">
        <f>'Wheighing Board August 2016'!H129</f>
        <v>0</v>
      </c>
      <c r="I127" s="33">
        <f>'Wheighing Board August 2016'!K129</f>
        <v>0</v>
      </c>
      <c r="J127" s="33">
        <f>'Wheighing Board August 2016'!L129</f>
        <v>0</v>
      </c>
      <c r="K127" s="33">
        <f>'Wheighing Board August 2016'!M129</f>
        <v>0</v>
      </c>
      <c r="L127" s="33">
        <f>'Wheighing Board August 2016'!N129</f>
        <v>0</v>
      </c>
      <c r="M127" s="33">
        <f>'Wheighing Board August 2016'!O129</f>
        <v>0</v>
      </c>
    </row>
    <row r="128" spans="1:13" ht="23.25" x14ac:dyDescent="0.25">
      <c r="A128" s="234">
        <f>'Wheighing Board August 2016'!A130</f>
        <v>0</v>
      </c>
      <c r="B128" s="234">
        <f>'Wheighing Board August 2016'!B130</f>
        <v>0</v>
      </c>
      <c r="C128" s="33">
        <f>'Wheighing Board August 2016'!C130</f>
        <v>0</v>
      </c>
      <c r="D128" s="33">
        <f>'Wheighing Board August 2016'!D130</f>
        <v>0</v>
      </c>
      <c r="E128" s="33">
        <f>'Wheighing Board August 2016'!E130</f>
        <v>0</v>
      </c>
      <c r="F128" s="235">
        <f>'Wheighing Board August 2016'!F130</f>
        <v>0</v>
      </c>
      <c r="G128" s="33">
        <f>'Wheighing Board August 2016'!G130</f>
        <v>0</v>
      </c>
      <c r="H128" s="33">
        <f>'Wheighing Board August 2016'!H130</f>
        <v>0</v>
      </c>
      <c r="I128" s="33">
        <f>'Wheighing Board August 2016'!K130</f>
        <v>0</v>
      </c>
      <c r="J128" s="33">
        <f>'Wheighing Board August 2016'!L130</f>
        <v>0</v>
      </c>
      <c r="K128" s="33">
        <f>'Wheighing Board August 2016'!M130</f>
        <v>0</v>
      </c>
      <c r="L128" s="33">
        <f>'Wheighing Board August 2016'!N130</f>
        <v>0</v>
      </c>
      <c r="M128" s="33">
        <f>'Wheighing Board August 2016'!O130</f>
        <v>0</v>
      </c>
    </row>
    <row r="129" spans="1:13" ht="23.25" x14ac:dyDescent="0.25">
      <c r="A129" s="234">
        <f>'Wheighing Board August 2016'!A131</f>
        <v>0</v>
      </c>
      <c r="B129" s="234">
        <f>'Wheighing Board August 2016'!B131</f>
        <v>0</v>
      </c>
      <c r="C129" s="33">
        <f>'Wheighing Board August 2016'!C131</f>
        <v>0</v>
      </c>
      <c r="D129" s="33">
        <f>'Wheighing Board August 2016'!D131</f>
        <v>0</v>
      </c>
      <c r="E129" s="33">
        <f>'Wheighing Board August 2016'!E131</f>
        <v>0</v>
      </c>
      <c r="F129" s="235">
        <f>'Wheighing Board August 2016'!F131</f>
        <v>0</v>
      </c>
      <c r="G129" s="33">
        <f>'Wheighing Board August 2016'!G131</f>
        <v>0</v>
      </c>
      <c r="H129" s="33">
        <f>'Wheighing Board August 2016'!H131</f>
        <v>0</v>
      </c>
      <c r="I129" s="33">
        <f>'Wheighing Board August 2016'!K131</f>
        <v>0</v>
      </c>
      <c r="J129" s="33">
        <f>'Wheighing Board August 2016'!L131</f>
        <v>0</v>
      </c>
      <c r="K129" s="33">
        <f>'Wheighing Board August 2016'!M131</f>
        <v>0</v>
      </c>
      <c r="L129" s="33">
        <f>'Wheighing Board August 2016'!N131</f>
        <v>0</v>
      </c>
      <c r="M129" s="33">
        <f>'Wheighing Board August 2016'!O131</f>
        <v>0</v>
      </c>
    </row>
    <row r="130" spans="1:13" ht="23.25" x14ac:dyDescent="0.25">
      <c r="A130" s="234">
        <f>'Wheighing Board August 2016'!A132</f>
        <v>0</v>
      </c>
      <c r="B130" s="234">
        <f>'Wheighing Board August 2016'!B132</f>
        <v>0</v>
      </c>
      <c r="C130" s="33">
        <f>'Wheighing Board August 2016'!C132</f>
        <v>0</v>
      </c>
      <c r="D130" s="33">
        <f>'Wheighing Board August 2016'!D132</f>
        <v>0</v>
      </c>
      <c r="E130" s="33">
        <f>'Wheighing Board August 2016'!E132</f>
        <v>0</v>
      </c>
      <c r="F130" s="235">
        <f>'Wheighing Board August 2016'!F132</f>
        <v>0</v>
      </c>
      <c r="G130" s="33">
        <f>'Wheighing Board August 2016'!G132</f>
        <v>0</v>
      </c>
      <c r="H130" s="33">
        <f>'Wheighing Board August 2016'!H132</f>
        <v>0</v>
      </c>
      <c r="I130" s="33">
        <f>'Wheighing Board August 2016'!K132</f>
        <v>0</v>
      </c>
      <c r="J130" s="33">
        <f>'Wheighing Board August 2016'!L132</f>
        <v>0</v>
      </c>
      <c r="K130" s="33">
        <f>'Wheighing Board August 2016'!M132</f>
        <v>0</v>
      </c>
      <c r="L130" s="33">
        <f>'Wheighing Board August 2016'!N132</f>
        <v>0</v>
      </c>
      <c r="M130" s="33">
        <f>'Wheighing Board August 2016'!O132</f>
        <v>0</v>
      </c>
    </row>
    <row r="131" spans="1:13" ht="23.25" x14ac:dyDescent="0.25">
      <c r="A131" s="234">
        <f>'Wheighing Board August 2016'!A133</f>
        <v>0</v>
      </c>
      <c r="B131" s="234">
        <f>'Wheighing Board August 2016'!B133</f>
        <v>0</v>
      </c>
      <c r="C131" s="33">
        <f>'Wheighing Board August 2016'!C133</f>
        <v>0</v>
      </c>
      <c r="D131" s="33">
        <f>'Wheighing Board August 2016'!D133</f>
        <v>0</v>
      </c>
      <c r="E131" s="33">
        <f>'Wheighing Board August 2016'!E133</f>
        <v>0</v>
      </c>
      <c r="F131" s="235">
        <f>'Wheighing Board August 2016'!F133</f>
        <v>0</v>
      </c>
      <c r="G131" s="33">
        <f>'Wheighing Board August 2016'!G133</f>
        <v>0</v>
      </c>
      <c r="H131" s="33">
        <f>'Wheighing Board August 2016'!H133</f>
        <v>0</v>
      </c>
      <c r="I131" s="33">
        <f>'Wheighing Board August 2016'!K133</f>
        <v>0</v>
      </c>
      <c r="J131" s="33">
        <f>'Wheighing Board August 2016'!L133</f>
        <v>0</v>
      </c>
      <c r="K131" s="33">
        <f>'Wheighing Board August 2016'!M133</f>
        <v>0</v>
      </c>
      <c r="L131" s="33">
        <f>'Wheighing Board August 2016'!N133</f>
        <v>0</v>
      </c>
      <c r="M131" s="33">
        <f>'Wheighing Board August 2016'!O133</f>
        <v>0</v>
      </c>
    </row>
    <row r="132" spans="1:13" ht="23.25" x14ac:dyDescent="0.25">
      <c r="A132" s="234">
        <f>'Wheighing Board August 2016'!A134</f>
        <v>0</v>
      </c>
      <c r="B132" s="234">
        <f>'Wheighing Board August 2016'!B134</f>
        <v>0</v>
      </c>
      <c r="C132" s="33">
        <f>'Wheighing Board August 2016'!C134</f>
        <v>0</v>
      </c>
      <c r="D132" s="33">
        <f>'Wheighing Board August 2016'!D134</f>
        <v>0</v>
      </c>
      <c r="E132" s="33">
        <f>'Wheighing Board August 2016'!E134</f>
        <v>0</v>
      </c>
      <c r="F132" s="235">
        <f>'Wheighing Board August 2016'!F134</f>
        <v>0</v>
      </c>
      <c r="G132" s="33">
        <f>'Wheighing Board August 2016'!G134</f>
        <v>0</v>
      </c>
      <c r="H132" s="33">
        <f>'Wheighing Board August 2016'!H134</f>
        <v>0</v>
      </c>
      <c r="I132" s="33">
        <f>'Wheighing Board August 2016'!K134</f>
        <v>0</v>
      </c>
      <c r="J132" s="33">
        <f>'Wheighing Board August 2016'!L134</f>
        <v>0</v>
      </c>
      <c r="K132" s="33">
        <f>'Wheighing Board August 2016'!M134</f>
        <v>0</v>
      </c>
      <c r="L132" s="33">
        <f>'Wheighing Board August 2016'!N134</f>
        <v>0</v>
      </c>
      <c r="M132" s="33">
        <f>'Wheighing Board August 2016'!O134</f>
        <v>0</v>
      </c>
    </row>
    <row r="133" spans="1:13" ht="23.25" x14ac:dyDescent="0.25">
      <c r="A133" s="234">
        <f>'Wheighing Board August 2016'!A135</f>
        <v>0</v>
      </c>
      <c r="B133" s="234">
        <f>'Wheighing Board August 2016'!B135</f>
        <v>0</v>
      </c>
      <c r="C133" s="33">
        <f>'Wheighing Board August 2016'!C135</f>
        <v>0</v>
      </c>
      <c r="D133" s="33">
        <f>'Wheighing Board August 2016'!D135</f>
        <v>0</v>
      </c>
      <c r="E133" s="33">
        <f>'Wheighing Board August 2016'!E135</f>
        <v>0</v>
      </c>
      <c r="F133" s="235">
        <f>'Wheighing Board August 2016'!F135</f>
        <v>0</v>
      </c>
      <c r="G133" s="33">
        <f>'Wheighing Board August 2016'!G135</f>
        <v>0</v>
      </c>
      <c r="H133" s="33">
        <f>'Wheighing Board August 2016'!H135</f>
        <v>0</v>
      </c>
      <c r="I133" s="33">
        <f>'Wheighing Board August 2016'!K135</f>
        <v>0</v>
      </c>
      <c r="J133" s="33">
        <f>'Wheighing Board August 2016'!L135</f>
        <v>0</v>
      </c>
      <c r="K133" s="33">
        <f>'Wheighing Board August 2016'!M135</f>
        <v>0</v>
      </c>
      <c r="L133" s="33">
        <f>'Wheighing Board August 2016'!N135</f>
        <v>0</v>
      </c>
      <c r="M133" s="33">
        <f>'Wheighing Board August 2016'!O135</f>
        <v>0</v>
      </c>
    </row>
    <row r="134" spans="1:13" ht="23.25" x14ac:dyDescent="0.25">
      <c r="A134" s="234">
        <f>'Wheighing Board August 2016'!A136</f>
        <v>0</v>
      </c>
      <c r="B134" s="234">
        <f>'Wheighing Board August 2016'!B136</f>
        <v>0</v>
      </c>
      <c r="C134" s="33">
        <f>'Wheighing Board August 2016'!C136</f>
        <v>0</v>
      </c>
      <c r="D134" s="33">
        <f>'Wheighing Board August 2016'!D136</f>
        <v>0</v>
      </c>
      <c r="E134" s="33">
        <f>'Wheighing Board August 2016'!E136</f>
        <v>0</v>
      </c>
      <c r="F134" s="235">
        <f>'Wheighing Board August 2016'!F136</f>
        <v>0</v>
      </c>
      <c r="G134" s="33">
        <f>'Wheighing Board August 2016'!G136</f>
        <v>0</v>
      </c>
      <c r="H134" s="33">
        <f>'Wheighing Board August 2016'!H136</f>
        <v>0</v>
      </c>
      <c r="I134" s="33">
        <f>'Wheighing Board August 2016'!K136</f>
        <v>0</v>
      </c>
      <c r="J134" s="33">
        <f>'Wheighing Board August 2016'!L136</f>
        <v>0</v>
      </c>
      <c r="K134" s="33">
        <f>'Wheighing Board August 2016'!M136</f>
        <v>0</v>
      </c>
      <c r="L134" s="33">
        <f>'Wheighing Board August 2016'!N136</f>
        <v>0</v>
      </c>
      <c r="M134" s="33">
        <f>'Wheighing Board August 2016'!O136</f>
        <v>0</v>
      </c>
    </row>
    <row r="135" spans="1:13" ht="23.25" x14ac:dyDescent="0.25">
      <c r="A135" s="234">
        <f>'Wheighing Board August 2016'!A137</f>
        <v>0</v>
      </c>
      <c r="B135" s="234">
        <f>'Wheighing Board August 2016'!B137</f>
        <v>0</v>
      </c>
      <c r="C135" s="33">
        <f>'Wheighing Board August 2016'!C137</f>
        <v>0</v>
      </c>
      <c r="D135" s="33">
        <f>'Wheighing Board August 2016'!D137</f>
        <v>0</v>
      </c>
      <c r="E135" s="33">
        <f>'Wheighing Board August 2016'!E137</f>
        <v>0</v>
      </c>
      <c r="F135" s="235">
        <f>'Wheighing Board August 2016'!F137</f>
        <v>0</v>
      </c>
      <c r="G135" s="33">
        <f>'Wheighing Board August 2016'!G137</f>
        <v>0</v>
      </c>
      <c r="H135" s="33">
        <f>'Wheighing Board August 2016'!H137</f>
        <v>0</v>
      </c>
      <c r="I135" s="33">
        <f>'Wheighing Board August 2016'!K137</f>
        <v>0</v>
      </c>
      <c r="J135" s="33">
        <f>'Wheighing Board August 2016'!L137</f>
        <v>0</v>
      </c>
      <c r="K135" s="33">
        <f>'Wheighing Board August 2016'!M137</f>
        <v>0</v>
      </c>
      <c r="L135" s="33">
        <f>'Wheighing Board August 2016'!N137</f>
        <v>0</v>
      </c>
      <c r="M135" s="33">
        <f>'Wheighing Board August 2016'!O137</f>
        <v>0</v>
      </c>
    </row>
    <row r="136" spans="1:13" ht="23.25" x14ac:dyDescent="0.25">
      <c r="A136" s="234">
        <f>'Wheighing Board August 2016'!A138</f>
        <v>0</v>
      </c>
      <c r="B136" s="234">
        <f>'Wheighing Board August 2016'!B138</f>
        <v>0</v>
      </c>
      <c r="C136" s="33">
        <f>'Wheighing Board August 2016'!C138</f>
        <v>0</v>
      </c>
      <c r="D136" s="33">
        <f>'Wheighing Board August 2016'!D138</f>
        <v>0</v>
      </c>
      <c r="E136" s="33">
        <f>'Wheighing Board August 2016'!E138</f>
        <v>0</v>
      </c>
      <c r="F136" s="235">
        <f>'Wheighing Board August 2016'!F138</f>
        <v>0</v>
      </c>
      <c r="G136" s="33">
        <f>'Wheighing Board August 2016'!G138</f>
        <v>0</v>
      </c>
      <c r="H136" s="33">
        <f>'Wheighing Board August 2016'!H138</f>
        <v>0</v>
      </c>
      <c r="I136" s="33">
        <f>'Wheighing Board August 2016'!K138</f>
        <v>0</v>
      </c>
      <c r="J136" s="33">
        <f>'Wheighing Board August 2016'!L138</f>
        <v>0</v>
      </c>
      <c r="K136" s="33">
        <f>'Wheighing Board August 2016'!M138</f>
        <v>0</v>
      </c>
      <c r="L136" s="33">
        <f>'Wheighing Board August 2016'!N138</f>
        <v>0</v>
      </c>
      <c r="M136" s="33">
        <f>'Wheighing Board August 2016'!O138</f>
        <v>0</v>
      </c>
    </row>
    <row r="137" spans="1:13" ht="23.25" x14ac:dyDescent="0.25">
      <c r="A137" s="234">
        <f>'Wheighing Board August 2016'!A139</f>
        <v>0</v>
      </c>
      <c r="B137" s="234">
        <f>'Wheighing Board August 2016'!B139</f>
        <v>0</v>
      </c>
      <c r="C137" s="33">
        <f>'Wheighing Board August 2016'!C139</f>
        <v>0</v>
      </c>
      <c r="D137" s="33">
        <f>'Wheighing Board August 2016'!D139</f>
        <v>0</v>
      </c>
      <c r="E137" s="33">
        <f>'Wheighing Board August 2016'!E139</f>
        <v>0</v>
      </c>
      <c r="F137" s="235">
        <f>'Wheighing Board August 2016'!F139</f>
        <v>0</v>
      </c>
      <c r="G137" s="33">
        <f>'Wheighing Board August 2016'!G139</f>
        <v>0</v>
      </c>
      <c r="H137" s="33">
        <f>'Wheighing Board August 2016'!H139</f>
        <v>0</v>
      </c>
      <c r="I137" s="33">
        <f>'Wheighing Board August 2016'!K139</f>
        <v>0</v>
      </c>
      <c r="J137" s="33">
        <f>'Wheighing Board August 2016'!L139</f>
        <v>0</v>
      </c>
      <c r="K137" s="33">
        <f>'Wheighing Board August 2016'!M139</f>
        <v>0</v>
      </c>
      <c r="L137" s="33">
        <f>'Wheighing Board August 2016'!N139</f>
        <v>0</v>
      </c>
      <c r="M137" s="33">
        <f>'Wheighing Board August 2016'!O139</f>
        <v>0</v>
      </c>
    </row>
    <row r="138" spans="1:13" ht="23.25" x14ac:dyDescent="0.25">
      <c r="A138" s="234">
        <f>'Wheighing Board August 2016'!A140</f>
        <v>0</v>
      </c>
      <c r="B138" s="234">
        <f>'Wheighing Board August 2016'!B140</f>
        <v>0</v>
      </c>
      <c r="C138" s="33">
        <f>'Wheighing Board August 2016'!C140</f>
        <v>0</v>
      </c>
      <c r="D138" s="33">
        <f>'Wheighing Board August 2016'!D140</f>
        <v>0</v>
      </c>
      <c r="E138" s="33">
        <f>'Wheighing Board August 2016'!E140</f>
        <v>0</v>
      </c>
      <c r="F138" s="235">
        <f>'Wheighing Board August 2016'!F140</f>
        <v>0</v>
      </c>
      <c r="G138" s="33">
        <f>'Wheighing Board August 2016'!G140</f>
        <v>0</v>
      </c>
      <c r="H138" s="33">
        <f>'Wheighing Board August 2016'!H140</f>
        <v>0</v>
      </c>
      <c r="I138" s="33">
        <f>'Wheighing Board August 2016'!K140</f>
        <v>0</v>
      </c>
      <c r="J138" s="33">
        <f>'Wheighing Board August 2016'!L140</f>
        <v>0</v>
      </c>
      <c r="K138" s="33">
        <f>'Wheighing Board August 2016'!M140</f>
        <v>0</v>
      </c>
      <c r="L138" s="33">
        <f>'Wheighing Board August 2016'!N140</f>
        <v>0</v>
      </c>
      <c r="M138" s="33">
        <f>'Wheighing Board August 2016'!O140</f>
        <v>0</v>
      </c>
    </row>
    <row r="139" spans="1:13" ht="23.25" x14ac:dyDescent="0.25">
      <c r="A139" s="234">
        <f>'Wheighing Board August 2016'!A141</f>
        <v>0</v>
      </c>
      <c r="B139" s="234">
        <f>'Wheighing Board August 2016'!B141</f>
        <v>0</v>
      </c>
      <c r="C139" s="33">
        <f>'Wheighing Board August 2016'!C141</f>
        <v>0</v>
      </c>
      <c r="D139" s="33">
        <f>'Wheighing Board August 2016'!D141</f>
        <v>0</v>
      </c>
      <c r="E139" s="33">
        <f>'Wheighing Board August 2016'!E141</f>
        <v>0</v>
      </c>
      <c r="F139" s="235">
        <f>'Wheighing Board August 2016'!F141</f>
        <v>0</v>
      </c>
      <c r="G139" s="33">
        <f>'Wheighing Board August 2016'!G141</f>
        <v>0</v>
      </c>
      <c r="H139" s="33">
        <f>'Wheighing Board August 2016'!H141</f>
        <v>0</v>
      </c>
      <c r="I139" s="33">
        <f>'Wheighing Board August 2016'!K141</f>
        <v>0</v>
      </c>
      <c r="J139" s="33">
        <f>'Wheighing Board August 2016'!L141</f>
        <v>0</v>
      </c>
      <c r="K139" s="33">
        <f>'Wheighing Board August 2016'!M141</f>
        <v>0</v>
      </c>
      <c r="L139" s="33">
        <f>'Wheighing Board August 2016'!N141</f>
        <v>0</v>
      </c>
      <c r="M139" s="33">
        <f>'Wheighing Board August 2016'!O141</f>
        <v>0</v>
      </c>
    </row>
    <row r="140" spans="1:13" ht="23.25" x14ac:dyDescent="0.25">
      <c r="A140" s="234">
        <f>'Wheighing Board August 2016'!A142</f>
        <v>0</v>
      </c>
      <c r="B140" s="234">
        <f>'Wheighing Board August 2016'!B142</f>
        <v>0</v>
      </c>
      <c r="C140" s="33">
        <f>'Wheighing Board August 2016'!C142</f>
        <v>0</v>
      </c>
      <c r="D140" s="33">
        <f>'Wheighing Board August 2016'!D142</f>
        <v>0</v>
      </c>
      <c r="E140" s="33">
        <f>'Wheighing Board August 2016'!E142</f>
        <v>0</v>
      </c>
      <c r="F140" s="235">
        <f>'Wheighing Board August 2016'!F142</f>
        <v>0</v>
      </c>
      <c r="G140" s="33">
        <f>'Wheighing Board August 2016'!G142</f>
        <v>0</v>
      </c>
      <c r="H140" s="33">
        <f>'Wheighing Board August 2016'!H142</f>
        <v>0</v>
      </c>
      <c r="I140" s="33">
        <f>'Wheighing Board August 2016'!K142</f>
        <v>0</v>
      </c>
      <c r="J140" s="33">
        <f>'Wheighing Board August 2016'!L142</f>
        <v>0</v>
      </c>
      <c r="K140" s="33">
        <f>'Wheighing Board August 2016'!M142</f>
        <v>0</v>
      </c>
      <c r="L140" s="33">
        <f>'Wheighing Board August 2016'!N142</f>
        <v>0</v>
      </c>
      <c r="M140" s="33">
        <f>'Wheighing Board August 2016'!O142</f>
        <v>0</v>
      </c>
    </row>
    <row r="141" spans="1:13" ht="23.25" x14ac:dyDescent="0.25">
      <c r="A141" s="234">
        <f>'Wheighing Board August 2016'!A143</f>
        <v>0</v>
      </c>
      <c r="B141" s="234">
        <f>'Wheighing Board August 2016'!B143</f>
        <v>0</v>
      </c>
      <c r="C141" s="33">
        <f>'Wheighing Board August 2016'!C143</f>
        <v>0</v>
      </c>
      <c r="D141" s="33">
        <f>'Wheighing Board August 2016'!D143</f>
        <v>0</v>
      </c>
      <c r="E141" s="33">
        <f>'Wheighing Board August 2016'!E143</f>
        <v>0</v>
      </c>
      <c r="F141" s="235">
        <f>'Wheighing Board August 2016'!F143</f>
        <v>0</v>
      </c>
      <c r="G141" s="33">
        <f>'Wheighing Board August 2016'!G143</f>
        <v>0</v>
      </c>
      <c r="H141" s="33">
        <f>'Wheighing Board August 2016'!H143</f>
        <v>0</v>
      </c>
      <c r="I141" s="33">
        <f>'Wheighing Board August 2016'!K143</f>
        <v>0</v>
      </c>
      <c r="J141" s="33">
        <f>'Wheighing Board August 2016'!L143</f>
        <v>0</v>
      </c>
      <c r="K141" s="33">
        <f>'Wheighing Board August 2016'!M143</f>
        <v>0</v>
      </c>
      <c r="L141" s="33">
        <f>'Wheighing Board August 2016'!N143</f>
        <v>0</v>
      </c>
      <c r="M141" s="33">
        <f>'Wheighing Board August 2016'!O143</f>
        <v>0</v>
      </c>
    </row>
    <row r="142" spans="1:13" ht="23.25" x14ac:dyDescent="0.25">
      <c r="A142" s="234">
        <f>'Wheighing Board August 2016'!A144</f>
        <v>0</v>
      </c>
      <c r="B142" s="234">
        <f>'Wheighing Board August 2016'!B144</f>
        <v>0</v>
      </c>
      <c r="C142" s="33">
        <f>'Wheighing Board August 2016'!C144</f>
        <v>0</v>
      </c>
      <c r="D142" s="33">
        <f>'Wheighing Board August 2016'!D144</f>
        <v>0</v>
      </c>
      <c r="E142" s="33">
        <f>'Wheighing Board August 2016'!E144</f>
        <v>0</v>
      </c>
      <c r="F142" s="235">
        <f>'Wheighing Board August 2016'!F144</f>
        <v>0</v>
      </c>
      <c r="G142" s="33">
        <f>'Wheighing Board August 2016'!G144</f>
        <v>0</v>
      </c>
      <c r="H142" s="33">
        <f>'Wheighing Board August 2016'!H144</f>
        <v>0</v>
      </c>
      <c r="I142" s="33">
        <f>'Wheighing Board August 2016'!K144</f>
        <v>0</v>
      </c>
      <c r="J142" s="33">
        <f>'Wheighing Board August 2016'!L144</f>
        <v>0</v>
      </c>
      <c r="K142" s="33">
        <f>'Wheighing Board August 2016'!M144</f>
        <v>0</v>
      </c>
      <c r="L142" s="33">
        <f>'Wheighing Board August 2016'!N144</f>
        <v>0</v>
      </c>
      <c r="M142" s="33">
        <f>'Wheighing Board August 2016'!O144</f>
        <v>0</v>
      </c>
    </row>
    <row r="143" spans="1:13" ht="23.25" x14ac:dyDescent="0.25">
      <c r="A143" s="234">
        <f>'Wheighing Board August 2016'!A145</f>
        <v>0</v>
      </c>
      <c r="B143" s="234">
        <f>'Wheighing Board August 2016'!B145</f>
        <v>0</v>
      </c>
      <c r="C143" s="33">
        <f>'Wheighing Board August 2016'!C145</f>
        <v>0</v>
      </c>
      <c r="D143" s="33">
        <f>'Wheighing Board August 2016'!D145</f>
        <v>0</v>
      </c>
      <c r="E143" s="33">
        <f>'Wheighing Board August 2016'!E145</f>
        <v>0</v>
      </c>
      <c r="F143" s="235">
        <f>'Wheighing Board August 2016'!F145</f>
        <v>0</v>
      </c>
      <c r="G143" s="33">
        <f>'Wheighing Board August 2016'!G145</f>
        <v>0</v>
      </c>
      <c r="H143" s="33">
        <f>'Wheighing Board August 2016'!H145</f>
        <v>0</v>
      </c>
      <c r="I143" s="33">
        <f>'Wheighing Board August 2016'!K145</f>
        <v>0</v>
      </c>
      <c r="J143" s="33">
        <f>'Wheighing Board August 2016'!L145</f>
        <v>0</v>
      </c>
      <c r="K143" s="33">
        <f>'Wheighing Board August 2016'!M145</f>
        <v>0</v>
      </c>
      <c r="L143" s="33">
        <f>'Wheighing Board August 2016'!N145</f>
        <v>0</v>
      </c>
      <c r="M143" s="33">
        <f>'Wheighing Board August 2016'!O145</f>
        <v>0</v>
      </c>
    </row>
    <row r="144" spans="1:13" ht="23.25" x14ac:dyDescent="0.25">
      <c r="A144" s="234">
        <f>'Wheighing Board August 2016'!A146</f>
        <v>0</v>
      </c>
      <c r="B144" s="234">
        <f>'Wheighing Board August 2016'!B146</f>
        <v>0</v>
      </c>
      <c r="C144" s="33">
        <f>'Wheighing Board August 2016'!C146</f>
        <v>0</v>
      </c>
      <c r="D144" s="33">
        <f>'Wheighing Board August 2016'!D146</f>
        <v>0</v>
      </c>
      <c r="E144" s="33">
        <f>'Wheighing Board August 2016'!E146</f>
        <v>0</v>
      </c>
      <c r="F144" s="235">
        <f>'Wheighing Board August 2016'!F146</f>
        <v>0</v>
      </c>
      <c r="G144" s="33">
        <f>'Wheighing Board August 2016'!G146</f>
        <v>0</v>
      </c>
      <c r="H144" s="33">
        <f>'Wheighing Board August 2016'!H146</f>
        <v>0</v>
      </c>
      <c r="I144" s="33">
        <f>'Wheighing Board August 2016'!K146</f>
        <v>0</v>
      </c>
      <c r="J144" s="33">
        <f>'Wheighing Board August 2016'!L146</f>
        <v>0</v>
      </c>
      <c r="K144" s="33">
        <f>'Wheighing Board August 2016'!M146</f>
        <v>0</v>
      </c>
      <c r="L144" s="33">
        <f>'Wheighing Board August 2016'!N146</f>
        <v>0</v>
      </c>
      <c r="M144" s="33">
        <f>'Wheighing Board August 2016'!O146</f>
        <v>0</v>
      </c>
    </row>
    <row r="145" spans="1:13" ht="23.25" x14ac:dyDescent="0.25">
      <c r="A145" s="234">
        <f>'Wheighing Board August 2016'!A147</f>
        <v>0</v>
      </c>
      <c r="B145" s="234">
        <f>'Wheighing Board August 2016'!B147</f>
        <v>0</v>
      </c>
      <c r="C145" s="33">
        <f>'Wheighing Board August 2016'!C147</f>
        <v>0</v>
      </c>
      <c r="D145" s="33">
        <f>'Wheighing Board August 2016'!D147</f>
        <v>0</v>
      </c>
      <c r="E145" s="33">
        <f>'Wheighing Board August 2016'!E147</f>
        <v>0</v>
      </c>
      <c r="F145" s="235">
        <f>'Wheighing Board August 2016'!F147</f>
        <v>0</v>
      </c>
      <c r="G145" s="33">
        <f>'Wheighing Board August 2016'!G147</f>
        <v>0</v>
      </c>
      <c r="H145" s="33">
        <f>'Wheighing Board August 2016'!H147</f>
        <v>0</v>
      </c>
      <c r="I145" s="33">
        <f>'Wheighing Board August 2016'!K147</f>
        <v>0</v>
      </c>
      <c r="J145" s="33">
        <f>'Wheighing Board August 2016'!L147</f>
        <v>0</v>
      </c>
      <c r="K145" s="33">
        <f>'Wheighing Board August 2016'!M147</f>
        <v>0</v>
      </c>
      <c r="L145" s="33">
        <f>'Wheighing Board August 2016'!N147</f>
        <v>0</v>
      </c>
      <c r="M145" s="33">
        <f>'Wheighing Board August 2016'!O147</f>
        <v>0</v>
      </c>
    </row>
    <row r="146" spans="1:13" ht="23.25" x14ac:dyDescent="0.25">
      <c r="A146" s="234">
        <f>'Wheighing Board August 2016'!A148</f>
        <v>0</v>
      </c>
      <c r="B146" s="234">
        <f>'Wheighing Board August 2016'!B148</f>
        <v>0</v>
      </c>
      <c r="C146" s="33">
        <f>'Wheighing Board August 2016'!C148</f>
        <v>0</v>
      </c>
      <c r="D146" s="33">
        <f>'Wheighing Board August 2016'!D148</f>
        <v>0</v>
      </c>
      <c r="E146" s="33">
        <f>'Wheighing Board August 2016'!E148</f>
        <v>0</v>
      </c>
      <c r="F146" s="235">
        <f>'Wheighing Board August 2016'!F148</f>
        <v>0</v>
      </c>
      <c r="G146" s="33">
        <f>'Wheighing Board August 2016'!G148</f>
        <v>0</v>
      </c>
      <c r="H146" s="33">
        <f>'Wheighing Board August 2016'!H148</f>
        <v>0</v>
      </c>
      <c r="I146" s="33">
        <f>'Wheighing Board August 2016'!K148</f>
        <v>0</v>
      </c>
      <c r="J146" s="33">
        <f>'Wheighing Board August 2016'!L148</f>
        <v>0</v>
      </c>
      <c r="K146" s="33">
        <f>'Wheighing Board August 2016'!M148</f>
        <v>0</v>
      </c>
      <c r="L146" s="33">
        <f>'Wheighing Board August 2016'!N148</f>
        <v>0</v>
      </c>
      <c r="M146" s="33">
        <f>'Wheighing Board August 2016'!O148</f>
        <v>0</v>
      </c>
    </row>
    <row r="147" spans="1:13" ht="23.25" x14ac:dyDescent="0.25">
      <c r="A147" s="234">
        <f>'Wheighing Board August 2016'!A149</f>
        <v>0</v>
      </c>
      <c r="B147" s="234">
        <f>'Wheighing Board August 2016'!B149</f>
        <v>0</v>
      </c>
      <c r="C147" s="33">
        <f>'Wheighing Board August 2016'!C149</f>
        <v>0</v>
      </c>
      <c r="D147" s="33">
        <f>'Wheighing Board August 2016'!D149</f>
        <v>0</v>
      </c>
      <c r="E147" s="33">
        <f>'Wheighing Board August 2016'!E149</f>
        <v>0</v>
      </c>
      <c r="F147" s="235">
        <f>'Wheighing Board August 2016'!F149</f>
        <v>0</v>
      </c>
      <c r="G147" s="33">
        <f>'Wheighing Board August 2016'!G149</f>
        <v>0</v>
      </c>
      <c r="H147" s="33">
        <f>'Wheighing Board August 2016'!H149</f>
        <v>0</v>
      </c>
      <c r="I147" s="33">
        <f>'Wheighing Board August 2016'!K149</f>
        <v>0</v>
      </c>
      <c r="J147" s="33">
        <f>'Wheighing Board August 2016'!L149</f>
        <v>0</v>
      </c>
      <c r="K147" s="33">
        <f>'Wheighing Board August 2016'!M149</f>
        <v>0</v>
      </c>
      <c r="L147" s="33">
        <f>'Wheighing Board August 2016'!N149</f>
        <v>0</v>
      </c>
      <c r="M147" s="33">
        <f>'Wheighing Board August 2016'!O149</f>
        <v>0</v>
      </c>
    </row>
    <row r="148" spans="1:13" ht="23.25" x14ac:dyDescent="0.25">
      <c r="A148" s="234">
        <f>'Wheighing Board August 2016'!A150</f>
        <v>0</v>
      </c>
      <c r="B148" s="234">
        <f>'Wheighing Board August 2016'!B150</f>
        <v>0</v>
      </c>
      <c r="C148" s="33">
        <f>'Wheighing Board August 2016'!C150</f>
        <v>0</v>
      </c>
      <c r="D148" s="33">
        <f>'Wheighing Board August 2016'!D150</f>
        <v>0</v>
      </c>
      <c r="E148" s="33">
        <f>'Wheighing Board August 2016'!E150</f>
        <v>0</v>
      </c>
      <c r="F148" s="235">
        <f>'Wheighing Board August 2016'!F150</f>
        <v>0</v>
      </c>
      <c r="G148" s="33">
        <f>'Wheighing Board August 2016'!G150</f>
        <v>0</v>
      </c>
      <c r="H148" s="33">
        <f>'Wheighing Board August 2016'!H150</f>
        <v>0</v>
      </c>
      <c r="I148" s="33">
        <f>'Wheighing Board August 2016'!K150</f>
        <v>0</v>
      </c>
      <c r="J148" s="33">
        <f>'Wheighing Board August 2016'!L150</f>
        <v>0</v>
      </c>
      <c r="K148" s="33">
        <f>'Wheighing Board August 2016'!M150</f>
        <v>0</v>
      </c>
      <c r="L148" s="33">
        <f>'Wheighing Board August 2016'!N150</f>
        <v>0</v>
      </c>
      <c r="M148" s="33">
        <f>'Wheighing Board August 2016'!O150</f>
        <v>0</v>
      </c>
    </row>
    <row r="149" spans="1:13" ht="23.25" x14ac:dyDescent="0.25">
      <c r="A149" s="234">
        <f>'Wheighing Board August 2016'!A151</f>
        <v>0</v>
      </c>
      <c r="B149" s="234">
        <f>'Wheighing Board August 2016'!B151</f>
        <v>0</v>
      </c>
      <c r="C149" s="33">
        <f>'Wheighing Board August 2016'!C151</f>
        <v>0</v>
      </c>
      <c r="D149" s="33">
        <f>'Wheighing Board August 2016'!D151</f>
        <v>0</v>
      </c>
      <c r="E149" s="33">
        <f>'Wheighing Board August 2016'!E151</f>
        <v>0</v>
      </c>
      <c r="F149" s="235">
        <f>'Wheighing Board August 2016'!F151</f>
        <v>0</v>
      </c>
      <c r="G149" s="33">
        <f>'Wheighing Board August 2016'!G151</f>
        <v>0</v>
      </c>
      <c r="H149" s="33">
        <f>'Wheighing Board August 2016'!H151</f>
        <v>0</v>
      </c>
      <c r="I149" s="33">
        <f>'Wheighing Board August 2016'!K151</f>
        <v>0</v>
      </c>
      <c r="J149" s="33">
        <f>'Wheighing Board August 2016'!L151</f>
        <v>0</v>
      </c>
      <c r="K149" s="33">
        <f>'Wheighing Board August 2016'!M151</f>
        <v>0</v>
      </c>
      <c r="L149" s="33">
        <f>'Wheighing Board August 2016'!N151</f>
        <v>0</v>
      </c>
      <c r="M149" s="33">
        <f>'Wheighing Board August 2016'!O151</f>
        <v>0</v>
      </c>
    </row>
    <row r="150" spans="1:13" ht="23.25" x14ac:dyDescent="0.25">
      <c r="A150" s="234">
        <f>'Wheighing Board August 2016'!A152</f>
        <v>0</v>
      </c>
      <c r="B150" s="234">
        <f>'Wheighing Board August 2016'!B152</f>
        <v>0</v>
      </c>
      <c r="C150" s="33">
        <f>'Wheighing Board August 2016'!C152</f>
        <v>0</v>
      </c>
      <c r="D150" s="33">
        <f>'Wheighing Board August 2016'!D152</f>
        <v>0</v>
      </c>
      <c r="E150" s="33">
        <f>'Wheighing Board August 2016'!E152</f>
        <v>0</v>
      </c>
      <c r="F150" s="235">
        <f>'Wheighing Board August 2016'!F152</f>
        <v>0</v>
      </c>
      <c r="G150" s="33">
        <f>'Wheighing Board August 2016'!G152</f>
        <v>0</v>
      </c>
      <c r="H150" s="33">
        <f>'Wheighing Board August 2016'!H152</f>
        <v>0</v>
      </c>
      <c r="I150" s="33">
        <f>'Wheighing Board August 2016'!K152</f>
        <v>0</v>
      </c>
      <c r="J150" s="33">
        <f>'Wheighing Board August 2016'!L152</f>
        <v>0</v>
      </c>
      <c r="K150" s="33">
        <f>'Wheighing Board August 2016'!M152</f>
        <v>0</v>
      </c>
      <c r="L150" s="33">
        <f>'Wheighing Board August 2016'!N152</f>
        <v>0</v>
      </c>
      <c r="M150" s="33">
        <f>'Wheighing Board August 2016'!O152</f>
        <v>0</v>
      </c>
    </row>
    <row r="151" spans="1:13" ht="23.25" x14ac:dyDescent="0.25">
      <c r="A151" s="234">
        <f>'Wheighing Board August 2016'!A153</f>
        <v>0</v>
      </c>
      <c r="B151" s="234">
        <f>'Wheighing Board August 2016'!B153</f>
        <v>0</v>
      </c>
      <c r="C151" s="33">
        <f>'Wheighing Board August 2016'!C153</f>
        <v>0</v>
      </c>
      <c r="D151" s="33">
        <f>'Wheighing Board August 2016'!D153</f>
        <v>0</v>
      </c>
      <c r="E151" s="33">
        <f>'Wheighing Board August 2016'!E153</f>
        <v>0</v>
      </c>
      <c r="F151" s="235">
        <f>'Wheighing Board August 2016'!F153</f>
        <v>0</v>
      </c>
      <c r="G151" s="33">
        <f>'Wheighing Board August 2016'!G153</f>
        <v>0</v>
      </c>
      <c r="H151" s="33">
        <f>'Wheighing Board August 2016'!H153</f>
        <v>0</v>
      </c>
      <c r="I151" s="33">
        <f>'Wheighing Board August 2016'!K153</f>
        <v>0</v>
      </c>
      <c r="J151" s="33">
        <f>'Wheighing Board August 2016'!L153</f>
        <v>0</v>
      </c>
      <c r="K151" s="33">
        <f>'Wheighing Board August 2016'!M153</f>
        <v>0</v>
      </c>
      <c r="L151" s="33">
        <f>'Wheighing Board August 2016'!N153</f>
        <v>0</v>
      </c>
      <c r="M151" s="33">
        <f>'Wheighing Board August 2016'!O153</f>
        <v>0</v>
      </c>
    </row>
    <row r="152" spans="1:13" ht="23.25" x14ac:dyDescent="0.25">
      <c r="A152" s="234">
        <f>'Wheighing Board August 2016'!A154</f>
        <v>0</v>
      </c>
      <c r="B152" s="234">
        <f>'Wheighing Board August 2016'!B154</f>
        <v>0</v>
      </c>
      <c r="C152" s="33">
        <f>'Wheighing Board August 2016'!C154</f>
        <v>0</v>
      </c>
      <c r="D152" s="33">
        <f>'Wheighing Board August 2016'!D154</f>
        <v>0</v>
      </c>
      <c r="E152" s="33">
        <f>'Wheighing Board August 2016'!E154</f>
        <v>0</v>
      </c>
      <c r="F152" s="235">
        <f>'Wheighing Board August 2016'!F154</f>
        <v>0</v>
      </c>
      <c r="G152" s="33">
        <f>'Wheighing Board August 2016'!G154</f>
        <v>0</v>
      </c>
      <c r="H152" s="33">
        <f>'Wheighing Board August 2016'!H154</f>
        <v>0</v>
      </c>
      <c r="I152" s="33">
        <f>'Wheighing Board August 2016'!K154</f>
        <v>0</v>
      </c>
      <c r="J152" s="33">
        <f>'Wheighing Board August 2016'!L154</f>
        <v>0</v>
      </c>
      <c r="K152" s="33">
        <f>'Wheighing Board August 2016'!M154</f>
        <v>0</v>
      </c>
      <c r="L152" s="33">
        <f>'Wheighing Board August 2016'!N154</f>
        <v>0</v>
      </c>
      <c r="M152" s="33">
        <f>'Wheighing Board August 2016'!O154</f>
        <v>0</v>
      </c>
    </row>
    <row r="153" spans="1:13" ht="23.25" x14ac:dyDescent="0.25">
      <c r="A153" s="234">
        <f>'Wheighing Board August 2016'!A155</f>
        <v>0</v>
      </c>
      <c r="B153" s="234">
        <f>'Wheighing Board August 2016'!B155</f>
        <v>0</v>
      </c>
      <c r="C153" s="33">
        <f>'Wheighing Board August 2016'!C155</f>
        <v>0</v>
      </c>
      <c r="D153" s="33">
        <f>'Wheighing Board August 2016'!D155</f>
        <v>0</v>
      </c>
      <c r="E153" s="33">
        <f>'Wheighing Board August 2016'!E155</f>
        <v>0</v>
      </c>
      <c r="F153" s="235">
        <f>'Wheighing Board August 2016'!F155</f>
        <v>0</v>
      </c>
      <c r="G153" s="33">
        <f>'Wheighing Board August 2016'!G155</f>
        <v>0</v>
      </c>
      <c r="H153" s="33">
        <f>'Wheighing Board August 2016'!H155</f>
        <v>0</v>
      </c>
      <c r="I153" s="33">
        <f>'Wheighing Board August 2016'!K155</f>
        <v>0</v>
      </c>
      <c r="J153" s="33">
        <f>'Wheighing Board August 2016'!L155</f>
        <v>0</v>
      </c>
      <c r="K153" s="33">
        <f>'Wheighing Board August 2016'!M155</f>
        <v>0</v>
      </c>
      <c r="L153" s="33">
        <f>'Wheighing Board August 2016'!N155</f>
        <v>0</v>
      </c>
      <c r="M153" s="33">
        <f>'Wheighing Board August 2016'!O155</f>
        <v>0</v>
      </c>
    </row>
    <row r="154" spans="1:13" ht="23.25" x14ac:dyDescent="0.25">
      <c r="A154" s="234">
        <f>'Wheighing Board August 2016'!A156</f>
        <v>0</v>
      </c>
      <c r="B154" s="234">
        <f>'Wheighing Board August 2016'!B156</f>
        <v>0</v>
      </c>
      <c r="C154" s="33">
        <f>'Wheighing Board August 2016'!C156</f>
        <v>0</v>
      </c>
      <c r="D154" s="33">
        <f>'Wheighing Board August 2016'!D156</f>
        <v>0</v>
      </c>
      <c r="E154" s="33">
        <f>'Wheighing Board August 2016'!E156</f>
        <v>0</v>
      </c>
      <c r="F154" s="235">
        <f>'Wheighing Board August 2016'!F156</f>
        <v>0</v>
      </c>
      <c r="G154" s="33">
        <f>'Wheighing Board August 2016'!G156</f>
        <v>0</v>
      </c>
      <c r="H154" s="33">
        <f>'Wheighing Board August 2016'!H156</f>
        <v>0</v>
      </c>
      <c r="I154" s="33">
        <f>'Wheighing Board August 2016'!K156</f>
        <v>0</v>
      </c>
      <c r="J154" s="33">
        <f>'Wheighing Board August 2016'!L156</f>
        <v>0</v>
      </c>
      <c r="K154" s="33">
        <f>'Wheighing Board August 2016'!M156</f>
        <v>0</v>
      </c>
      <c r="L154" s="33">
        <f>'Wheighing Board August 2016'!N156</f>
        <v>0</v>
      </c>
      <c r="M154" s="33">
        <f>'Wheighing Board August 2016'!O156</f>
        <v>0</v>
      </c>
    </row>
    <row r="155" spans="1:13" ht="23.25" x14ac:dyDescent="0.25">
      <c r="A155" s="234">
        <f>'Wheighing Board August 2016'!A157</f>
        <v>0</v>
      </c>
      <c r="B155" s="234">
        <f>'Wheighing Board August 2016'!B157</f>
        <v>0</v>
      </c>
      <c r="C155" s="33">
        <f>'Wheighing Board August 2016'!C157</f>
        <v>0</v>
      </c>
      <c r="D155" s="33">
        <f>'Wheighing Board August 2016'!D157</f>
        <v>0</v>
      </c>
      <c r="E155" s="33">
        <f>'Wheighing Board August 2016'!E157</f>
        <v>0</v>
      </c>
      <c r="F155" s="235">
        <f>'Wheighing Board August 2016'!F157</f>
        <v>0</v>
      </c>
      <c r="G155" s="33">
        <f>'Wheighing Board August 2016'!G157</f>
        <v>0</v>
      </c>
      <c r="H155" s="33">
        <f>'Wheighing Board August 2016'!H157</f>
        <v>0</v>
      </c>
      <c r="I155" s="33">
        <f>'Wheighing Board August 2016'!K157</f>
        <v>0</v>
      </c>
      <c r="J155" s="33">
        <f>'Wheighing Board August 2016'!L157</f>
        <v>0</v>
      </c>
      <c r="K155" s="33">
        <f>'Wheighing Board August 2016'!M157</f>
        <v>0</v>
      </c>
      <c r="L155" s="33">
        <f>'Wheighing Board August 2016'!N157</f>
        <v>0</v>
      </c>
      <c r="M155" s="33">
        <f>'Wheighing Board August 2016'!O157</f>
        <v>0</v>
      </c>
    </row>
    <row r="156" spans="1:13" ht="23.25" x14ac:dyDescent="0.25">
      <c r="A156" s="234">
        <f>'Wheighing Board August 2016'!A158</f>
        <v>0</v>
      </c>
      <c r="B156" s="234">
        <f>'Wheighing Board August 2016'!B158</f>
        <v>0</v>
      </c>
      <c r="C156" s="33">
        <f>'Wheighing Board August 2016'!C158</f>
        <v>0</v>
      </c>
      <c r="D156" s="33">
        <f>'Wheighing Board August 2016'!D158</f>
        <v>0</v>
      </c>
      <c r="E156" s="33">
        <f>'Wheighing Board August 2016'!E158</f>
        <v>0</v>
      </c>
      <c r="F156" s="235">
        <f>'Wheighing Board August 2016'!F158</f>
        <v>0</v>
      </c>
      <c r="G156" s="33">
        <f>'Wheighing Board August 2016'!G158</f>
        <v>0</v>
      </c>
      <c r="H156" s="33">
        <f>'Wheighing Board August 2016'!H158</f>
        <v>0</v>
      </c>
      <c r="I156" s="33">
        <f>'Wheighing Board August 2016'!K158</f>
        <v>0</v>
      </c>
      <c r="J156" s="33">
        <f>'Wheighing Board August 2016'!L158</f>
        <v>0</v>
      </c>
      <c r="K156" s="33">
        <f>'Wheighing Board August 2016'!M158</f>
        <v>0</v>
      </c>
      <c r="L156" s="33">
        <f>'Wheighing Board August 2016'!N158</f>
        <v>0</v>
      </c>
      <c r="M156" s="33">
        <f>'Wheighing Board August 2016'!O158</f>
        <v>0</v>
      </c>
    </row>
    <row r="157" spans="1:13" ht="23.25" x14ac:dyDescent="0.25">
      <c r="A157" s="234">
        <f>'Wheighing Board August 2016'!A159</f>
        <v>0</v>
      </c>
      <c r="B157" s="234">
        <f>'Wheighing Board August 2016'!B159</f>
        <v>0</v>
      </c>
      <c r="C157" s="33">
        <f>'Wheighing Board August 2016'!C159</f>
        <v>0</v>
      </c>
      <c r="D157" s="33">
        <f>'Wheighing Board August 2016'!D159</f>
        <v>0</v>
      </c>
      <c r="E157" s="33">
        <f>'Wheighing Board August 2016'!E159</f>
        <v>0</v>
      </c>
      <c r="F157" s="235">
        <f>'Wheighing Board August 2016'!F159</f>
        <v>0</v>
      </c>
      <c r="G157" s="33">
        <f>'Wheighing Board August 2016'!G159</f>
        <v>0</v>
      </c>
      <c r="H157" s="33">
        <f>'Wheighing Board August 2016'!H159</f>
        <v>0</v>
      </c>
      <c r="I157" s="33">
        <f>'Wheighing Board August 2016'!K159</f>
        <v>0</v>
      </c>
      <c r="J157" s="33">
        <f>'Wheighing Board August 2016'!L159</f>
        <v>0</v>
      </c>
      <c r="K157" s="33">
        <f>'Wheighing Board August 2016'!M159</f>
        <v>0</v>
      </c>
      <c r="L157" s="33">
        <f>'Wheighing Board August 2016'!N159</f>
        <v>0</v>
      </c>
      <c r="M157" s="33">
        <f>'Wheighing Board August 2016'!O159</f>
        <v>0</v>
      </c>
    </row>
    <row r="158" spans="1:13" ht="23.25" x14ac:dyDescent="0.25">
      <c r="A158" s="234">
        <f>'Wheighing Board August 2016'!A160</f>
        <v>0</v>
      </c>
      <c r="B158" s="234">
        <f>'Wheighing Board August 2016'!B160</f>
        <v>0</v>
      </c>
      <c r="C158" s="33">
        <f>'Wheighing Board August 2016'!C160</f>
        <v>0</v>
      </c>
      <c r="D158" s="33">
        <f>'Wheighing Board August 2016'!D160</f>
        <v>0</v>
      </c>
      <c r="E158" s="33">
        <f>'Wheighing Board August 2016'!E160</f>
        <v>0</v>
      </c>
      <c r="F158" s="235">
        <f>'Wheighing Board August 2016'!F160</f>
        <v>0</v>
      </c>
      <c r="G158" s="33">
        <f>'Wheighing Board August 2016'!G160</f>
        <v>0</v>
      </c>
      <c r="H158" s="33">
        <f>'Wheighing Board August 2016'!H160</f>
        <v>0</v>
      </c>
      <c r="I158" s="33">
        <f>'Wheighing Board August 2016'!K160</f>
        <v>0</v>
      </c>
      <c r="J158" s="33">
        <f>'Wheighing Board August 2016'!L160</f>
        <v>0</v>
      </c>
      <c r="K158" s="33">
        <f>'Wheighing Board August 2016'!M160</f>
        <v>0</v>
      </c>
      <c r="L158" s="33">
        <f>'Wheighing Board August 2016'!N160</f>
        <v>0</v>
      </c>
      <c r="M158" s="33">
        <f>'Wheighing Board August 2016'!O160</f>
        <v>0</v>
      </c>
    </row>
    <row r="159" spans="1:13" ht="23.25" x14ac:dyDescent="0.25">
      <c r="A159" s="234">
        <f>'Wheighing Board August 2016'!A161</f>
        <v>0</v>
      </c>
      <c r="B159" s="234">
        <f>'Wheighing Board August 2016'!B161</f>
        <v>0</v>
      </c>
      <c r="C159" s="33">
        <f>'Wheighing Board August 2016'!C161</f>
        <v>0</v>
      </c>
      <c r="D159" s="33">
        <f>'Wheighing Board August 2016'!D161</f>
        <v>0</v>
      </c>
      <c r="E159" s="33">
        <f>'Wheighing Board August 2016'!E161</f>
        <v>0</v>
      </c>
      <c r="F159" s="235">
        <f>'Wheighing Board August 2016'!F161</f>
        <v>0</v>
      </c>
      <c r="G159" s="33">
        <f>'Wheighing Board August 2016'!G161</f>
        <v>0</v>
      </c>
      <c r="H159" s="33">
        <f>'Wheighing Board August 2016'!H161</f>
        <v>0</v>
      </c>
      <c r="I159" s="33">
        <f>'Wheighing Board August 2016'!K161</f>
        <v>0</v>
      </c>
      <c r="J159" s="33">
        <f>'Wheighing Board August 2016'!L161</f>
        <v>0</v>
      </c>
      <c r="K159" s="33">
        <f>'Wheighing Board August 2016'!M161</f>
        <v>0</v>
      </c>
      <c r="L159" s="33">
        <f>'Wheighing Board August 2016'!N161</f>
        <v>0</v>
      </c>
      <c r="M159" s="33">
        <f>'Wheighing Board August 2016'!O161</f>
        <v>0</v>
      </c>
    </row>
    <row r="160" spans="1:13" ht="23.25" x14ac:dyDescent="0.25">
      <c r="A160" s="234">
        <f>'Wheighing Board August 2016'!A162</f>
        <v>0</v>
      </c>
      <c r="B160" s="234">
        <f>'Wheighing Board August 2016'!B162</f>
        <v>0</v>
      </c>
      <c r="C160" s="33">
        <f>'Wheighing Board August 2016'!C162</f>
        <v>0</v>
      </c>
      <c r="D160" s="33">
        <f>'Wheighing Board August 2016'!D162</f>
        <v>0</v>
      </c>
      <c r="E160" s="33">
        <f>'Wheighing Board August 2016'!E162</f>
        <v>0</v>
      </c>
      <c r="F160" s="235">
        <f>'Wheighing Board August 2016'!F162</f>
        <v>0</v>
      </c>
      <c r="G160" s="33">
        <f>'Wheighing Board August 2016'!G162</f>
        <v>0</v>
      </c>
      <c r="H160" s="33">
        <f>'Wheighing Board August 2016'!H162</f>
        <v>0</v>
      </c>
      <c r="I160" s="33">
        <f>'Wheighing Board August 2016'!K162</f>
        <v>0</v>
      </c>
      <c r="J160" s="33">
        <f>'Wheighing Board August 2016'!L162</f>
        <v>0</v>
      </c>
      <c r="K160" s="33">
        <f>'Wheighing Board August 2016'!M162</f>
        <v>0</v>
      </c>
      <c r="L160" s="33">
        <f>'Wheighing Board August 2016'!N162</f>
        <v>0</v>
      </c>
      <c r="M160" s="33">
        <f>'Wheighing Board August 2016'!O162</f>
        <v>0</v>
      </c>
    </row>
    <row r="161" spans="1:13" ht="23.25" x14ac:dyDescent="0.25">
      <c r="A161" s="234">
        <f>'Wheighing Board August 2016'!A163</f>
        <v>0</v>
      </c>
      <c r="B161" s="234">
        <f>'Wheighing Board August 2016'!B163</f>
        <v>0</v>
      </c>
      <c r="C161" s="33">
        <f>'Wheighing Board August 2016'!C163</f>
        <v>0</v>
      </c>
      <c r="D161" s="33">
        <f>'Wheighing Board August 2016'!D163</f>
        <v>0</v>
      </c>
      <c r="E161" s="33">
        <f>'Wheighing Board August 2016'!E163</f>
        <v>0</v>
      </c>
      <c r="F161" s="235">
        <f>'Wheighing Board August 2016'!F163</f>
        <v>0</v>
      </c>
      <c r="G161" s="33">
        <f>'Wheighing Board August 2016'!G163</f>
        <v>0</v>
      </c>
      <c r="H161" s="33">
        <f>'Wheighing Board August 2016'!H163</f>
        <v>0</v>
      </c>
      <c r="I161" s="33">
        <f>'Wheighing Board August 2016'!K163</f>
        <v>0</v>
      </c>
      <c r="J161" s="33">
        <f>'Wheighing Board August 2016'!L163</f>
        <v>0</v>
      </c>
      <c r="K161" s="33">
        <f>'Wheighing Board August 2016'!M163</f>
        <v>0</v>
      </c>
      <c r="L161" s="33">
        <f>'Wheighing Board August 2016'!N163</f>
        <v>0</v>
      </c>
      <c r="M161" s="33">
        <f>'Wheighing Board August 2016'!O163</f>
        <v>0</v>
      </c>
    </row>
    <row r="162" spans="1:13" ht="23.25" x14ac:dyDescent="0.25">
      <c r="A162" s="234">
        <f>'Wheighing Board August 2016'!A164</f>
        <v>0</v>
      </c>
      <c r="B162" s="234">
        <f>'Wheighing Board August 2016'!B164</f>
        <v>0</v>
      </c>
      <c r="C162" s="33">
        <f>'Wheighing Board August 2016'!C164</f>
        <v>0</v>
      </c>
      <c r="D162" s="33">
        <f>'Wheighing Board August 2016'!D164</f>
        <v>0</v>
      </c>
      <c r="E162" s="33">
        <f>'Wheighing Board August 2016'!E164</f>
        <v>0</v>
      </c>
      <c r="F162" s="235">
        <f>'Wheighing Board August 2016'!F164</f>
        <v>0</v>
      </c>
      <c r="G162" s="33">
        <f>'Wheighing Board August 2016'!G164</f>
        <v>0</v>
      </c>
      <c r="H162" s="33">
        <f>'Wheighing Board August 2016'!H164</f>
        <v>0</v>
      </c>
      <c r="I162" s="33">
        <f>'Wheighing Board August 2016'!K164</f>
        <v>0</v>
      </c>
      <c r="J162" s="33">
        <f>'Wheighing Board August 2016'!L164</f>
        <v>0</v>
      </c>
      <c r="K162" s="33">
        <f>'Wheighing Board August 2016'!M164</f>
        <v>0</v>
      </c>
      <c r="L162" s="33">
        <f>'Wheighing Board August 2016'!N164</f>
        <v>0</v>
      </c>
      <c r="M162" s="33">
        <f>'Wheighing Board August 2016'!O164</f>
        <v>0</v>
      </c>
    </row>
    <row r="163" spans="1:13" ht="23.25" x14ac:dyDescent="0.25">
      <c r="A163" s="234">
        <f>'Wheighing Board August 2016'!A165</f>
        <v>0</v>
      </c>
      <c r="B163" s="234">
        <f>'Wheighing Board August 2016'!B165</f>
        <v>0</v>
      </c>
      <c r="C163" s="33">
        <f>'Wheighing Board August 2016'!C165</f>
        <v>0</v>
      </c>
      <c r="D163" s="33">
        <f>'Wheighing Board August 2016'!D165</f>
        <v>0</v>
      </c>
      <c r="E163" s="33">
        <f>'Wheighing Board August 2016'!E165</f>
        <v>0</v>
      </c>
      <c r="F163" s="235">
        <f>'Wheighing Board August 2016'!F165</f>
        <v>0</v>
      </c>
      <c r="G163" s="33">
        <f>'Wheighing Board August 2016'!G165</f>
        <v>0</v>
      </c>
      <c r="H163" s="33">
        <f>'Wheighing Board August 2016'!H165</f>
        <v>0</v>
      </c>
      <c r="I163" s="33">
        <f>'Wheighing Board August 2016'!K165</f>
        <v>0</v>
      </c>
      <c r="J163" s="33">
        <f>'Wheighing Board August 2016'!L165</f>
        <v>0</v>
      </c>
      <c r="K163" s="33">
        <f>'Wheighing Board August 2016'!M165</f>
        <v>0</v>
      </c>
      <c r="L163" s="33">
        <f>'Wheighing Board August 2016'!N165</f>
        <v>0</v>
      </c>
      <c r="M163" s="33">
        <f>'Wheighing Board August 2016'!O165</f>
        <v>0</v>
      </c>
    </row>
    <row r="164" spans="1:13" ht="23.25" x14ac:dyDescent="0.25">
      <c r="A164" s="234">
        <f>'Wheighing Board August 2016'!A166</f>
        <v>0</v>
      </c>
      <c r="B164" s="234">
        <f>'Wheighing Board August 2016'!B166</f>
        <v>0</v>
      </c>
      <c r="C164" s="33">
        <f>'Wheighing Board August 2016'!C166</f>
        <v>0</v>
      </c>
      <c r="D164" s="33">
        <f>'Wheighing Board August 2016'!D166</f>
        <v>0</v>
      </c>
      <c r="E164" s="33">
        <f>'Wheighing Board August 2016'!E166</f>
        <v>0</v>
      </c>
      <c r="F164" s="235">
        <f>'Wheighing Board August 2016'!F166</f>
        <v>0</v>
      </c>
      <c r="G164" s="33">
        <f>'Wheighing Board August 2016'!G166</f>
        <v>0</v>
      </c>
      <c r="H164" s="33">
        <f>'Wheighing Board August 2016'!H166</f>
        <v>0</v>
      </c>
      <c r="I164" s="33">
        <f>'Wheighing Board August 2016'!K166</f>
        <v>0</v>
      </c>
      <c r="J164" s="33">
        <f>'Wheighing Board August 2016'!L166</f>
        <v>0</v>
      </c>
      <c r="K164" s="33">
        <f>'Wheighing Board August 2016'!M166</f>
        <v>0</v>
      </c>
      <c r="L164" s="33">
        <f>'Wheighing Board August 2016'!N166</f>
        <v>0</v>
      </c>
      <c r="M164" s="33">
        <f>'Wheighing Board August 2016'!O166</f>
        <v>0</v>
      </c>
    </row>
    <row r="165" spans="1:13" ht="23.25" x14ac:dyDescent="0.25">
      <c r="A165" s="234">
        <f>'Wheighing Board August 2016'!A167</f>
        <v>0</v>
      </c>
      <c r="B165" s="234">
        <f>'Wheighing Board August 2016'!B167</f>
        <v>0</v>
      </c>
      <c r="C165" s="33">
        <f>'Wheighing Board August 2016'!C167</f>
        <v>0</v>
      </c>
      <c r="D165" s="33">
        <f>'Wheighing Board August 2016'!D167</f>
        <v>0</v>
      </c>
      <c r="E165" s="33">
        <f>'Wheighing Board August 2016'!E167</f>
        <v>0</v>
      </c>
      <c r="F165" s="235">
        <f>'Wheighing Board August 2016'!F167</f>
        <v>0</v>
      </c>
      <c r="G165" s="33">
        <f>'Wheighing Board August 2016'!G167</f>
        <v>0</v>
      </c>
      <c r="H165" s="33">
        <f>'Wheighing Board August 2016'!H167</f>
        <v>0</v>
      </c>
      <c r="I165" s="33">
        <f>'Wheighing Board August 2016'!K167</f>
        <v>0</v>
      </c>
      <c r="J165" s="33">
        <f>'Wheighing Board August 2016'!L167</f>
        <v>0</v>
      </c>
      <c r="K165" s="33">
        <f>'Wheighing Board August 2016'!M167</f>
        <v>0</v>
      </c>
      <c r="L165" s="33">
        <f>'Wheighing Board August 2016'!N167</f>
        <v>0</v>
      </c>
      <c r="M165" s="33">
        <f>'Wheighing Board August 2016'!O167</f>
        <v>0</v>
      </c>
    </row>
    <row r="166" spans="1:13" ht="23.25" x14ac:dyDescent="0.25">
      <c r="A166" s="234">
        <f>'Wheighing Board August 2016'!A168</f>
        <v>0</v>
      </c>
      <c r="B166" s="234">
        <f>'Wheighing Board August 2016'!B168</f>
        <v>0</v>
      </c>
      <c r="C166" s="33">
        <f>'Wheighing Board August 2016'!C168</f>
        <v>0</v>
      </c>
      <c r="D166" s="33">
        <f>'Wheighing Board August 2016'!D168</f>
        <v>0</v>
      </c>
      <c r="E166" s="33">
        <f>'Wheighing Board August 2016'!E168</f>
        <v>0</v>
      </c>
      <c r="F166" s="235">
        <f>'Wheighing Board August 2016'!F168</f>
        <v>0</v>
      </c>
      <c r="G166" s="33">
        <f>'Wheighing Board August 2016'!G168</f>
        <v>0</v>
      </c>
      <c r="H166" s="33">
        <f>'Wheighing Board August 2016'!H168</f>
        <v>0</v>
      </c>
      <c r="I166" s="33">
        <f>'Wheighing Board August 2016'!K168</f>
        <v>0</v>
      </c>
      <c r="J166" s="33">
        <f>'Wheighing Board August 2016'!L168</f>
        <v>0</v>
      </c>
      <c r="K166" s="33">
        <f>'Wheighing Board August 2016'!M168</f>
        <v>0</v>
      </c>
      <c r="L166" s="33">
        <f>'Wheighing Board August 2016'!N168</f>
        <v>0</v>
      </c>
      <c r="M166" s="33">
        <f>'Wheighing Board August 2016'!O168</f>
        <v>0</v>
      </c>
    </row>
    <row r="167" spans="1:13" ht="23.25" x14ac:dyDescent="0.25">
      <c r="A167" s="234">
        <f>'Wheighing Board August 2016'!A169</f>
        <v>0</v>
      </c>
      <c r="B167" s="234">
        <f>'Wheighing Board August 2016'!B169</f>
        <v>0</v>
      </c>
      <c r="C167" s="33">
        <f>'Wheighing Board August 2016'!C169</f>
        <v>0</v>
      </c>
      <c r="D167" s="33">
        <f>'Wheighing Board August 2016'!D169</f>
        <v>0</v>
      </c>
      <c r="E167" s="33">
        <f>'Wheighing Board August 2016'!E169</f>
        <v>0</v>
      </c>
      <c r="F167" s="235">
        <f>'Wheighing Board August 2016'!F169</f>
        <v>0</v>
      </c>
      <c r="G167" s="33">
        <f>'Wheighing Board August 2016'!G169</f>
        <v>0</v>
      </c>
      <c r="H167" s="33">
        <f>'Wheighing Board August 2016'!H169</f>
        <v>0</v>
      </c>
      <c r="I167" s="33">
        <f>'Wheighing Board August 2016'!K169</f>
        <v>0</v>
      </c>
      <c r="J167" s="33">
        <f>'Wheighing Board August 2016'!L169</f>
        <v>0</v>
      </c>
      <c r="K167" s="33">
        <f>'Wheighing Board August 2016'!M169</f>
        <v>0</v>
      </c>
      <c r="L167" s="33">
        <f>'Wheighing Board August 2016'!N169</f>
        <v>0</v>
      </c>
      <c r="M167" s="33">
        <f>'Wheighing Board August 2016'!O169</f>
        <v>0</v>
      </c>
    </row>
    <row r="168" spans="1:13" ht="23.25" x14ac:dyDescent="0.25">
      <c r="A168" s="234">
        <f>'Wheighing Board August 2016'!A170</f>
        <v>0</v>
      </c>
      <c r="B168" s="234">
        <f>'Wheighing Board August 2016'!B170</f>
        <v>0</v>
      </c>
      <c r="C168" s="33">
        <f>'Wheighing Board August 2016'!C170</f>
        <v>0</v>
      </c>
      <c r="D168" s="33">
        <f>'Wheighing Board August 2016'!D170</f>
        <v>0</v>
      </c>
      <c r="E168" s="33">
        <f>'Wheighing Board August 2016'!E170</f>
        <v>0</v>
      </c>
      <c r="F168" s="235">
        <f>'Wheighing Board August 2016'!F170</f>
        <v>0</v>
      </c>
      <c r="G168" s="33">
        <f>'Wheighing Board August 2016'!G170</f>
        <v>0</v>
      </c>
      <c r="H168" s="33">
        <f>'Wheighing Board August 2016'!H170</f>
        <v>0</v>
      </c>
      <c r="I168" s="33">
        <f>'Wheighing Board August 2016'!K170</f>
        <v>0</v>
      </c>
      <c r="J168" s="33">
        <f>'Wheighing Board August 2016'!L170</f>
        <v>0</v>
      </c>
      <c r="K168" s="33">
        <f>'Wheighing Board August 2016'!M170</f>
        <v>0</v>
      </c>
      <c r="L168" s="33">
        <f>'Wheighing Board August 2016'!N170</f>
        <v>0</v>
      </c>
      <c r="M168" s="33">
        <f>'Wheighing Board August 2016'!O170</f>
        <v>0</v>
      </c>
    </row>
    <row r="169" spans="1:13" ht="23.25" x14ac:dyDescent="0.25">
      <c r="A169" s="234">
        <f>'Wheighing Board August 2016'!A171</f>
        <v>0</v>
      </c>
      <c r="B169" s="234">
        <f>'Wheighing Board August 2016'!B171</f>
        <v>0</v>
      </c>
      <c r="C169" s="33">
        <f>'Wheighing Board August 2016'!C171</f>
        <v>0</v>
      </c>
      <c r="D169" s="33">
        <f>'Wheighing Board August 2016'!D171</f>
        <v>0</v>
      </c>
      <c r="E169" s="33">
        <f>'Wheighing Board August 2016'!E171</f>
        <v>0</v>
      </c>
      <c r="F169" s="235">
        <f>'Wheighing Board August 2016'!F171</f>
        <v>0</v>
      </c>
      <c r="G169" s="33">
        <f>'Wheighing Board August 2016'!G171</f>
        <v>0</v>
      </c>
      <c r="H169" s="33">
        <f>'Wheighing Board August 2016'!H171</f>
        <v>0</v>
      </c>
      <c r="I169" s="33">
        <f>'Wheighing Board August 2016'!K171</f>
        <v>0</v>
      </c>
      <c r="J169" s="33">
        <f>'Wheighing Board August 2016'!L171</f>
        <v>0</v>
      </c>
      <c r="K169" s="33">
        <f>'Wheighing Board August 2016'!M171</f>
        <v>0</v>
      </c>
      <c r="L169" s="33">
        <f>'Wheighing Board August 2016'!N171</f>
        <v>0</v>
      </c>
      <c r="M169" s="33">
        <f>'Wheighing Board August 2016'!O171</f>
        <v>0</v>
      </c>
    </row>
    <row r="170" spans="1:13" ht="23.25" x14ac:dyDescent="0.25">
      <c r="A170" s="234">
        <f>'Wheighing Board August 2016'!A172</f>
        <v>0</v>
      </c>
      <c r="B170" s="234">
        <f>'Wheighing Board August 2016'!B172</f>
        <v>0</v>
      </c>
      <c r="C170" s="33">
        <f>'Wheighing Board August 2016'!C172</f>
        <v>0</v>
      </c>
      <c r="D170" s="33">
        <f>'Wheighing Board August 2016'!D172</f>
        <v>0</v>
      </c>
      <c r="E170" s="33">
        <f>'Wheighing Board August 2016'!E172</f>
        <v>0</v>
      </c>
      <c r="F170" s="235">
        <f>'Wheighing Board August 2016'!F172</f>
        <v>0</v>
      </c>
      <c r="G170" s="33">
        <f>'Wheighing Board August 2016'!G172</f>
        <v>0</v>
      </c>
      <c r="H170" s="33">
        <f>'Wheighing Board August 2016'!H172</f>
        <v>0</v>
      </c>
      <c r="I170" s="33">
        <f>'Wheighing Board August 2016'!K172</f>
        <v>0</v>
      </c>
      <c r="J170" s="33">
        <f>'Wheighing Board August 2016'!L172</f>
        <v>0</v>
      </c>
      <c r="K170" s="33">
        <f>'Wheighing Board August 2016'!M172</f>
        <v>0</v>
      </c>
      <c r="L170" s="33">
        <f>'Wheighing Board August 2016'!N172</f>
        <v>0</v>
      </c>
      <c r="M170" s="33">
        <f>'Wheighing Board August 2016'!O172</f>
        <v>0</v>
      </c>
    </row>
    <row r="171" spans="1:13" ht="23.25" x14ac:dyDescent="0.25">
      <c r="A171" s="234">
        <f>'Wheighing Board August 2016'!A173</f>
        <v>0</v>
      </c>
      <c r="B171" s="234">
        <f>'Wheighing Board August 2016'!B173</f>
        <v>0</v>
      </c>
      <c r="C171" s="33">
        <f>'Wheighing Board August 2016'!C173</f>
        <v>0</v>
      </c>
      <c r="D171" s="33">
        <f>'Wheighing Board August 2016'!D173</f>
        <v>0</v>
      </c>
      <c r="E171" s="33">
        <f>'Wheighing Board August 2016'!E173</f>
        <v>0</v>
      </c>
      <c r="F171" s="235">
        <f>'Wheighing Board August 2016'!F173</f>
        <v>0</v>
      </c>
      <c r="G171" s="33">
        <f>'Wheighing Board August 2016'!G173</f>
        <v>0</v>
      </c>
      <c r="H171" s="33">
        <f>'Wheighing Board August 2016'!H173</f>
        <v>0</v>
      </c>
      <c r="I171" s="33">
        <f>'Wheighing Board August 2016'!K173</f>
        <v>0</v>
      </c>
      <c r="J171" s="33">
        <f>'Wheighing Board August 2016'!L173</f>
        <v>0</v>
      </c>
      <c r="K171" s="33">
        <f>'Wheighing Board August 2016'!M173</f>
        <v>0</v>
      </c>
      <c r="L171" s="33">
        <f>'Wheighing Board August 2016'!N173</f>
        <v>0</v>
      </c>
      <c r="M171" s="33">
        <f>'Wheighing Board August 2016'!O173</f>
        <v>0</v>
      </c>
    </row>
    <row r="172" spans="1:13" ht="23.25" x14ac:dyDescent="0.25">
      <c r="A172" s="234">
        <f>'Wheighing Board August 2016'!A174</f>
        <v>0</v>
      </c>
      <c r="B172" s="234">
        <f>'Wheighing Board August 2016'!B174</f>
        <v>0</v>
      </c>
      <c r="C172" s="33">
        <f>'Wheighing Board August 2016'!C174</f>
        <v>0</v>
      </c>
      <c r="D172" s="33">
        <f>'Wheighing Board August 2016'!D174</f>
        <v>0</v>
      </c>
      <c r="E172" s="33">
        <f>'Wheighing Board August 2016'!E174</f>
        <v>0</v>
      </c>
      <c r="F172" s="235">
        <f>'Wheighing Board August 2016'!F174</f>
        <v>0</v>
      </c>
      <c r="G172" s="33">
        <f>'Wheighing Board August 2016'!G174</f>
        <v>0</v>
      </c>
      <c r="H172" s="33">
        <f>'Wheighing Board August 2016'!H174</f>
        <v>0</v>
      </c>
      <c r="I172" s="33">
        <f>'Wheighing Board August 2016'!K174</f>
        <v>0</v>
      </c>
      <c r="J172" s="33">
        <f>'Wheighing Board August 2016'!L174</f>
        <v>0</v>
      </c>
      <c r="K172" s="33">
        <f>'Wheighing Board August 2016'!M174</f>
        <v>0</v>
      </c>
      <c r="L172" s="33">
        <f>'Wheighing Board August 2016'!N174</f>
        <v>0</v>
      </c>
      <c r="M172" s="33">
        <f>'Wheighing Board August 2016'!O174</f>
        <v>0</v>
      </c>
    </row>
    <row r="173" spans="1:13" ht="23.25" x14ac:dyDescent="0.25">
      <c r="A173" s="234">
        <f>'Wheighing Board August 2016'!A175</f>
        <v>0</v>
      </c>
      <c r="B173" s="234">
        <f>'Wheighing Board August 2016'!B175</f>
        <v>0</v>
      </c>
      <c r="C173" s="33">
        <f>'Wheighing Board August 2016'!C175</f>
        <v>0</v>
      </c>
      <c r="D173" s="33">
        <f>'Wheighing Board August 2016'!D175</f>
        <v>0</v>
      </c>
      <c r="E173" s="33">
        <f>'Wheighing Board August 2016'!E175</f>
        <v>0</v>
      </c>
      <c r="F173" s="235">
        <f>'Wheighing Board August 2016'!F175</f>
        <v>0</v>
      </c>
      <c r="G173" s="33">
        <f>'Wheighing Board August 2016'!G175</f>
        <v>0</v>
      </c>
      <c r="H173" s="33">
        <f>'Wheighing Board August 2016'!H175</f>
        <v>0</v>
      </c>
      <c r="I173" s="33">
        <f>'Wheighing Board August 2016'!K175</f>
        <v>0</v>
      </c>
      <c r="J173" s="33">
        <f>'Wheighing Board August 2016'!L175</f>
        <v>0</v>
      </c>
      <c r="K173" s="33">
        <f>'Wheighing Board August 2016'!M175</f>
        <v>0</v>
      </c>
      <c r="L173" s="33">
        <f>'Wheighing Board August 2016'!N175</f>
        <v>0</v>
      </c>
      <c r="M173" s="33">
        <f>'Wheighing Board August 2016'!O175</f>
        <v>0</v>
      </c>
    </row>
    <row r="174" spans="1:13" ht="23.25" x14ac:dyDescent="0.25">
      <c r="A174" s="234">
        <f>'Wheighing Board August 2016'!A176</f>
        <v>0</v>
      </c>
      <c r="B174" s="234">
        <f>'Wheighing Board August 2016'!B176</f>
        <v>0</v>
      </c>
      <c r="C174" s="33">
        <f>'Wheighing Board August 2016'!C176</f>
        <v>0</v>
      </c>
      <c r="D174" s="33">
        <f>'Wheighing Board August 2016'!D176</f>
        <v>0</v>
      </c>
      <c r="E174" s="33">
        <f>'Wheighing Board August 2016'!E176</f>
        <v>0</v>
      </c>
      <c r="F174" s="235">
        <f>'Wheighing Board August 2016'!F176</f>
        <v>0</v>
      </c>
      <c r="G174" s="33">
        <f>'Wheighing Board August 2016'!G176</f>
        <v>0</v>
      </c>
      <c r="H174" s="33">
        <f>'Wheighing Board August 2016'!H176</f>
        <v>0</v>
      </c>
      <c r="I174" s="33">
        <f>'Wheighing Board August 2016'!K176</f>
        <v>0</v>
      </c>
      <c r="J174" s="33">
        <f>'Wheighing Board August 2016'!L176</f>
        <v>0</v>
      </c>
      <c r="K174" s="33">
        <f>'Wheighing Board August 2016'!M176</f>
        <v>0</v>
      </c>
      <c r="L174" s="33">
        <f>'Wheighing Board August 2016'!N176</f>
        <v>0</v>
      </c>
      <c r="M174" s="33">
        <f>'Wheighing Board August 2016'!O176</f>
        <v>0</v>
      </c>
    </row>
    <row r="175" spans="1:13" ht="23.25" x14ac:dyDescent="0.25">
      <c r="A175" s="234">
        <f>'Wheighing Board August 2016'!A177</f>
        <v>0</v>
      </c>
      <c r="B175" s="234">
        <f>'Wheighing Board August 2016'!B177</f>
        <v>0</v>
      </c>
      <c r="C175" s="33">
        <f>'Wheighing Board August 2016'!C177</f>
        <v>0</v>
      </c>
      <c r="D175" s="33">
        <f>'Wheighing Board August 2016'!D177</f>
        <v>0</v>
      </c>
      <c r="E175" s="33">
        <f>'Wheighing Board August 2016'!E177</f>
        <v>0</v>
      </c>
      <c r="F175" s="235">
        <f>'Wheighing Board August 2016'!F177</f>
        <v>0</v>
      </c>
      <c r="G175" s="33">
        <f>'Wheighing Board August 2016'!G177</f>
        <v>0</v>
      </c>
      <c r="H175" s="33">
        <f>'Wheighing Board August 2016'!H177</f>
        <v>0</v>
      </c>
      <c r="I175" s="33">
        <f>'Wheighing Board August 2016'!K177</f>
        <v>0</v>
      </c>
      <c r="J175" s="33">
        <f>'Wheighing Board August 2016'!L177</f>
        <v>0</v>
      </c>
      <c r="K175" s="33">
        <f>'Wheighing Board August 2016'!M177</f>
        <v>0</v>
      </c>
      <c r="L175" s="33">
        <f>'Wheighing Board August 2016'!N177</f>
        <v>0</v>
      </c>
      <c r="M175" s="33">
        <f>'Wheighing Board August 2016'!O177</f>
        <v>0</v>
      </c>
    </row>
    <row r="176" spans="1:13" ht="23.25" x14ac:dyDescent="0.25">
      <c r="A176" s="234">
        <f>'Wheighing Board August 2016'!A178</f>
        <v>0</v>
      </c>
      <c r="B176" s="234">
        <f>'Wheighing Board August 2016'!B178</f>
        <v>0</v>
      </c>
      <c r="C176" s="33">
        <f>'Wheighing Board August 2016'!C178</f>
        <v>0</v>
      </c>
      <c r="D176" s="33">
        <f>'Wheighing Board August 2016'!D178</f>
        <v>0</v>
      </c>
      <c r="E176" s="33">
        <f>'Wheighing Board August 2016'!E178</f>
        <v>0</v>
      </c>
      <c r="F176" s="235">
        <f>'Wheighing Board August 2016'!F178</f>
        <v>0</v>
      </c>
      <c r="G176" s="33">
        <f>'Wheighing Board August 2016'!G178</f>
        <v>0</v>
      </c>
      <c r="H176" s="33">
        <f>'Wheighing Board August 2016'!H178</f>
        <v>0</v>
      </c>
      <c r="I176" s="33">
        <f>'Wheighing Board August 2016'!K178</f>
        <v>0</v>
      </c>
      <c r="J176" s="33">
        <f>'Wheighing Board August 2016'!L178</f>
        <v>0</v>
      </c>
      <c r="K176" s="33">
        <f>'Wheighing Board August 2016'!M178</f>
        <v>0</v>
      </c>
      <c r="L176" s="33">
        <f>'Wheighing Board August 2016'!N178</f>
        <v>0</v>
      </c>
      <c r="M176" s="33">
        <f>'Wheighing Board August 2016'!O178</f>
        <v>0</v>
      </c>
    </row>
    <row r="177" spans="1:13" ht="23.25" x14ac:dyDescent="0.25">
      <c r="A177" s="234">
        <f>'Wheighing Board August 2016'!A179</f>
        <v>0</v>
      </c>
      <c r="B177" s="234">
        <f>'Wheighing Board August 2016'!B179</f>
        <v>0</v>
      </c>
      <c r="C177" s="33">
        <f>'Wheighing Board August 2016'!C179</f>
        <v>0</v>
      </c>
      <c r="D177" s="33">
        <f>'Wheighing Board August 2016'!D179</f>
        <v>0</v>
      </c>
      <c r="E177" s="33">
        <f>'Wheighing Board August 2016'!E179</f>
        <v>0</v>
      </c>
      <c r="F177" s="235">
        <f>'Wheighing Board August 2016'!F179</f>
        <v>0</v>
      </c>
      <c r="G177" s="33">
        <f>'Wheighing Board August 2016'!G179</f>
        <v>0</v>
      </c>
      <c r="H177" s="33">
        <f>'Wheighing Board August 2016'!H179</f>
        <v>0</v>
      </c>
      <c r="I177" s="33">
        <f>'Wheighing Board August 2016'!K179</f>
        <v>0</v>
      </c>
      <c r="J177" s="33">
        <f>'Wheighing Board August 2016'!L179</f>
        <v>0</v>
      </c>
      <c r="K177" s="33">
        <f>'Wheighing Board August 2016'!M179</f>
        <v>0</v>
      </c>
      <c r="L177" s="33">
        <f>'Wheighing Board August 2016'!N179</f>
        <v>0</v>
      </c>
      <c r="M177" s="33">
        <f>'Wheighing Board August 2016'!O179</f>
        <v>0</v>
      </c>
    </row>
    <row r="178" spans="1:13" ht="23.25" x14ac:dyDescent="0.25">
      <c r="A178" s="234">
        <f>'Wheighing Board August 2016'!A180</f>
        <v>0</v>
      </c>
      <c r="B178" s="234">
        <f>'Wheighing Board August 2016'!B180</f>
        <v>0</v>
      </c>
      <c r="C178" s="33">
        <f>'Wheighing Board August 2016'!C180</f>
        <v>0</v>
      </c>
      <c r="D178" s="33">
        <f>'Wheighing Board August 2016'!D180</f>
        <v>0</v>
      </c>
      <c r="E178" s="33">
        <f>'Wheighing Board August 2016'!E180</f>
        <v>0</v>
      </c>
      <c r="F178" s="235">
        <f>'Wheighing Board August 2016'!F180</f>
        <v>0</v>
      </c>
      <c r="G178" s="33">
        <f>'Wheighing Board August 2016'!G180</f>
        <v>0</v>
      </c>
      <c r="H178" s="33">
        <f>'Wheighing Board August 2016'!H180</f>
        <v>0</v>
      </c>
      <c r="I178" s="33">
        <f>'Wheighing Board August 2016'!K180</f>
        <v>0</v>
      </c>
      <c r="J178" s="33">
        <f>'Wheighing Board August 2016'!L180</f>
        <v>0</v>
      </c>
      <c r="K178" s="33">
        <f>'Wheighing Board August 2016'!M180</f>
        <v>0</v>
      </c>
      <c r="L178" s="33">
        <f>'Wheighing Board August 2016'!N180</f>
        <v>0</v>
      </c>
      <c r="M178" s="33">
        <f>'Wheighing Board August 2016'!O180</f>
        <v>0</v>
      </c>
    </row>
    <row r="179" spans="1:13" ht="23.25" x14ac:dyDescent="0.25">
      <c r="A179" s="234">
        <f>'Wheighing Board August 2016'!A181</f>
        <v>0</v>
      </c>
      <c r="B179" s="234">
        <f>'Wheighing Board August 2016'!B181</f>
        <v>0</v>
      </c>
      <c r="C179" s="33">
        <f>'Wheighing Board August 2016'!C181</f>
        <v>0</v>
      </c>
      <c r="D179" s="33">
        <f>'Wheighing Board August 2016'!D181</f>
        <v>0</v>
      </c>
      <c r="E179" s="33">
        <f>'Wheighing Board August 2016'!E181</f>
        <v>0</v>
      </c>
      <c r="F179" s="235">
        <f>'Wheighing Board August 2016'!F181</f>
        <v>0</v>
      </c>
      <c r="G179" s="33">
        <f>'Wheighing Board August 2016'!G181</f>
        <v>0</v>
      </c>
      <c r="H179" s="33">
        <f>'Wheighing Board August 2016'!H181</f>
        <v>0</v>
      </c>
      <c r="I179" s="33">
        <f>'Wheighing Board August 2016'!K181</f>
        <v>0</v>
      </c>
      <c r="J179" s="33">
        <f>'Wheighing Board August 2016'!L181</f>
        <v>0</v>
      </c>
      <c r="K179" s="33">
        <f>'Wheighing Board August 2016'!M181</f>
        <v>0</v>
      </c>
      <c r="L179" s="33">
        <f>'Wheighing Board August 2016'!N181</f>
        <v>0</v>
      </c>
      <c r="M179" s="33">
        <f>'Wheighing Board August 2016'!O181</f>
        <v>0</v>
      </c>
    </row>
    <row r="180" spans="1:13" ht="23.25" x14ac:dyDescent="0.25">
      <c r="A180" s="234">
        <f>'Wheighing Board August 2016'!A182</f>
        <v>0</v>
      </c>
      <c r="B180" s="234">
        <f>'Wheighing Board August 2016'!B182</f>
        <v>0</v>
      </c>
      <c r="C180" s="33">
        <f>'Wheighing Board August 2016'!C182</f>
        <v>0</v>
      </c>
      <c r="D180" s="33">
        <f>'Wheighing Board August 2016'!D182</f>
        <v>0</v>
      </c>
      <c r="E180" s="33">
        <f>'Wheighing Board August 2016'!E182</f>
        <v>0</v>
      </c>
      <c r="F180" s="235">
        <f>'Wheighing Board August 2016'!F182</f>
        <v>0</v>
      </c>
      <c r="G180" s="33">
        <f>'Wheighing Board August 2016'!G182</f>
        <v>0</v>
      </c>
      <c r="H180" s="33">
        <f>'Wheighing Board August 2016'!H182</f>
        <v>0</v>
      </c>
      <c r="I180" s="33">
        <f>'Wheighing Board August 2016'!K182</f>
        <v>0</v>
      </c>
      <c r="J180" s="33">
        <f>'Wheighing Board August 2016'!L182</f>
        <v>0</v>
      </c>
      <c r="K180" s="33">
        <f>'Wheighing Board August 2016'!M182</f>
        <v>0</v>
      </c>
      <c r="L180" s="33">
        <f>'Wheighing Board August 2016'!N182</f>
        <v>0</v>
      </c>
      <c r="M180" s="33">
        <f>'Wheighing Board August 2016'!O182</f>
        <v>0</v>
      </c>
    </row>
    <row r="181" spans="1:13" ht="23.25" x14ac:dyDescent="0.25">
      <c r="A181" s="234">
        <f>'Wheighing Board August 2016'!A183</f>
        <v>0</v>
      </c>
      <c r="B181" s="234">
        <f>'Wheighing Board August 2016'!B183</f>
        <v>0</v>
      </c>
      <c r="C181" s="33">
        <f>'Wheighing Board August 2016'!C183</f>
        <v>0</v>
      </c>
      <c r="D181" s="33">
        <f>'Wheighing Board August 2016'!D183</f>
        <v>0</v>
      </c>
      <c r="E181" s="33">
        <f>'Wheighing Board August 2016'!E183</f>
        <v>0</v>
      </c>
      <c r="F181" s="235">
        <f>'Wheighing Board August 2016'!F183</f>
        <v>0</v>
      </c>
      <c r="G181" s="33">
        <f>'Wheighing Board August 2016'!G183</f>
        <v>0</v>
      </c>
      <c r="H181" s="33">
        <f>'Wheighing Board August 2016'!H183</f>
        <v>0</v>
      </c>
      <c r="I181" s="33">
        <f>'Wheighing Board August 2016'!K183</f>
        <v>0</v>
      </c>
      <c r="J181" s="33">
        <f>'Wheighing Board August 2016'!L183</f>
        <v>0</v>
      </c>
      <c r="K181" s="33">
        <f>'Wheighing Board August 2016'!M183</f>
        <v>0</v>
      </c>
      <c r="L181" s="33">
        <f>'Wheighing Board August 2016'!N183</f>
        <v>0</v>
      </c>
      <c r="M181" s="33">
        <f>'Wheighing Board August 2016'!O183</f>
        <v>0</v>
      </c>
    </row>
    <row r="182" spans="1:13" ht="23.25" x14ac:dyDescent="0.25">
      <c r="A182" s="234">
        <f>'Wheighing Board August 2016'!A184</f>
        <v>0</v>
      </c>
      <c r="B182" s="234">
        <f>'Wheighing Board August 2016'!B184</f>
        <v>0</v>
      </c>
      <c r="C182" s="33">
        <f>'Wheighing Board August 2016'!C184</f>
        <v>0</v>
      </c>
      <c r="D182" s="33">
        <f>'Wheighing Board August 2016'!D184</f>
        <v>0</v>
      </c>
      <c r="E182" s="33">
        <f>'Wheighing Board August 2016'!E184</f>
        <v>0</v>
      </c>
      <c r="F182" s="235">
        <f>'Wheighing Board August 2016'!F184</f>
        <v>0</v>
      </c>
      <c r="G182" s="33">
        <f>'Wheighing Board August 2016'!G184</f>
        <v>0</v>
      </c>
      <c r="H182" s="33">
        <f>'Wheighing Board August 2016'!H184</f>
        <v>0</v>
      </c>
      <c r="I182" s="33">
        <f>'Wheighing Board August 2016'!K184</f>
        <v>0</v>
      </c>
      <c r="J182" s="33">
        <f>'Wheighing Board August 2016'!L184</f>
        <v>0</v>
      </c>
      <c r="K182" s="33">
        <f>'Wheighing Board August 2016'!M184</f>
        <v>0</v>
      </c>
      <c r="L182" s="33">
        <f>'Wheighing Board August 2016'!N184</f>
        <v>0</v>
      </c>
      <c r="M182" s="33">
        <f>'Wheighing Board August 2016'!O184</f>
        <v>0</v>
      </c>
    </row>
    <row r="183" spans="1:13" ht="23.25" x14ac:dyDescent="0.25">
      <c r="A183" s="234">
        <f>'Wheighing Board August 2016'!A185</f>
        <v>0</v>
      </c>
      <c r="B183" s="234">
        <f>'Wheighing Board August 2016'!B185</f>
        <v>0</v>
      </c>
      <c r="C183" s="33">
        <f>'Wheighing Board August 2016'!C185</f>
        <v>0</v>
      </c>
      <c r="D183" s="33">
        <f>'Wheighing Board August 2016'!D185</f>
        <v>0</v>
      </c>
      <c r="E183" s="33">
        <f>'Wheighing Board August 2016'!E185</f>
        <v>0</v>
      </c>
      <c r="F183" s="235">
        <f>'Wheighing Board August 2016'!F185</f>
        <v>0</v>
      </c>
      <c r="G183" s="33">
        <f>'Wheighing Board August 2016'!G185</f>
        <v>0</v>
      </c>
      <c r="H183" s="33">
        <f>'Wheighing Board August 2016'!H185</f>
        <v>0</v>
      </c>
      <c r="I183" s="33">
        <f>'Wheighing Board August 2016'!K185</f>
        <v>0</v>
      </c>
      <c r="J183" s="33">
        <f>'Wheighing Board August 2016'!L185</f>
        <v>0</v>
      </c>
      <c r="K183" s="33">
        <f>'Wheighing Board August 2016'!M185</f>
        <v>0</v>
      </c>
      <c r="L183" s="33">
        <f>'Wheighing Board August 2016'!N185</f>
        <v>0</v>
      </c>
      <c r="M183" s="33">
        <f>'Wheighing Board August 2016'!O185</f>
        <v>0</v>
      </c>
    </row>
    <row r="184" spans="1:13" ht="23.25" x14ac:dyDescent="0.25">
      <c r="A184" s="234">
        <f>'Wheighing Board August 2016'!A186</f>
        <v>0</v>
      </c>
      <c r="B184" s="234">
        <f>'Wheighing Board August 2016'!B186</f>
        <v>0</v>
      </c>
      <c r="C184" s="33">
        <f>'Wheighing Board August 2016'!C186</f>
        <v>0</v>
      </c>
      <c r="D184" s="33">
        <f>'Wheighing Board August 2016'!D186</f>
        <v>0</v>
      </c>
      <c r="E184" s="33">
        <f>'Wheighing Board August 2016'!E186</f>
        <v>0</v>
      </c>
      <c r="F184" s="235">
        <f>'Wheighing Board August 2016'!F186</f>
        <v>0</v>
      </c>
      <c r="G184" s="33">
        <f>'Wheighing Board August 2016'!G186</f>
        <v>0</v>
      </c>
      <c r="H184" s="33">
        <f>'Wheighing Board August 2016'!H186</f>
        <v>0</v>
      </c>
      <c r="I184" s="33">
        <f>'Wheighing Board August 2016'!K186</f>
        <v>0</v>
      </c>
      <c r="J184" s="33">
        <f>'Wheighing Board August 2016'!L186</f>
        <v>0</v>
      </c>
      <c r="K184" s="33">
        <f>'Wheighing Board August 2016'!M186</f>
        <v>0</v>
      </c>
      <c r="L184" s="33">
        <f>'Wheighing Board August 2016'!N186</f>
        <v>0</v>
      </c>
      <c r="M184" s="33">
        <f>'Wheighing Board August 2016'!O186</f>
        <v>0</v>
      </c>
    </row>
    <row r="185" spans="1:13" ht="23.25" x14ac:dyDescent="0.25">
      <c r="A185" s="234">
        <f>'Wheighing Board August 2016'!A187</f>
        <v>0</v>
      </c>
      <c r="B185" s="234">
        <f>'Wheighing Board August 2016'!B187</f>
        <v>0</v>
      </c>
      <c r="C185" s="33">
        <f>'Wheighing Board August 2016'!C187</f>
        <v>0</v>
      </c>
      <c r="D185" s="33">
        <f>'Wheighing Board August 2016'!D187</f>
        <v>0</v>
      </c>
      <c r="E185" s="33">
        <f>'Wheighing Board August 2016'!E187</f>
        <v>0</v>
      </c>
      <c r="F185" s="235">
        <f>'Wheighing Board August 2016'!F187</f>
        <v>0</v>
      </c>
      <c r="G185" s="33">
        <f>'Wheighing Board August 2016'!G187</f>
        <v>0</v>
      </c>
      <c r="H185" s="33">
        <f>'Wheighing Board August 2016'!H187</f>
        <v>0</v>
      </c>
      <c r="I185" s="33">
        <f>'Wheighing Board August 2016'!K187</f>
        <v>0</v>
      </c>
      <c r="J185" s="33">
        <f>'Wheighing Board August 2016'!L187</f>
        <v>0</v>
      </c>
      <c r="K185" s="33">
        <f>'Wheighing Board August 2016'!M187</f>
        <v>0</v>
      </c>
      <c r="L185" s="33">
        <f>'Wheighing Board August 2016'!N187</f>
        <v>0</v>
      </c>
      <c r="M185" s="33">
        <f>'Wheighing Board August 2016'!O187</f>
        <v>0</v>
      </c>
    </row>
    <row r="186" spans="1:13" ht="23.25" x14ac:dyDescent="0.25">
      <c r="A186" s="234">
        <f>'Wheighing Board August 2016'!A188</f>
        <v>0</v>
      </c>
      <c r="B186" s="234">
        <f>'Wheighing Board August 2016'!B188</f>
        <v>0</v>
      </c>
      <c r="C186" s="33">
        <f>'Wheighing Board August 2016'!C188</f>
        <v>0</v>
      </c>
      <c r="D186" s="33">
        <f>'Wheighing Board August 2016'!D188</f>
        <v>0</v>
      </c>
      <c r="E186" s="33">
        <f>'Wheighing Board August 2016'!E188</f>
        <v>0</v>
      </c>
      <c r="F186" s="235">
        <f>'Wheighing Board August 2016'!F188</f>
        <v>0</v>
      </c>
      <c r="G186" s="33">
        <f>'Wheighing Board August 2016'!G188</f>
        <v>0</v>
      </c>
      <c r="H186" s="33">
        <f>'Wheighing Board August 2016'!H188</f>
        <v>0</v>
      </c>
      <c r="I186" s="33">
        <f>'Wheighing Board August 2016'!K188</f>
        <v>0</v>
      </c>
      <c r="J186" s="33">
        <f>'Wheighing Board August 2016'!L188</f>
        <v>0</v>
      </c>
      <c r="K186" s="33">
        <f>'Wheighing Board August 2016'!M188</f>
        <v>0</v>
      </c>
      <c r="L186" s="33">
        <f>'Wheighing Board August 2016'!N188</f>
        <v>0</v>
      </c>
      <c r="M186" s="33">
        <f>'Wheighing Board August 2016'!O188</f>
        <v>0</v>
      </c>
    </row>
    <row r="187" spans="1:13" ht="23.25" x14ac:dyDescent="0.25">
      <c r="A187" s="234">
        <f>'Wheighing Board August 2016'!A189</f>
        <v>0</v>
      </c>
      <c r="B187" s="234">
        <f>'Wheighing Board August 2016'!B189</f>
        <v>0</v>
      </c>
      <c r="C187" s="33">
        <f>'Wheighing Board August 2016'!C189</f>
        <v>0</v>
      </c>
      <c r="D187" s="33">
        <f>'Wheighing Board August 2016'!D189</f>
        <v>0</v>
      </c>
      <c r="E187" s="33">
        <f>'Wheighing Board August 2016'!E189</f>
        <v>0</v>
      </c>
      <c r="F187" s="235">
        <f>'Wheighing Board August 2016'!F189</f>
        <v>0</v>
      </c>
      <c r="G187" s="33">
        <f>'Wheighing Board August 2016'!G189</f>
        <v>0</v>
      </c>
      <c r="H187" s="33">
        <f>'Wheighing Board August 2016'!H189</f>
        <v>0</v>
      </c>
      <c r="I187" s="33">
        <f>'Wheighing Board August 2016'!K189</f>
        <v>0</v>
      </c>
      <c r="J187" s="33">
        <f>'Wheighing Board August 2016'!L189</f>
        <v>0</v>
      </c>
      <c r="K187" s="33">
        <f>'Wheighing Board August 2016'!M189</f>
        <v>0</v>
      </c>
      <c r="L187" s="33">
        <f>'Wheighing Board August 2016'!N189</f>
        <v>0</v>
      </c>
      <c r="M187" s="33">
        <f>'Wheighing Board August 2016'!O189</f>
        <v>0</v>
      </c>
    </row>
    <row r="188" spans="1:13" ht="23.25" x14ac:dyDescent="0.25">
      <c r="A188" s="234">
        <f>'Wheighing Board August 2016'!A190</f>
        <v>0</v>
      </c>
      <c r="B188" s="234">
        <f>'Wheighing Board August 2016'!B190</f>
        <v>0</v>
      </c>
      <c r="C188" s="33">
        <f>'Wheighing Board August 2016'!C190</f>
        <v>0</v>
      </c>
      <c r="D188" s="33">
        <f>'Wheighing Board August 2016'!D190</f>
        <v>0</v>
      </c>
      <c r="E188" s="33">
        <f>'Wheighing Board August 2016'!E190</f>
        <v>0</v>
      </c>
      <c r="F188" s="235">
        <f>'Wheighing Board August 2016'!F190</f>
        <v>0</v>
      </c>
      <c r="G188" s="33">
        <f>'Wheighing Board August 2016'!G190</f>
        <v>0</v>
      </c>
      <c r="H188" s="33">
        <f>'Wheighing Board August 2016'!H190</f>
        <v>0</v>
      </c>
      <c r="I188" s="33">
        <f>'Wheighing Board August 2016'!K190</f>
        <v>0</v>
      </c>
      <c r="J188" s="33">
        <f>'Wheighing Board August 2016'!L190</f>
        <v>0</v>
      </c>
      <c r="K188" s="33">
        <f>'Wheighing Board August 2016'!M190</f>
        <v>0</v>
      </c>
      <c r="L188" s="33">
        <f>'Wheighing Board August 2016'!N190</f>
        <v>0</v>
      </c>
      <c r="M188" s="33">
        <f>'Wheighing Board August 2016'!O190</f>
        <v>0</v>
      </c>
    </row>
    <row r="189" spans="1:13" ht="23.25" x14ac:dyDescent="0.25">
      <c r="A189" s="234">
        <f>'Wheighing Board August 2016'!A191</f>
        <v>0</v>
      </c>
      <c r="B189" s="234">
        <f>'Wheighing Board August 2016'!B191</f>
        <v>0</v>
      </c>
      <c r="C189" s="33">
        <f>'Wheighing Board August 2016'!C191</f>
        <v>0</v>
      </c>
      <c r="D189" s="33">
        <f>'Wheighing Board August 2016'!D191</f>
        <v>0</v>
      </c>
      <c r="E189" s="33">
        <f>'Wheighing Board August 2016'!E191</f>
        <v>0</v>
      </c>
      <c r="F189" s="235">
        <f>'Wheighing Board August 2016'!F191</f>
        <v>0</v>
      </c>
      <c r="G189" s="33">
        <f>'Wheighing Board August 2016'!G191</f>
        <v>0</v>
      </c>
      <c r="H189" s="33">
        <f>'Wheighing Board August 2016'!H191</f>
        <v>0</v>
      </c>
      <c r="I189" s="33">
        <f>'Wheighing Board August 2016'!K191</f>
        <v>0</v>
      </c>
      <c r="J189" s="33">
        <f>'Wheighing Board August 2016'!L191</f>
        <v>0</v>
      </c>
      <c r="K189" s="33">
        <f>'Wheighing Board August 2016'!M191</f>
        <v>0</v>
      </c>
      <c r="L189" s="33">
        <f>'Wheighing Board August 2016'!N191</f>
        <v>0</v>
      </c>
      <c r="M189" s="33">
        <f>'Wheighing Board August 2016'!O191</f>
        <v>0</v>
      </c>
    </row>
    <row r="190" spans="1:13" ht="23.25" x14ac:dyDescent="0.25">
      <c r="A190" s="234">
        <f>'Wheighing Board August 2016'!A192</f>
        <v>0</v>
      </c>
      <c r="B190" s="234">
        <f>'Wheighing Board August 2016'!B192</f>
        <v>0</v>
      </c>
      <c r="C190" s="33">
        <f>'Wheighing Board August 2016'!C192</f>
        <v>0</v>
      </c>
      <c r="D190" s="33">
        <f>'Wheighing Board August 2016'!D192</f>
        <v>0</v>
      </c>
      <c r="E190" s="33">
        <f>'Wheighing Board August 2016'!E192</f>
        <v>0</v>
      </c>
      <c r="F190" s="235">
        <f>'Wheighing Board August 2016'!F192</f>
        <v>0</v>
      </c>
      <c r="G190" s="33">
        <f>'Wheighing Board August 2016'!G192</f>
        <v>0</v>
      </c>
      <c r="H190" s="33">
        <f>'Wheighing Board August 2016'!H192</f>
        <v>0</v>
      </c>
      <c r="I190" s="33">
        <f>'Wheighing Board August 2016'!K192</f>
        <v>0</v>
      </c>
      <c r="J190" s="33">
        <f>'Wheighing Board August 2016'!L192</f>
        <v>0</v>
      </c>
      <c r="K190" s="33">
        <f>'Wheighing Board August 2016'!M192</f>
        <v>0</v>
      </c>
      <c r="L190" s="33">
        <f>'Wheighing Board August 2016'!N192</f>
        <v>0</v>
      </c>
      <c r="M190" s="33">
        <f>'Wheighing Board August 2016'!O192</f>
        <v>0</v>
      </c>
    </row>
    <row r="191" spans="1:13" ht="23.25" x14ac:dyDescent="0.25">
      <c r="A191" s="234">
        <f>'Wheighing Board August 2016'!A193</f>
        <v>0</v>
      </c>
      <c r="B191" s="234">
        <f>'Wheighing Board August 2016'!B193</f>
        <v>0</v>
      </c>
      <c r="C191" s="33">
        <f>'Wheighing Board August 2016'!C193</f>
        <v>0</v>
      </c>
      <c r="D191" s="33">
        <f>'Wheighing Board August 2016'!D193</f>
        <v>0</v>
      </c>
      <c r="E191" s="33">
        <f>'Wheighing Board August 2016'!E193</f>
        <v>0</v>
      </c>
      <c r="F191" s="235">
        <f>'Wheighing Board August 2016'!F193</f>
        <v>0</v>
      </c>
      <c r="G191" s="33">
        <f>'Wheighing Board August 2016'!G193</f>
        <v>0</v>
      </c>
      <c r="H191" s="33">
        <f>'Wheighing Board August 2016'!H193</f>
        <v>0</v>
      </c>
      <c r="I191" s="33">
        <f>'Wheighing Board August 2016'!K193</f>
        <v>0</v>
      </c>
      <c r="J191" s="33">
        <f>'Wheighing Board August 2016'!L193</f>
        <v>0</v>
      </c>
      <c r="K191" s="33">
        <f>'Wheighing Board August 2016'!M193</f>
        <v>0</v>
      </c>
      <c r="L191" s="33">
        <f>'Wheighing Board August 2016'!N193</f>
        <v>0</v>
      </c>
      <c r="M191" s="33">
        <f>'Wheighing Board August 2016'!O193</f>
        <v>0</v>
      </c>
    </row>
    <row r="192" spans="1:13" ht="23.25" x14ac:dyDescent="0.25">
      <c r="A192" s="234">
        <f>'Wheighing Board August 2016'!A194</f>
        <v>0</v>
      </c>
      <c r="B192" s="234">
        <f>'Wheighing Board August 2016'!B194</f>
        <v>0</v>
      </c>
      <c r="C192" s="33">
        <f>'Wheighing Board August 2016'!C194</f>
        <v>0</v>
      </c>
      <c r="D192" s="33">
        <f>'Wheighing Board August 2016'!D194</f>
        <v>0</v>
      </c>
      <c r="E192" s="33">
        <f>'Wheighing Board August 2016'!E194</f>
        <v>0</v>
      </c>
      <c r="F192" s="235">
        <f>'Wheighing Board August 2016'!F194</f>
        <v>0</v>
      </c>
      <c r="G192" s="33">
        <f>'Wheighing Board August 2016'!G194</f>
        <v>0</v>
      </c>
      <c r="H192" s="33">
        <f>'Wheighing Board August 2016'!H194</f>
        <v>0</v>
      </c>
      <c r="I192" s="33">
        <f>'Wheighing Board August 2016'!K194</f>
        <v>0</v>
      </c>
      <c r="J192" s="33">
        <f>'Wheighing Board August 2016'!L194</f>
        <v>0</v>
      </c>
      <c r="K192" s="33">
        <f>'Wheighing Board August 2016'!M194</f>
        <v>0</v>
      </c>
      <c r="L192" s="33">
        <f>'Wheighing Board August 2016'!N194</f>
        <v>0</v>
      </c>
      <c r="M192" s="33">
        <f>'Wheighing Board August 2016'!O194</f>
        <v>0</v>
      </c>
    </row>
    <row r="193" spans="1:13" ht="23.25" x14ac:dyDescent="0.25">
      <c r="A193" s="234">
        <f>'Wheighing Board August 2016'!A195</f>
        <v>0</v>
      </c>
      <c r="B193" s="234">
        <f>'Wheighing Board August 2016'!B195</f>
        <v>0</v>
      </c>
      <c r="C193" s="33">
        <f>'Wheighing Board August 2016'!C195</f>
        <v>0</v>
      </c>
      <c r="D193" s="33">
        <f>'Wheighing Board August 2016'!D195</f>
        <v>0</v>
      </c>
      <c r="E193" s="33">
        <f>'Wheighing Board August 2016'!E195</f>
        <v>0</v>
      </c>
      <c r="F193" s="235">
        <f>'Wheighing Board August 2016'!F195</f>
        <v>0</v>
      </c>
      <c r="G193" s="33">
        <f>'Wheighing Board August 2016'!G195</f>
        <v>0</v>
      </c>
      <c r="H193" s="33">
        <f>'Wheighing Board August 2016'!H195</f>
        <v>0</v>
      </c>
      <c r="I193" s="33">
        <f>'Wheighing Board August 2016'!K195</f>
        <v>0</v>
      </c>
      <c r="J193" s="33">
        <f>'Wheighing Board August 2016'!L195</f>
        <v>0</v>
      </c>
      <c r="K193" s="33">
        <f>'Wheighing Board August 2016'!M195</f>
        <v>0</v>
      </c>
      <c r="L193" s="33">
        <f>'Wheighing Board August 2016'!N195</f>
        <v>0</v>
      </c>
      <c r="M193" s="33">
        <f>'Wheighing Board August 2016'!O195</f>
        <v>0</v>
      </c>
    </row>
    <row r="194" spans="1:13" ht="23.25" x14ac:dyDescent="0.25">
      <c r="A194" s="234">
        <f>'Wheighing Board August 2016'!A196</f>
        <v>0</v>
      </c>
      <c r="B194" s="234">
        <f>'Wheighing Board August 2016'!B196</f>
        <v>0</v>
      </c>
      <c r="C194" s="33">
        <f>'Wheighing Board August 2016'!C196</f>
        <v>0</v>
      </c>
      <c r="D194" s="33">
        <f>'Wheighing Board August 2016'!D196</f>
        <v>0</v>
      </c>
      <c r="E194" s="33">
        <f>'Wheighing Board August 2016'!E196</f>
        <v>0</v>
      </c>
      <c r="F194" s="235">
        <f>'Wheighing Board August 2016'!F196</f>
        <v>0</v>
      </c>
      <c r="G194" s="33">
        <f>'Wheighing Board August 2016'!G196</f>
        <v>0</v>
      </c>
      <c r="H194" s="33">
        <f>'Wheighing Board August 2016'!H196</f>
        <v>0</v>
      </c>
      <c r="I194" s="33">
        <f>'Wheighing Board August 2016'!K196</f>
        <v>0</v>
      </c>
      <c r="J194" s="33">
        <f>'Wheighing Board August 2016'!L196</f>
        <v>0</v>
      </c>
      <c r="K194" s="33">
        <f>'Wheighing Board August 2016'!M196</f>
        <v>0</v>
      </c>
      <c r="L194" s="33">
        <f>'Wheighing Board August 2016'!N196</f>
        <v>0</v>
      </c>
      <c r="M194" s="33">
        <f>'Wheighing Board August 2016'!O196</f>
        <v>0</v>
      </c>
    </row>
    <row r="195" spans="1:13" ht="23.25" x14ac:dyDescent="0.25">
      <c r="A195" s="234">
        <f>'Wheighing Board August 2016'!A197</f>
        <v>0</v>
      </c>
      <c r="B195" s="234">
        <f>'Wheighing Board August 2016'!B197</f>
        <v>0</v>
      </c>
      <c r="C195" s="33">
        <f>'Wheighing Board August 2016'!C197</f>
        <v>0</v>
      </c>
      <c r="D195" s="33">
        <f>'Wheighing Board August 2016'!D197</f>
        <v>0</v>
      </c>
      <c r="E195" s="33">
        <f>'Wheighing Board August 2016'!E197</f>
        <v>0</v>
      </c>
      <c r="F195" s="235">
        <f>'Wheighing Board August 2016'!F197</f>
        <v>0</v>
      </c>
      <c r="G195" s="33">
        <f>'Wheighing Board August 2016'!G197</f>
        <v>0</v>
      </c>
      <c r="H195" s="33">
        <f>'Wheighing Board August 2016'!H197</f>
        <v>0</v>
      </c>
      <c r="I195" s="33">
        <f>'Wheighing Board August 2016'!K197</f>
        <v>0</v>
      </c>
      <c r="J195" s="33">
        <f>'Wheighing Board August 2016'!L197</f>
        <v>0</v>
      </c>
      <c r="K195" s="33">
        <f>'Wheighing Board August 2016'!M197</f>
        <v>0</v>
      </c>
      <c r="L195" s="33">
        <f>'Wheighing Board August 2016'!N197</f>
        <v>0</v>
      </c>
      <c r="M195" s="33">
        <f>'Wheighing Board August 2016'!O197</f>
        <v>0</v>
      </c>
    </row>
    <row r="196" spans="1:13" ht="23.25" x14ac:dyDescent="0.25">
      <c r="A196" s="234">
        <f>'Wheighing Board August 2016'!A198</f>
        <v>0</v>
      </c>
      <c r="B196" s="234">
        <f>'Wheighing Board August 2016'!B198</f>
        <v>0</v>
      </c>
      <c r="C196" s="33">
        <f>'Wheighing Board August 2016'!C198</f>
        <v>0</v>
      </c>
      <c r="D196" s="33">
        <f>'Wheighing Board August 2016'!D198</f>
        <v>0</v>
      </c>
      <c r="E196" s="33">
        <f>'Wheighing Board August 2016'!E198</f>
        <v>0</v>
      </c>
      <c r="F196" s="235">
        <f>'Wheighing Board August 2016'!F198</f>
        <v>0</v>
      </c>
      <c r="G196" s="33">
        <f>'Wheighing Board August 2016'!G198</f>
        <v>0</v>
      </c>
      <c r="H196" s="33">
        <f>'Wheighing Board August 2016'!H198</f>
        <v>0</v>
      </c>
      <c r="I196" s="33">
        <f>'Wheighing Board August 2016'!K198</f>
        <v>0</v>
      </c>
      <c r="J196" s="33">
        <f>'Wheighing Board August 2016'!L198</f>
        <v>0</v>
      </c>
      <c r="K196" s="33">
        <f>'Wheighing Board August 2016'!M198</f>
        <v>0</v>
      </c>
      <c r="L196" s="33">
        <f>'Wheighing Board August 2016'!N198</f>
        <v>0</v>
      </c>
      <c r="M196" s="33">
        <f>'Wheighing Board August 2016'!O198</f>
        <v>0</v>
      </c>
    </row>
    <row r="197" spans="1:13" ht="23.25" x14ac:dyDescent="0.25">
      <c r="A197" s="234">
        <f>'Wheighing Board August 2016'!A199</f>
        <v>0</v>
      </c>
      <c r="B197" s="234">
        <f>'Wheighing Board August 2016'!B199</f>
        <v>0</v>
      </c>
      <c r="C197" s="33">
        <f>'Wheighing Board August 2016'!C199</f>
        <v>0</v>
      </c>
      <c r="D197" s="33">
        <f>'Wheighing Board August 2016'!D199</f>
        <v>0</v>
      </c>
      <c r="E197" s="33">
        <f>'Wheighing Board August 2016'!E199</f>
        <v>0</v>
      </c>
      <c r="F197" s="235">
        <f>'Wheighing Board August 2016'!F199</f>
        <v>0</v>
      </c>
      <c r="G197" s="33">
        <f>'Wheighing Board August 2016'!G199</f>
        <v>0</v>
      </c>
      <c r="H197" s="33">
        <f>'Wheighing Board August 2016'!H199</f>
        <v>0</v>
      </c>
      <c r="I197" s="33">
        <f>'Wheighing Board August 2016'!K199</f>
        <v>0</v>
      </c>
      <c r="J197" s="33">
        <f>'Wheighing Board August 2016'!L199</f>
        <v>0</v>
      </c>
      <c r="K197" s="33">
        <f>'Wheighing Board August 2016'!M199</f>
        <v>0</v>
      </c>
      <c r="L197" s="33">
        <f>'Wheighing Board August 2016'!N199</f>
        <v>0</v>
      </c>
      <c r="M197" s="33">
        <f>'Wheighing Board August 2016'!O199</f>
        <v>0</v>
      </c>
    </row>
    <row r="198" spans="1:13" ht="23.25" x14ac:dyDescent="0.25">
      <c r="A198" s="234">
        <f>'Wheighing Board August 2016'!A200</f>
        <v>0</v>
      </c>
      <c r="B198" s="234">
        <f>'Wheighing Board August 2016'!B200</f>
        <v>0</v>
      </c>
      <c r="C198" s="33">
        <f>'Wheighing Board August 2016'!C200</f>
        <v>0</v>
      </c>
      <c r="D198" s="33">
        <f>'Wheighing Board August 2016'!D200</f>
        <v>0</v>
      </c>
      <c r="E198" s="33">
        <f>'Wheighing Board August 2016'!E200</f>
        <v>0</v>
      </c>
      <c r="F198" s="235">
        <f>'Wheighing Board August 2016'!F200</f>
        <v>0</v>
      </c>
      <c r="G198" s="33">
        <f>'Wheighing Board August 2016'!G200</f>
        <v>0</v>
      </c>
      <c r="H198" s="33">
        <f>'Wheighing Board August 2016'!H200</f>
        <v>0</v>
      </c>
      <c r="I198" s="33">
        <f>'Wheighing Board August 2016'!K200</f>
        <v>0</v>
      </c>
      <c r="J198" s="33">
        <f>'Wheighing Board August 2016'!L200</f>
        <v>0</v>
      </c>
      <c r="K198" s="33">
        <f>'Wheighing Board August 2016'!M200</f>
        <v>0</v>
      </c>
      <c r="L198" s="33">
        <f>'Wheighing Board August 2016'!N200</f>
        <v>0</v>
      </c>
      <c r="M198" s="33">
        <f>'Wheighing Board August 2016'!O200</f>
        <v>0</v>
      </c>
    </row>
    <row r="199" spans="1:13" ht="23.25" x14ac:dyDescent="0.25">
      <c r="A199" s="234">
        <f>'Wheighing Board August 2016'!A201</f>
        <v>0</v>
      </c>
      <c r="B199" s="234">
        <f>'Wheighing Board August 2016'!B201</f>
        <v>0</v>
      </c>
      <c r="C199" s="33">
        <f>'Wheighing Board August 2016'!C201</f>
        <v>0</v>
      </c>
      <c r="D199" s="33">
        <f>'Wheighing Board August 2016'!D201</f>
        <v>0</v>
      </c>
      <c r="E199" s="33">
        <f>'Wheighing Board August 2016'!E201</f>
        <v>0</v>
      </c>
      <c r="F199" s="235">
        <f>'Wheighing Board August 2016'!F201</f>
        <v>0</v>
      </c>
      <c r="G199" s="33">
        <f>'Wheighing Board August 2016'!G201</f>
        <v>0</v>
      </c>
      <c r="H199" s="33">
        <f>'Wheighing Board August 2016'!H201</f>
        <v>0</v>
      </c>
      <c r="I199" s="33">
        <f>'Wheighing Board August 2016'!K201</f>
        <v>0</v>
      </c>
      <c r="J199" s="33">
        <f>'Wheighing Board August 2016'!L201</f>
        <v>0</v>
      </c>
      <c r="K199" s="33">
        <f>'Wheighing Board August 2016'!M201</f>
        <v>0</v>
      </c>
      <c r="L199" s="33">
        <f>'Wheighing Board August 2016'!N201</f>
        <v>0</v>
      </c>
      <c r="M199" s="33">
        <f>'Wheighing Board August 2016'!O201</f>
        <v>0</v>
      </c>
    </row>
    <row r="200" spans="1:13" ht="23.25" x14ac:dyDescent="0.25">
      <c r="A200" s="234">
        <f>'Wheighing Board August 2016'!A202</f>
        <v>0</v>
      </c>
      <c r="B200" s="234">
        <f>'Wheighing Board August 2016'!B202</f>
        <v>0</v>
      </c>
      <c r="C200" s="33">
        <f>'Wheighing Board August 2016'!C202</f>
        <v>0</v>
      </c>
      <c r="D200" s="33">
        <f>'Wheighing Board August 2016'!D202</f>
        <v>0</v>
      </c>
      <c r="E200" s="33">
        <f>'Wheighing Board August 2016'!E202</f>
        <v>0</v>
      </c>
      <c r="F200" s="235">
        <f>'Wheighing Board August 2016'!F202</f>
        <v>0</v>
      </c>
      <c r="G200" s="33">
        <f>'Wheighing Board August 2016'!G202</f>
        <v>0</v>
      </c>
      <c r="H200" s="33">
        <f>'Wheighing Board August 2016'!H202</f>
        <v>0</v>
      </c>
      <c r="I200" s="33">
        <f>'Wheighing Board August 2016'!K202</f>
        <v>0</v>
      </c>
      <c r="J200" s="33">
        <f>'Wheighing Board August 2016'!L202</f>
        <v>0</v>
      </c>
      <c r="K200" s="33">
        <f>'Wheighing Board August 2016'!M202</f>
        <v>0</v>
      </c>
      <c r="L200" s="33">
        <f>'Wheighing Board August 2016'!N202</f>
        <v>0</v>
      </c>
      <c r="M200" s="33">
        <f>'Wheighing Board August 2016'!O202</f>
        <v>0</v>
      </c>
    </row>
    <row r="201" spans="1:13" ht="23.25" x14ac:dyDescent="0.25">
      <c r="A201" s="234">
        <f>'Wheighing Board August 2016'!A203</f>
        <v>0</v>
      </c>
      <c r="B201" s="234">
        <f>'Wheighing Board August 2016'!B203</f>
        <v>0</v>
      </c>
      <c r="C201" s="33">
        <f>'Wheighing Board August 2016'!C203</f>
        <v>0</v>
      </c>
      <c r="D201" s="33">
        <f>'Wheighing Board August 2016'!D203</f>
        <v>0</v>
      </c>
      <c r="E201" s="33">
        <f>'Wheighing Board August 2016'!E203</f>
        <v>0</v>
      </c>
      <c r="F201" s="235">
        <f>'Wheighing Board August 2016'!F203</f>
        <v>0</v>
      </c>
      <c r="G201" s="33">
        <f>'Wheighing Board August 2016'!G203</f>
        <v>0</v>
      </c>
      <c r="H201" s="33">
        <f>'Wheighing Board August 2016'!H203</f>
        <v>0</v>
      </c>
      <c r="I201" s="33">
        <f>'Wheighing Board August 2016'!K203</f>
        <v>0</v>
      </c>
      <c r="J201" s="33">
        <f>'Wheighing Board August 2016'!L203</f>
        <v>0</v>
      </c>
      <c r="K201" s="33">
        <f>'Wheighing Board August 2016'!M203</f>
        <v>0</v>
      </c>
      <c r="L201" s="33">
        <f>'Wheighing Board August 2016'!N203</f>
        <v>0</v>
      </c>
      <c r="M201" s="33">
        <f>'Wheighing Board August 2016'!O203</f>
        <v>0</v>
      </c>
    </row>
    <row r="202" spans="1:13" ht="23.25" x14ac:dyDescent="0.25">
      <c r="A202" s="234">
        <f>'Wheighing Board August 2016'!A204</f>
        <v>0</v>
      </c>
      <c r="B202" s="234">
        <f>'Wheighing Board August 2016'!B204</f>
        <v>0</v>
      </c>
      <c r="C202" s="33">
        <f>'Wheighing Board August 2016'!C204</f>
        <v>0</v>
      </c>
      <c r="D202" s="33">
        <f>'Wheighing Board August 2016'!D204</f>
        <v>0</v>
      </c>
      <c r="E202" s="33">
        <f>'Wheighing Board August 2016'!E204</f>
        <v>0</v>
      </c>
      <c r="F202" s="235">
        <f>'Wheighing Board August 2016'!F204</f>
        <v>0</v>
      </c>
      <c r="G202" s="33">
        <f>'Wheighing Board August 2016'!G204</f>
        <v>0</v>
      </c>
      <c r="H202" s="33">
        <f>'Wheighing Board August 2016'!H204</f>
        <v>0</v>
      </c>
      <c r="I202" s="33">
        <f>'Wheighing Board August 2016'!K204</f>
        <v>0</v>
      </c>
      <c r="J202" s="33">
        <f>'Wheighing Board August 2016'!L204</f>
        <v>0</v>
      </c>
      <c r="K202" s="33">
        <f>'Wheighing Board August 2016'!M204</f>
        <v>0</v>
      </c>
      <c r="L202" s="33">
        <f>'Wheighing Board August 2016'!N204</f>
        <v>0</v>
      </c>
      <c r="M202" s="33">
        <f>'Wheighing Board August 2016'!O204</f>
        <v>0</v>
      </c>
    </row>
    <row r="203" spans="1:13" ht="23.25" x14ac:dyDescent="0.25">
      <c r="A203" s="234">
        <f>'Wheighing Board August 2016'!A205</f>
        <v>0</v>
      </c>
      <c r="B203" s="234">
        <f>'Wheighing Board August 2016'!B205</f>
        <v>0</v>
      </c>
      <c r="C203" s="33">
        <f>'Wheighing Board August 2016'!C205</f>
        <v>0</v>
      </c>
      <c r="D203" s="33">
        <f>'Wheighing Board August 2016'!D205</f>
        <v>0</v>
      </c>
      <c r="E203" s="33">
        <f>'Wheighing Board August 2016'!E205</f>
        <v>0</v>
      </c>
      <c r="F203" s="235">
        <f>'Wheighing Board August 2016'!F205</f>
        <v>0</v>
      </c>
      <c r="G203" s="33">
        <f>'Wheighing Board August 2016'!G205</f>
        <v>0</v>
      </c>
      <c r="H203" s="33">
        <f>'Wheighing Board August 2016'!H205</f>
        <v>0</v>
      </c>
      <c r="I203" s="33">
        <f>'Wheighing Board August 2016'!K205</f>
        <v>0</v>
      </c>
      <c r="J203" s="33">
        <f>'Wheighing Board August 2016'!L205</f>
        <v>0</v>
      </c>
      <c r="K203" s="33">
        <f>'Wheighing Board August 2016'!M205</f>
        <v>0</v>
      </c>
      <c r="L203" s="33">
        <f>'Wheighing Board August 2016'!N205</f>
        <v>0</v>
      </c>
      <c r="M203" s="33">
        <f>'Wheighing Board August 2016'!O205</f>
        <v>0</v>
      </c>
    </row>
    <row r="204" spans="1:13" ht="23.25" x14ac:dyDescent="0.25">
      <c r="A204" s="234">
        <f>'Wheighing Board August 2016'!A206</f>
        <v>0</v>
      </c>
      <c r="B204" s="234">
        <f>'Wheighing Board August 2016'!B206</f>
        <v>0</v>
      </c>
      <c r="C204" s="33">
        <f>'Wheighing Board August 2016'!C206</f>
        <v>0</v>
      </c>
      <c r="D204" s="33">
        <f>'Wheighing Board August 2016'!D206</f>
        <v>0</v>
      </c>
      <c r="E204" s="33">
        <f>'Wheighing Board August 2016'!E206</f>
        <v>0</v>
      </c>
      <c r="F204" s="235">
        <f>'Wheighing Board August 2016'!F206</f>
        <v>0</v>
      </c>
      <c r="G204" s="33">
        <f>'Wheighing Board August 2016'!G206</f>
        <v>0</v>
      </c>
      <c r="H204" s="33">
        <f>'Wheighing Board August 2016'!H206</f>
        <v>0</v>
      </c>
      <c r="I204" s="33">
        <f>'Wheighing Board August 2016'!K206</f>
        <v>0</v>
      </c>
      <c r="J204" s="33">
        <f>'Wheighing Board August 2016'!L206</f>
        <v>0</v>
      </c>
      <c r="K204" s="33">
        <f>'Wheighing Board August 2016'!M206</f>
        <v>0</v>
      </c>
      <c r="L204" s="33">
        <f>'Wheighing Board August 2016'!N206</f>
        <v>0</v>
      </c>
      <c r="M204" s="33">
        <f>'Wheighing Board August 2016'!O206</f>
        <v>0</v>
      </c>
    </row>
    <row r="205" spans="1:13" ht="23.25" x14ac:dyDescent="0.25">
      <c r="A205" s="234">
        <f>'Wheighing Board August 2016'!A207</f>
        <v>0</v>
      </c>
      <c r="B205" s="234">
        <f>'Wheighing Board August 2016'!B207</f>
        <v>0</v>
      </c>
      <c r="C205" s="33">
        <f>'Wheighing Board August 2016'!C207</f>
        <v>0</v>
      </c>
      <c r="D205" s="33">
        <f>'Wheighing Board August 2016'!D207</f>
        <v>0</v>
      </c>
      <c r="E205" s="33">
        <f>'Wheighing Board August 2016'!E207</f>
        <v>0</v>
      </c>
      <c r="F205" s="235">
        <f>'Wheighing Board August 2016'!F207</f>
        <v>0</v>
      </c>
      <c r="G205" s="33">
        <f>'Wheighing Board August 2016'!G207</f>
        <v>0</v>
      </c>
      <c r="H205" s="33">
        <f>'Wheighing Board August 2016'!H207</f>
        <v>0</v>
      </c>
      <c r="I205" s="33">
        <f>'Wheighing Board August 2016'!K207</f>
        <v>0</v>
      </c>
      <c r="J205" s="33">
        <f>'Wheighing Board August 2016'!L207</f>
        <v>0</v>
      </c>
      <c r="K205" s="33">
        <f>'Wheighing Board August 2016'!M207</f>
        <v>0</v>
      </c>
      <c r="L205" s="33">
        <f>'Wheighing Board August 2016'!N207</f>
        <v>0</v>
      </c>
      <c r="M205" s="33">
        <f>'Wheighing Board August 2016'!O207</f>
        <v>0</v>
      </c>
    </row>
    <row r="206" spans="1:13" ht="23.25" x14ac:dyDescent="0.25">
      <c r="A206" s="234">
        <f>'Wheighing Board August 2016'!A208</f>
        <v>0</v>
      </c>
      <c r="B206" s="234">
        <f>'Wheighing Board August 2016'!B208</f>
        <v>0</v>
      </c>
      <c r="C206" s="33">
        <f>'Wheighing Board August 2016'!C208</f>
        <v>0</v>
      </c>
      <c r="D206" s="33">
        <f>'Wheighing Board August 2016'!D208</f>
        <v>0</v>
      </c>
      <c r="E206" s="33">
        <f>'Wheighing Board August 2016'!E208</f>
        <v>0</v>
      </c>
      <c r="F206" s="235">
        <f>'Wheighing Board August 2016'!F208</f>
        <v>0</v>
      </c>
      <c r="G206" s="33">
        <f>'Wheighing Board August 2016'!G208</f>
        <v>0</v>
      </c>
      <c r="H206" s="33">
        <f>'Wheighing Board August 2016'!H208</f>
        <v>0</v>
      </c>
      <c r="I206" s="33">
        <f>'Wheighing Board August 2016'!K208</f>
        <v>0</v>
      </c>
      <c r="J206" s="33">
        <f>'Wheighing Board August 2016'!L208</f>
        <v>0</v>
      </c>
      <c r="K206" s="33">
        <f>'Wheighing Board August 2016'!M208</f>
        <v>0</v>
      </c>
      <c r="L206" s="33">
        <f>'Wheighing Board August 2016'!N208</f>
        <v>0</v>
      </c>
      <c r="M206" s="33">
        <f>'Wheighing Board August 2016'!O208</f>
        <v>0</v>
      </c>
    </row>
    <row r="207" spans="1:13" ht="23.25" x14ac:dyDescent="0.25">
      <c r="A207" s="234">
        <f>'Wheighing Board August 2016'!A209</f>
        <v>0</v>
      </c>
      <c r="B207" s="234">
        <f>'Wheighing Board August 2016'!B209</f>
        <v>0</v>
      </c>
      <c r="C207" s="33">
        <f>'Wheighing Board August 2016'!C209</f>
        <v>0</v>
      </c>
      <c r="D207" s="33">
        <f>'Wheighing Board August 2016'!D209</f>
        <v>0</v>
      </c>
      <c r="E207" s="33">
        <f>'Wheighing Board August 2016'!E209</f>
        <v>0</v>
      </c>
      <c r="F207" s="235">
        <f>'Wheighing Board August 2016'!F209</f>
        <v>0</v>
      </c>
      <c r="G207" s="33">
        <f>'Wheighing Board August 2016'!G209</f>
        <v>0</v>
      </c>
      <c r="H207" s="33">
        <f>'Wheighing Board August 2016'!H209</f>
        <v>0</v>
      </c>
      <c r="I207" s="33">
        <f>'Wheighing Board August 2016'!K209</f>
        <v>0</v>
      </c>
      <c r="J207" s="33">
        <f>'Wheighing Board August 2016'!L209</f>
        <v>0</v>
      </c>
      <c r="K207" s="33">
        <f>'Wheighing Board August 2016'!M209</f>
        <v>0</v>
      </c>
      <c r="L207" s="33">
        <f>'Wheighing Board August 2016'!N209</f>
        <v>0</v>
      </c>
      <c r="M207" s="33">
        <f>'Wheighing Board August 2016'!O209</f>
        <v>0</v>
      </c>
    </row>
    <row r="208" spans="1:13" ht="23.25" x14ac:dyDescent="0.25">
      <c r="A208" s="234">
        <f>'Wheighing Board August 2016'!A210</f>
        <v>0</v>
      </c>
      <c r="B208" s="234">
        <f>'Wheighing Board August 2016'!B210</f>
        <v>0</v>
      </c>
      <c r="C208" s="33">
        <f>'Wheighing Board August 2016'!C210</f>
        <v>0</v>
      </c>
      <c r="D208" s="33">
        <f>'Wheighing Board August 2016'!D210</f>
        <v>0</v>
      </c>
      <c r="E208" s="33">
        <f>'Wheighing Board August 2016'!E210</f>
        <v>0</v>
      </c>
      <c r="F208" s="235">
        <f>'Wheighing Board August 2016'!F210</f>
        <v>0</v>
      </c>
      <c r="G208" s="33">
        <f>'Wheighing Board August 2016'!G210</f>
        <v>0</v>
      </c>
      <c r="H208" s="33">
        <f>'Wheighing Board August 2016'!H210</f>
        <v>0</v>
      </c>
      <c r="I208" s="33">
        <f>'Wheighing Board August 2016'!K210</f>
        <v>0</v>
      </c>
      <c r="J208" s="33">
        <f>'Wheighing Board August 2016'!L210</f>
        <v>0</v>
      </c>
      <c r="K208" s="33">
        <f>'Wheighing Board August 2016'!M210</f>
        <v>0</v>
      </c>
      <c r="L208" s="33">
        <f>'Wheighing Board August 2016'!N210</f>
        <v>0</v>
      </c>
      <c r="M208" s="33">
        <f>'Wheighing Board August 2016'!O210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6"/>
  <dimension ref="A1:M208"/>
  <sheetViews>
    <sheetView topLeftCell="A180" workbookViewId="0">
      <selection activeCell="P207" sqref="P207"/>
    </sheetView>
  </sheetViews>
  <sheetFormatPr baseColWidth="10" defaultColWidth="11.42578125" defaultRowHeight="15" x14ac:dyDescent="0.25"/>
  <cols>
    <col min="1" max="1" width="18" style="287" bestFit="1" customWidth="1"/>
    <col min="2" max="16384" width="11.42578125" style="287"/>
  </cols>
  <sheetData>
    <row r="1" spans="1:13" ht="46.5" x14ac:dyDescent="0.25">
      <c r="A1" s="228" t="s">
        <v>4</v>
      </c>
      <c r="B1" s="229" t="s">
        <v>10</v>
      </c>
      <c r="C1" s="230" t="s">
        <v>1244</v>
      </c>
      <c r="D1" s="231" t="s">
        <v>17</v>
      </c>
      <c r="E1" s="232" t="s">
        <v>18</v>
      </c>
      <c r="F1" s="233" t="s">
        <v>27</v>
      </c>
      <c r="G1" s="27" t="s">
        <v>23</v>
      </c>
      <c r="H1" s="27" t="s">
        <v>35</v>
      </c>
      <c r="I1" s="27" t="s">
        <v>37</v>
      </c>
      <c r="J1" s="27" t="s">
        <v>1245</v>
      </c>
      <c r="K1" s="27" t="s">
        <v>1236</v>
      </c>
      <c r="L1" s="27" t="s">
        <v>1237</v>
      </c>
      <c r="M1" s="212" t="s">
        <v>1246</v>
      </c>
    </row>
    <row r="2" spans="1:13" ht="23.25" x14ac:dyDescent="0.25">
      <c r="A2" s="234" t="e">
        <f>#REF!</f>
        <v>#REF!</v>
      </c>
      <c r="B2" s="234" t="e">
        <f>#REF!</f>
        <v>#REF!</v>
      </c>
      <c r="C2" s="33" t="e">
        <f>#REF!</f>
        <v>#REF!</v>
      </c>
      <c r="D2" s="33" t="e">
        <f>#REF!</f>
        <v>#REF!</v>
      </c>
      <c r="E2" s="33" t="e">
        <f>#REF!</f>
        <v>#REF!</v>
      </c>
      <c r="F2" s="235" t="e">
        <f>#REF!</f>
        <v>#REF!</v>
      </c>
      <c r="G2" s="33" t="e">
        <f>#REF!</f>
        <v>#REF!</v>
      </c>
      <c r="H2" s="33" t="e">
        <f>#REF!</f>
        <v>#REF!</v>
      </c>
      <c r="I2" s="33" t="e">
        <f>#REF!</f>
        <v>#REF!</v>
      </c>
      <c r="J2" s="33" t="e">
        <f>#REF!</f>
        <v>#REF!</v>
      </c>
      <c r="K2" s="33" t="e">
        <f>#REF!</f>
        <v>#REF!</v>
      </c>
      <c r="L2" s="33" t="e">
        <f>#REF!</f>
        <v>#REF!</v>
      </c>
      <c r="M2" s="33" t="e">
        <f>#REF!</f>
        <v>#REF!</v>
      </c>
    </row>
    <row r="3" spans="1:13" ht="23.25" x14ac:dyDescent="0.25">
      <c r="A3" s="234" t="e">
        <f>#REF!</f>
        <v>#REF!</v>
      </c>
      <c r="B3" s="234" t="e">
        <f>#REF!</f>
        <v>#REF!</v>
      </c>
      <c r="C3" s="33" t="e">
        <f>#REF!</f>
        <v>#REF!</v>
      </c>
      <c r="D3" s="33" t="e">
        <f>#REF!</f>
        <v>#REF!</v>
      </c>
      <c r="E3" s="33" t="e">
        <f>#REF!</f>
        <v>#REF!</v>
      </c>
      <c r="F3" s="235" t="e">
        <f>#REF!</f>
        <v>#REF!</v>
      </c>
      <c r="G3" s="33" t="e">
        <f>#REF!</f>
        <v>#REF!</v>
      </c>
      <c r="H3" s="33" t="e">
        <f>#REF!</f>
        <v>#REF!</v>
      </c>
      <c r="I3" s="33" t="e">
        <f>#REF!</f>
        <v>#REF!</v>
      </c>
      <c r="J3" s="33" t="e">
        <f>#REF!</f>
        <v>#REF!</v>
      </c>
      <c r="K3" s="33" t="e">
        <f>#REF!</f>
        <v>#REF!</v>
      </c>
      <c r="L3" s="33" t="e">
        <f>#REF!</f>
        <v>#REF!</v>
      </c>
      <c r="M3" s="33" t="e">
        <f>#REF!</f>
        <v>#REF!</v>
      </c>
    </row>
    <row r="4" spans="1:13" ht="23.25" x14ac:dyDescent="0.25">
      <c r="A4" s="234" t="e">
        <f>#REF!</f>
        <v>#REF!</v>
      </c>
      <c r="B4" s="234" t="e">
        <f>#REF!</f>
        <v>#REF!</v>
      </c>
      <c r="C4" s="33" t="e">
        <f>#REF!</f>
        <v>#REF!</v>
      </c>
      <c r="D4" s="33" t="e">
        <f>#REF!</f>
        <v>#REF!</v>
      </c>
      <c r="E4" s="33" t="e">
        <f>#REF!</f>
        <v>#REF!</v>
      </c>
      <c r="F4" s="235" t="e">
        <f>#REF!</f>
        <v>#REF!</v>
      </c>
      <c r="G4" s="33" t="e">
        <f>#REF!</f>
        <v>#REF!</v>
      </c>
      <c r="H4" s="33" t="e">
        <f>#REF!</f>
        <v>#REF!</v>
      </c>
      <c r="I4" s="33" t="e">
        <f>#REF!</f>
        <v>#REF!</v>
      </c>
      <c r="J4" s="33" t="e">
        <f>#REF!</f>
        <v>#REF!</v>
      </c>
      <c r="K4" s="33" t="e">
        <f>#REF!</f>
        <v>#REF!</v>
      </c>
      <c r="L4" s="33" t="e">
        <f>#REF!</f>
        <v>#REF!</v>
      </c>
      <c r="M4" s="33" t="e">
        <f>#REF!</f>
        <v>#REF!</v>
      </c>
    </row>
    <row r="5" spans="1:13" ht="23.25" x14ac:dyDescent="0.25">
      <c r="A5" s="234" t="e">
        <f>#REF!</f>
        <v>#REF!</v>
      </c>
      <c r="B5" s="234" t="e">
        <f>#REF!</f>
        <v>#REF!</v>
      </c>
      <c r="C5" s="33" t="e">
        <f>#REF!</f>
        <v>#REF!</v>
      </c>
      <c r="D5" s="33" t="e">
        <f>#REF!</f>
        <v>#REF!</v>
      </c>
      <c r="E5" s="33" t="e">
        <f>#REF!</f>
        <v>#REF!</v>
      </c>
      <c r="F5" s="235" t="e">
        <f>#REF!</f>
        <v>#REF!</v>
      </c>
      <c r="G5" s="33" t="e">
        <f>#REF!</f>
        <v>#REF!</v>
      </c>
      <c r="H5" s="33" t="e">
        <f>#REF!</f>
        <v>#REF!</v>
      </c>
      <c r="I5" s="33" t="e">
        <f>#REF!</f>
        <v>#REF!</v>
      </c>
      <c r="J5" s="33" t="e">
        <f>#REF!</f>
        <v>#REF!</v>
      </c>
      <c r="K5" s="33" t="e">
        <f>#REF!</f>
        <v>#REF!</v>
      </c>
      <c r="L5" s="33" t="e">
        <f>#REF!</f>
        <v>#REF!</v>
      </c>
      <c r="M5" s="33" t="e">
        <f>#REF!</f>
        <v>#REF!</v>
      </c>
    </row>
    <row r="6" spans="1:13" ht="23.25" x14ac:dyDescent="0.25">
      <c r="A6" s="234" t="e">
        <f>#REF!</f>
        <v>#REF!</v>
      </c>
      <c r="B6" s="234" t="e">
        <f>#REF!</f>
        <v>#REF!</v>
      </c>
      <c r="C6" s="33" t="e">
        <f>#REF!</f>
        <v>#REF!</v>
      </c>
      <c r="D6" s="33" t="e">
        <f>#REF!</f>
        <v>#REF!</v>
      </c>
      <c r="E6" s="33" t="e">
        <f>#REF!</f>
        <v>#REF!</v>
      </c>
      <c r="F6" s="235" t="e">
        <f>#REF!</f>
        <v>#REF!</v>
      </c>
      <c r="G6" s="33" t="e">
        <f>#REF!</f>
        <v>#REF!</v>
      </c>
      <c r="H6" s="33" t="e">
        <f>#REF!</f>
        <v>#REF!</v>
      </c>
      <c r="I6" s="33" t="e">
        <f>#REF!</f>
        <v>#REF!</v>
      </c>
      <c r="J6" s="33" t="e">
        <f>#REF!</f>
        <v>#REF!</v>
      </c>
      <c r="K6" s="33" t="e">
        <f>#REF!</f>
        <v>#REF!</v>
      </c>
      <c r="L6" s="33" t="e">
        <f>#REF!</f>
        <v>#REF!</v>
      </c>
      <c r="M6" s="33" t="e">
        <f>#REF!</f>
        <v>#REF!</v>
      </c>
    </row>
    <row r="7" spans="1:13" ht="23.25" x14ac:dyDescent="0.25">
      <c r="A7" s="234" t="e">
        <f>#REF!</f>
        <v>#REF!</v>
      </c>
      <c r="B7" s="234" t="e">
        <f>#REF!</f>
        <v>#REF!</v>
      </c>
      <c r="C7" s="33" t="e">
        <f>#REF!</f>
        <v>#REF!</v>
      </c>
      <c r="D7" s="33" t="e">
        <f>#REF!</f>
        <v>#REF!</v>
      </c>
      <c r="E7" s="33" t="e">
        <f>#REF!</f>
        <v>#REF!</v>
      </c>
      <c r="F7" s="235" t="e">
        <f>#REF!</f>
        <v>#REF!</v>
      </c>
      <c r="G7" s="33" t="e">
        <f>#REF!</f>
        <v>#REF!</v>
      </c>
      <c r="H7" s="33" t="e">
        <f>#REF!</f>
        <v>#REF!</v>
      </c>
      <c r="I7" s="33" t="e">
        <f>#REF!</f>
        <v>#REF!</v>
      </c>
      <c r="J7" s="33" t="e">
        <f>#REF!</f>
        <v>#REF!</v>
      </c>
      <c r="K7" s="33" t="e">
        <f>#REF!</f>
        <v>#REF!</v>
      </c>
      <c r="L7" s="33" t="e">
        <f>#REF!</f>
        <v>#REF!</v>
      </c>
      <c r="M7" s="33" t="e">
        <f>#REF!</f>
        <v>#REF!</v>
      </c>
    </row>
    <row r="8" spans="1:13" ht="23.25" x14ac:dyDescent="0.25">
      <c r="A8" s="234" t="e">
        <f>#REF!</f>
        <v>#REF!</v>
      </c>
      <c r="B8" s="234" t="e">
        <f>#REF!</f>
        <v>#REF!</v>
      </c>
      <c r="C8" s="33" t="e">
        <f>#REF!</f>
        <v>#REF!</v>
      </c>
      <c r="D8" s="33" t="e">
        <f>#REF!</f>
        <v>#REF!</v>
      </c>
      <c r="E8" s="33" t="e">
        <f>#REF!</f>
        <v>#REF!</v>
      </c>
      <c r="F8" s="235" t="e">
        <f>#REF!</f>
        <v>#REF!</v>
      </c>
      <c r="G8" s="33" t="e">
        <f>#REF!</f>
        <v>#REF!</v>
      </c>
      <c r="H8" s="33" t="e">
        <f>#REF!</f>
        <v>#REF!</v>
      </c>
      <c r="I8" s="33" t="e">
        <f>#REF!</f>
        <v>#REF!</v>
      </c>
      <c r="J8" s="33" t="e">
        <f>#REF!</f>
        <v>#REF!</v>
      </c>
      <c r="K8" s="33" t="e">
        <f>#REF!</f>
        <v>#REF!</v>
      </c>
      <c r="L8" s="33" t="e">
        <f>#REF!</f>
        <v>#REF!</v>
      </c>
      <c r="M8" s="33" t="e">
        <f>#REF!</f>
        <v>#REF!</v>
      </c>
    </row>
    <row r="9" spans="1:13" ht="23.25" x14ac:dyDescent="0.25">
      <c r="A9" s="234" t="e">
        <f>#REF!</f>
        <v>#REF!</v>
      </c>
      <c r="B9" s="234" t="e">
        <f>#REF!</f>
        <v>#REF!</v>
      </c>
      <c r="C9" s="33" t="e">
        <f>#REF!</f>
        <v>#REF!</v>
      </c>
      <c r="D9" s="33" t="e">
        <f>#REF!</f>
        <v>#REF!</v>
      </c>
      <c r="E9" s="33" t="e">
        <f>#REF!</f>
        <v>#REF!</v>
      </c>
      <c r="F9" s="235" t="e">
        <f>#REF!</f>
        <v>#REF!</v>
      </c>
      <c r="G9" s="33" t="e">
        <f>#REF!</f>
        <v>#REF!</v>
      </c>
      <c r="H9" s="33" t="e">
        <f>#REF!</f>
        <v>#REF!</v>
      </c>
      <c r="I9" s="33" t="e">
        <f>#REF!</f>
        <v>#REF!</v>
      </c>
      <c r="J9" s="33" t="e">
        <f>#REF!</f>
        <v>#REF!</v>
      </c>
      <c r="K9" s="33" t="e">
        <f>#REF!</f>
        <v>#REF!</v>
      </c>
      <c r="L9" s="33" t="e">
        <f>#REF!</f>
        <v>#REF!</v>
      </c>
      <c r="M9" s="33" t="e">
        <f>#REF!</f>
        <v>#REF!</v>
      </c>
    </row>
    <row r="10" spans="1:13" ht="23.25" x14ac:dyDescent="0.25">
      <c r="A10" s="234" t="e">
        <f>#REF!</f>
        <v>#REF!</v>
      </c>
      <c r="B10" s="234" t="e">
        <f>#REF!</f>
        <v>#REF!</v>
      </c>
      <c r="C10" s="33" t="e">
        <f>#REF!</f>
        <v>#REF!</v>
      </c>
      <c r="D10" s="33" t="e">
        <f>#REF!</f>
        <v>#REF!</v>
      </c>
      <c r="E10" s="33" t="e">
        <f>#REF!</f>
        <v>#REF!</v>
      </c>
      <c r="F10" s="235" t="e">
        <f>#REF!</f>
        <v>#REF!</v>
      </c>
      <c r="G10" s="33" t="e">
        <f>#REF!</f>
        <v>#REF!</v>
      </c>
      <c r="H10" s="33" t="e">
        <f>#REF!</f>
        <v>#REF!</v>
      </c>
      <c r="I10" s="33" t="e">
        <f>#REF!</f>
        <v>#REF!</v>
      </c>
      <c r="J10" s="33" t="e">
        <f>#REF!</f>
        <v>#REF!</v>
      </c>
      <c r="K10" s="33" t="e">
        <f>#REF!</f>
        <v>#REF!</v>
      </c>
      <c r="L10" s="33" t="e">
        <f>#REF!</f>
        <v>#REF!</v>
      </c>
      <c r="M10" s="33" t="e">
        <f>#REF!</f>
        <v>#REF!</v>
      </c>
    </row>
    <row r="11" spans="1:13" ht="23.25" x14ac:dyDescent="0.25">
      <c r="A11" s="234" t="e">
        <f>#REF!</f>
        <v>#REF!</v>
      </c>
      <c r="B11" s="234" t="e">
        <f>#REF!</f>
        <v>#REF!</v>
      </c>
      <c r="C11" s="33" t="e">
        <f>#REF!</f>
        <v>#REF!</v>
      </c>
      <c r="D11" s="33" t="e">
        <f>#REF!</f>
        <v>#REF!</v>
      </c>
      <c r="E11" s="33" t="e">
        <f>#REF!</f>
        <v>#REF!</v>
      </c>
      <c r="F11" s="235" t="e">
        <f>#REF!</f>
        <v>#REF!</v>
      </c>
      <c r="G11" s="33" t="e">
        <f>#REF!</f>
        <v>#REF!</v>
      </c>
      <c r="H11" s="33" t="e">
        <f>#REF!</f>
        <v>#REF!</v>
      </c>
      <c r="I11" s="33" t="e">
        <f>#REF!</f>
        <v>#REF!</v>
      </c>
      <c r="J11" s="33" t="e">
        <f>#REF!</f>
        <v>#REF!</v>
      </c>
      <c r="K11" s="33" t="e">
        <f>#REF!</f>
        <v>#REF!</v>
      </c>
      <c r="L11" s="33" t="e">
        <f>#REF!</f>
        <v>#REF!</v>
      </c>
      <c r="M11" s="33" t="e">
        <f>#REF!</f>
        <v>#REF!</v>
      </c>
    </row>
    <row r="12" spans="1:13" ht="23.25" x14ac:dyDescent="0.25">
      <c r="A12" s="234" t="e">
        <f>#REF!</f>
        <v>#REF!</v>
      </c>
      <c r="B12" s="234" t="e">
        <f>#REF!</f>
        <v>#REF!</v>
      </c>
      <c r="C12" s="33" t="e">
        <f>#REF!</f>
        <v>#REF!</v>
      </c>
      <c r="D12" s="33" t="e">
        <f>#REF!</f>
        <v>#REF!</v>
      </c>
      <c r="E12" s="33" t="e">
        <f>#REF!</f>
        <v>#REF!</v>
      </c>
      <c r="F12" s="235" t="e">
        <f>#REF!</f>
        <v>#REF!</v>
      </c>
      <c r="G12" s="33" t="e">
        <f>#REF!</f>
        <v>#REF!</v>
      </c>
      <c r="H12" s="33" t="e">
        <f>#REF!</f>
        <v>#REF!</v>
      </c>
      <c r="I12" s="33" t="e">
        <f>#REF!</f>
        <v>#REF!</v>
      </c>
      <c r="J12" s="33" t="e">
        <f>#REF!</f>
        <v>#REF!</v>
      </c>
      <c r="K12" s="33" t="e">
        <f>#REF!</f>
        <v>#REF!</v>
      </c>
      <c r="L12" s="33" t="e">
        <f>#REF!</f>
        <v>#REF!</v>
      </c>
      <c r="M12" s="33" t="e">
        <f>#REF!</f>
        <v>#REF!</v>
      </c>
    </row>
    <row r="13" spans="1:13" ht="23.25" x14ac:dyDescent="0.25">
      <c r="A13" s="234" t="e">
        <f>#REF!</f>
        <v>#REF!</v>
      </c>
      <c r="B13" s="234" t="e">
        <f>#REF!</f>
        <v>#REF!</v>
      </c>
      <c r="C13" s="33" t="e">
        <f>#REF!</f>
        <v>#REF!</v>
      </c>
      <c r="D13" s="33" t="e">
        <f>#REF!</f>
        <v>#REF!</v>
      </c>
      <c r="E13" s="33" t="e">
        <f>#REF!</f>
        <v>#REF!</v>
      </c>
      <c r="F13" s="235" t="e">
        <f>#REF!</f>
        <v>#REF!</v>
      </c>
      <c r="G13" s="33" t="e">
        <f>#REF!</f>
        <v>#REF!</v>
      </c>
      <c r="H13" s="33" t="e">
        <f>#REF!</f>
        <v>#REF!</v>
      </c>
      <c r="I13" s="33" t="e">
        <f>#REF!</f>
        <v>#REF!</v>
      </c>
      <c r="J13" s="33" t="e">
        <f>#REF!</f>
        <v>#REF!</v>
      </c>
      <c r="K13" s="33" t="e">
        <f>#REF!</f>
        <v>#REF!</v>
      </c>
      <c r="L13" s="33" t="e">
        <f>#REF!</f>
        <v>#REF!</v>
      </c>
      <c r="M13" s="33" t="e">
        <f>#REF!</f>
        <v>#REF!</v>
      </c>
    </row>
    <row r="14" spans="1:13" ht="23.25" x14ac:dyDescent="0.25">
      <c r="A14" s="234" t="e">
        <f>#REF!</f>
        <v>#REF!</v>
      </c>
      <c r="B14" s="234" t="e">
        <f>#REF!</f>
        <v>#REF!</v>
      </c>
      <c r="C14" s="33" t="e">
        <f>#REF!</f>
        <v>#REF!</v>
      </c>
      <c r="D14" s="33" t="e">
        <f>#REF!</f>
        <v>#REF!</v>
      </c>
      <c r="E14" s="33" t="e">
        <f>#REF!</f>
        <v>#REF!</v>
      </c>
      <c r="F14" s="235" t="e">
        <f>#REF!</f>
        <v>#REF!</v>
      </c>
      <c r="G14" s="33" t="e">
        <f>#REF!</f>
        <v>#REF!</v>
      </c>
      <c r="H14" s="33" t="e">
        <f>#REF!</f>
        <v>#REF!</v>
      </c>
      <c r="I14" s="33" t="e">
        <f>#REF!</f>
        <v>#REF!</v>
      </c>
      <c r="J14" s="33" t="e">
        <f>#REF!</f>
        <v>#REF!</v>
      </c>
      <c r="K14" s="33" t="e">
        <f>#REF!</f>
        <v>#REF!</v>
      </c>
      <c r="L14" s="33" t="e">
        <f>#REF!</f>
        <v>#REF!</v>
      </c>
      <c r="M14" s="33" t="e">
        <f>#REF!</f>
        <v>#REF!</v>
      </c>
    </row>
    <row r="15" spans="1:13" ht="23.25" x14ac:dyDescent="0.25">
      <c r="A15" s="234" t="e">
        <f>#REF!</f>
        <v>#REF!</v>
      </c>
      <c r="B15" s="234" t="e">
        <f>#REF!</f>
        <v>#REF!</v>
      </c>
      <c r="C15" s="33" t="e">
        <f>#REF!</f>
        <v>#REF!</v>
      </c>
      <c r="D15" s="33" t="e">
        <f>#REF!</f>
        <v>#REF!</v>
      </c>
      <c r="E15" s="33" t="e">
        <f>#REF!</f>
        <v>#REF!</v>
      </c>
      <c r="F15" s="235" t="e">
        <f>#REF!</f>
        <v>#REF!</v>
      </c>
      <c r="G15" s="33" t="e">
        <f>#REF!</f>
        <v>#REF!</v>
      </c>
      <c r="H15" s="33" t="e">
        <f>#REF!</f>
        <v>#REF!</v>
      </c>
      <c r="I15" s="33" t="e">
        <f>#REF!</f>
        <v>#REF!</v>
      </c>
      <c r="J15" s="33" t="e">
        <f>#REF!</f>
        <v>#REF!</v>
      </c>
      <c r="K15" s="33" t="e">
        <f>#REF!</f>
        <v>#REF!</v>
      </c>
      <c r="L15" s="33" t="e">
        <f>#REF!</f>
        <v>#REF!</v>
      </c>
      <c r="M15" s="33" t="e">
        <f>#REF!</f>
        <v>#REF!</v>
      </c>
    </row>
    <row r="16" spans="1:13" ht="23.25" x14ac:dyDescent="0.25">
      <c r="A16" s="234" t="e">
        <f>#REF!</f>
        <v>#REF!</v>
      </c>
      <c r="B16" s="234" t="e">
        <f>#REF!</f>
        <v>#REF!</v>
      </c>
      <c r="C16" s="33" t="e">
        <f>#REF!</f>
        <v>#REF!</v>
      </c>
      <c r="D16" s="33" t="e">
        <f>#REF!</f>
        <v>#REF!</v>
      </c>
      <c r="E16" s="33" t="e">
        <f>#REF!</f>
        <v>#REF!</v>
      </c>
      <c r="F16" s="235" t="e">
        <f>#REF!</f>
        <v>#REF!</v>
      </c>
      <c r="G16" s="33" t="e">
        <f>#REF!</f>
        <v>#REF!</v>
      </c>
      <c r="H16" s="33" t="e">
        <f>#REF!</f>
        <v>#REF!</v>
      </c>
      <c r="I16" s="33" t="e">
        <f>#REF!</f>
        <v>#REF!</v>
      </c>
      <c r="J16" s="33" t="e">
        <f>#REF!</f>
        <v>#REF!</v>
      </c>
      <c r="K16" s="33" t="e">
        <f>#REF!</f>
        <v>#REF!</v>
      </c>
      <c r="L16" s="33" t="e">
        <f>#REF!</f>
        <v>#REF!</v>
      </c>
      <c r="M16" s="33" t="e">
        <f>#REF!</f>
        <v>#REF!</v>
      </c>
    </row>
    <row r="17" spans="1:13" ht="23.25" x14ac:dyDescent="0.25">
      <c r="A17" s="234" t="e">
        <f>#REF!</f>
        <v>#REF!</v>
      </c>
      <c r="B17" s="234" t="e">
        <f>#REF!</f>
        <v>#REF!</v>
      </c>
      <c r="C17" s="33" t="e">
        <f>#REF!</f>
        <v>#REF!</v>
      </c>
      <c r="D17" s="33" t="e">
        <f>#REF!</f>
        <v>#REF!</v>
      </c>
      <c r="E17" s="33" t="e">
        <f>#REF!</f>
        <v>#REF!</v>
      </c>
      <c r="F17" s="235" t="e">
        <f>#REF!</f>
        <v>#REF!</v>
      </c>
      <c r="G17" s="33" t="e">
        <f>#REF!</f>
        <v>#REF!</v>
      </c>
      <c r="H17" s="33" t="e">
        <f>#REF!</f>
        <v>#REF!</v>
      </c>
      <c r="I17" s="33" t="e">
        <f>#REF!</f>
        <v>#REF!</v>
      </c>
      <c r="J17" s="33" t="e">
        <f>#REF!</f>
        <v>#REF!</v>
      </c>
      <c r="K17" s="33" t="e">
        <f>#REF!</f>
        <v>#REF!</v>
      </c>
      <c r="L17" s="33" t="e">
        <f>#REF!</f>
        <v>#REF!</v>
      </c>
      <c r="M17" s="33" t="e">
        <f>#REF!</f>
        <v>#REF!</v>
      </c>
    </row>
    <row r="18" spans="1:13" ht="23.25" x14ac:dyDescent="0.25">
      <c r="A18" s="234" t="e">
        <f>#REF!</f>
        <v>#REF!</v>
      </c>
      <c r="B18" s="234" t="e">
        <f>#REF!</f>
        <v>#REF!</v>
      </c>
      <c r="C18" s="33" t="e">
        <f>#REF!</f>
        <v>#REF!</v>
      </c>
      <c r="D18" s="33" t="e">
        <f>#REF!</f>
        <v>#REF!</v>
      </c>
      <c r="E18" s="33" t="e">
        <f>#REF!</f>
        <v>#REF!</v>
      </c>
      <c r="F18" s="235" t="e">
        <f>#REF!</f>
        <v>#REF!</v>
      </c>
      <c r="G18" s="33" t="e">
        <f>#REF!</f>
        <v>#REF!</v>
      </c>
      <c r="H18" s="33" t="e">
        <f>#REF!</f>
        <v>#REF!</v>
      </c>
      <c r="I18" s="33" t="e">
        <f>#REF!</f>
        <v>#REF!</v>
      </c>
      <c r="J18" s="33" t="e">
        <f>#REF!</f>
        <v>#REF!</v>
      </c>
      <c r="K18" s="33" t="e">
        <f>#REF!</f>
        <v>#REF!</v>
      </c>
      <c r="L18" s="33" t="e">
        <f>#REF!</f>
        <v>#REF!</v>
      </c>
      <c r="M18" s="33" t="e">
        <f>#REF!</f>
        <v>#REF!</v>
      </c>
    </row>
    <row r="19" spans="1:13" ht="23.25" x14ac:dyDescent="0.25">
      <c r="A19" s="234" t="e">
        <f>#REF!</f>
        <v>#REF!</v>
      </c>
      <c r="B19" s="234" t="e">
        <f>#REF!</f>
        <v>#REF!</v>
      </c>
      <c r="C19" s="33" t="e">
        <f>#REF!</f>
        <v>#REF!</v>
      </c>
      <c r="D19" s="33" t="e">
        <f>#REF!</f>
        <v>#REF!</v>
      </c>
      <c r="E19" s="33" t="e">
        <f>#REF!</f>
        <v>#REF!</v>
      </c>
      <c r="F19" s="235" t="e">
        <f>#REF!</f>
        <v>#REF!</v>
      </c>
      <c r="G19" s="33" t="e">
        <f>#REF!</f>
        <v>#REF!</v>
      </c>
      <c r="H19" s="33" t="e">
        <f>#REF!</f>
        <v>#REF!</v>
      </c>
      <c r="I19" s="33" t="e">
        <f>#REF!</f>
        <v>#REF!</v>
      </c>
      <c r="J19" s="33" t="e">
        <f>#REF!</f>
        <v>#REF!</v>
      </c>
      <c r="K19" s="33" t="e">
        <f>#REF!</f>
        <v>#REF!</v>
      </c>
      <c r="L19" s="33" t="e">
        <f>#REF!</f>
        <v>#REF!</v>
      </c>
      <c r="M19" s="33" t="e">
        <f>#REF!</f>
        <v>#REF!</v>
      </c>
    </row>
    <row r="20" spans="1:13" ht="23.25" x14ac:dyDescent="0.25">
      <c r="A20" s="234" t="e">
        <f>#REF!</f>
        <v>#REF!</v>
      </c>
      <c r="B20" s="234" t="e">
        <f>#REF!</f>
        <v>#REF!</v>
      </c>
      <c r="C20" s="33" t="e">
        <f>#REF!</f>
        <v>#REF!</v>
      </c>
      <c r="D20" s="33" t="e">
        <f>#REF!</f>
        <v>#REF!</v>
      </c>
      <c r="E20" s="33" t="e">
        <f>#REF!</f>
        <v>#REF!</v>
      </c>
      <c r="F20" s="235" t="e">
        <f>#REF!</f>
        <v>#REF!</v>
      </c>
      <c r="G20" s="33" t="e">
        <f>#REF!</f>
        <v>#REF!</v>
      </c>
      <c r="H20" s="33" t="e">
        <f>#REF!</f>
        <v>#REF!</v>
      </c>
      <c r="I20" s="33" t="e">
        <f>#REF!</f>
        <v>#REF!</v>
      </c>
      <c r="J20" s="33" t="e">
        <f>#REF!</f>
        <v>#REF!</v>
      </c>
      <c r="K20" s="33" t="e">
        <f>#REF!</f>
        <v>#REF!</v>
      </c>
      <c r="L20" s="33" t="e">
        <f>#REF!</f>
        <v>#REF!</v>
      </c>
      <c r="M20" s="33" t="e">
        <f>#REF!</f>
        <v>#REF!</v>
      </c>
    </row>
    <row r="21" spans="1:13" ht="23.25" x14ac:dyDescent="0.25">
      <c r="A21" s="234" t="e">
        <f>#REF!</f>
        <v>#REF!</v>
      </c>
      <c r="B21" s="234" t="e">
        <f>#REF!</f>
        <v>#REF!</v>
      </c>
      <c r="C21" s="33" t="e">
        <f>#REF!</f>
        <v>#REF!</v>
      </c>
      <c r="D21" s="33" t="e">
        <f>#REF!</f>
        <v>#REF!</v>
      </c>
      <c r="E21" s="33" t="e">
        <f>#REF!</f>
        <v>#REF!</v>
      </c>
      <c r="F21" s="235" t="e">
        <f>#REF!</f>
        <v>#REF!</v>
      </c>
      <c r="G21" s="33" t="e">
        <f>#REF!</f>
        <v>#REF!</v>
      </c>
      <c r="H21" s="33" t="e">
        <f>#REF!</f>
        <v>#REF!</v>
      </c>
      <c r="I21" s="33" t="e">
        <f>#REF!</f>
        <v>#REF!</v>
      </c>
      <c r="J21" s="33" t="e">
        <f>#REF!</f>
        <v>#REF!</v>
      </c>
      <c r="K21" s="33" t="e">
        <f>#REF!</f>
        <v>#REF!</v>
      </c>
      <c r="L21" s="33" t="e">
        <f>#REF!</f>
        <v>#REF!</v>
      </c>
      <c r="M21" s="33" t="e">
        <f>#REF!</f>
        <v>#REF!</v>
      </c>
    </row>
    <row r="22" spans="1:13" ht="23.25" x14ac:dyDescent="0.25">
      <c r="A22" s="234" t="e">
        <f>#REF!</f>
        <v>#REF!</v>
      </c>
      <c r="B22" s="234" t="e">
        <f>#REF!</f>
        <v>#REF!</v>
      </c>
      <c r="C22" s="33" t="e">
        <f>#REF!</f>
        <v>#REF!</v>
      </c>
      <c r="D22" s="33" t="e">
        <f>#REF!</f>
        <v>#REF!</v>
      </c>
      <c r="E22" s="33" t="e">
        <f>#REF!</f>
        <v>#REF!</v>
      </c>
      <c r="F22" s="235" t="e">
        <f>#REF!</f>
        <v>#REF!</v>
      </c>
      <c r="G22" s="33" t="e">
        <f>#REF!</f>
        <v>#REF!</v>
      </c>
      <c r="H22" s="33" t="e">
        <f>#REF!</f>
        <v>#REF!</v>
      </c>
      <c r="I22" s="33" t="e">
        <f>#REF!</f>
        <v>#REF!</v>
      </c>
      <c r="J22" s="33" t="e">
        <f>#REF!</f>
        <v>#REF!</v>
      </c>
      <c r="K22" s="33" t="e">
        <f>#REF!</f>
        <v>#REF!</v>
      </c>
      <c r="L22" s="33" t="e">
        <f>#REF!</f>
        <v>#REF!</v>
      </c>
      <c r="M22" s="33" t="e">
        <f>#REF!</f>
        <v>#REF!</v>
      </c>
    </row>
    <row r="23" spans="1:13" ht="23.25" x14ac:dyDescent="0.25">
      <c r="A23" s="234" t="e">
        <f>#REF!</f>
        <v>#REF!</v>
      </c>
      <c r="B23" s="234" t="e">
        <f>#REF!</f>
        <v>#REF!</v>
      </c>
      <c r="C23" s="33" t="e">
        <f>#REF!</f>
        <v>#REF!</v>
      </c>
      <c r="D23" s="33" t="e">
        <f>#REF!</f>
        <v>#REF!</v>
      </c>
      <c r="E23" s="33" t="e">
        <f>#REF!</f>
        <v>#REF!</v>
      </c>
      <c r="F23" s="235" t="e">
        <f>#REF!</f>
        <v>#REF!</v>
      </c>
      <c r="G23" s="33" t="e">
        <f>#REF!</f>
        <v>#REF!</v>
      </c>
      <c r="H23" s="33" t="e">
        <f>#REF!</f>
        <v>#REF!</v>
      </c>
      <c r="I23" s="33" t="e">
        <f>#REF!</f>
        <v>#REF!</v>
      </c>
      <c r="J23" s="33" t="e">
        <f>#REF!</f>
        <v>#REF!</v>
      </c>
      <c r="K23" s="33" t="e">
        <f>#REF!</f>
        <v>#REF!</v>
      </c>
      <c r="L23" s="33" t="e">
        <f>#REF!</f>
        <v>#REF!</v>
      </c>
      <c r="M23" s="33" t="e">
        <f>#REF!</f>
        <v>#REF!</v>
      </c>
    </row>
    <row r="24" spans="1:13" ht="23.25" x14ac:dyDescent="0.25">
      <c r="A24" s="234" t="e">
        <f>#REF!</f>
        <v>#REF!</v>
      </c>
      <c r="B24" s="234" t="e">
        <f>#REF!</f>
        <v>#REF!</v>
      </c>
      <c r="C24" s="33" t="e">
        <f>#REF!</f>
        <v>#REF!</v>
      </c>
      <c r="D24" s="33" t="e">
        <f>#REF!</f>
        <v>#REF!</v>
      </c>
      <c r="E24" s="33" t="e">
        <f>#REF!</f>
        <v>#REF!</v>
      </c>
      <c r="F24" s="235" t="e">
        <f>#REF!</f>
        <v>#REF!</v>
      </c>
      <c r="G24" s="33" t="e">
        <f>#REF!</f>
        <v>#REF!</v>
      </c>
      <c r="H24" s="33" t="e">
        <f>#REF!</f>
        <v>#REF!</v>
      </c>
      <c r="I24" s="33" t="e">
        <f>#REF!</f>
        <v>#REF!</v>
      </c>
      <c r="J24" s="33" t="e">
        <f>#REF!</f>
        <v>#REF!</v>
      </c>
      <c r="K24" s="33" t="e">
        <f>#REF!</f>
        <v>#REF!</v>
      </c>
      <c r="L24" s="33" t="e">
        <f>#REF!</f>
        <v>#REF!</v>
      </c>
      <c r="M24" s="33" t="e">
        <f>#REF!</f>
        <v>#REF!</v>
      </c>
    </row>
    <row r="25" spans="1:13" ht="23.25" x14ac:dyDescent="0.25">
      <c r="A25" s="234" t="e">
        <f>#REF!</f>
        <v>#REF!</v>
      </c>
      <c r="B25" s="234" t="e">
        <f>#REF!</f>
        <v>#REF!</v>
      </c>
      <c r="C25" s="33" t="e">
        <f>#REF!</f>
        <v>#REF!</v>
      </c>
      <c r="D25" s="33" t="e">
        <f>#REF!</f>
        <v>#REF!</v>
      </c>
      <c r="E25" s="33" t="e">
        <f>#REF!</f>
        <v>#REF!</v>
      </c>
      <c r="F25" s="235" t="e">
        <f>#REF!</f>
        <v>#REF!</v>
      </c>
      <c r="G25" s="33" t="e">
        <f>#REF!</f>
        <v>#REF!</v>
      </c>
      <c r="H25" s="33" t="e">
        <f>#REF!</f>
        <v>#REF!</v>
      </c>
      <c r="I25" s="33" t="e">
        <f>#REF!</f>
        <v>#REF!</v>
      </c>
      <c r="J25" s="33" t="e">
        <f>#REF!</f>
        <v>#REF!</v>
      </c>
      <c r="K25" s="33" t="e">
        <f>#REF!</f>
        <v>#REF!</v>
      </c>
      <c r="L25" s="33" t="e">
        <f>#REF!</f>
        <v>#REF!</v>
      </c>
      <c r="M25" s="33" t="e">
        <f>#REF!</f>
        <v>#REF!</v>
      </c>
    </row>
    <row r="26" spans="1:13" ht="23.25" x14ac:dyDescent="0.25">
      <c r="A26" s="234" t="e">
        <f>#REF!</f>
        <v>#REF!</v>
      </c>
      <c r="B26" s="234" t="e">
        <f>#REF!</f>
        <v>#REF!</v>
      </c>
      <c r="C26" s="33" t="e">
        <f>#REF!</f>
        <v>#REF!</v>
      </c>
      <c r="D26" s="33" t="e">
        <f>#REF!</f>
        <v>#REF!</v>
      </c>
      <c r="E26" s="33" t="e">
        <f>#REF!</f>
        <v>#REF!</v>
      </c>
      <c r="F26" s="235" t="e">
        <f>#REF!</f>
        <v>#REF!</v>
      </c>
      <c r="G26" s="33" t="e">
        <f>#REF!</f>
        <v>#REF!</v>
      </c>
      <c r="H26" s="33" t="e">
        <f>#REF!</f>
        <v>#REF!</v>
      </c>
      <c r="I26" s="33" t="e">
        <f>#REF!</f>
        <v>#REF!</v>
      </c>
      <c r="J26" s="33" t="e">
        <f>#REF!</f>
        <v>#REF!</v>
      </c>
      <c r="K26" s="33" t="e">
        <f>#REF!</f>
        <v>#REF!</v>
      </c>
      <c r="L26" s="33" t="e">
        <f>#REF!</f>
        <v>#REF!</v>
      </c>
      <c r="M26" s="33" t="e">
        <f>#REF!</f>
        <v>#REF!</v>
      </c>
    </row>
    <row r="27" spans="1:13" ht="23.25" x14ac:dyDescent="0.25">
      <c r="A27" s="234" t="e">
        <f>#REF!</f>
        <v>#REF!</v>
      </c>
      <c r="B27" s="234" t="e">
        <f>#REF!</f>
        <v>#REF!</v>
      </c>
      <c r="C27" s="33" t="e">
        <f>#REF!</f>
        <v>#REF!</v>
      </c>
      <c r="D27" s="33" t="e">
        <f>#REF!</f>
        <v>#REF!</v>
      </c>
      <c r="E27" s="33" t="e">
        <f>#REF!</f>
        <v>#REF!</v>
      </c>
      <c r="F27" s="235" t="e">
        <f>#REF!</f>
        <v>#REF!</v>
      </c>
      <c r="G27" s="33" t="e">
        <f>#REF!</f>
        <v>#REF!</v>
      </c>
      <c r="H27" s="33" t="e">
        <f>#REF!</f>
        <v>#REF!</v>
      </c>
      <c r="I27" s="33" t="e">
        <f>#REF!</f>
        <v>#REF!</v>
      </c>
      <c r="J27" s="33" t="e">
        <f>#REF!</f>
        <v>#REF!</v>
      </c>
      <c r="K27" s="33" t="e">
        <f>#REF!</f>
        <v>#REF!</v>
      </c>
      <c r="L27" s="33" t="e">
        <f>#REF!</f>
        <v>#REF!</v>
      </c>
      <c r="M27" s="33" t="e">
        <f>#REF!</f>
        <v>#REF!</v>
      </c>
    </row>
    <row r="28" spans="1:13" ht="23.25" x14ac:dyDescent="0.25">
      <c r="A28" s="234" t="e">
        <f>#REF!</f>
        <v>#REF!</v>
      </c>
      <c r="B28" s="234" t="e">
        <f>#REF!</f>
        <v>#REF!</v>
      </c>
      <c r="C28" s="33" t="e">
        <f>#REF!</f>
        <v>#REF!</v>
      </c>
      <c r="D28" s="33" t="e">
        <f>#REF!</f>
        <v>#REF!</v>
      </c>
      <c r="E28" s="33" t="e">
        <f>#REF!</f>
        <v>#REF!</v>
      </c>
      <c r="F28" s="235" t="e">
        <f>#REF!</f>
        <v>#REF!</v>
      </c>
      <c r="G28" s="33" t="e">
        <f>#REF!</f>
        <v>#REF!</v>
      </c>
      <c r="H28" s="33" t="e">
        <f>#REF!</f>
        <v>#REF!</v>
      </c>
      <c r="I28" s="33" t="e">
        <f>#REF!</f>
        <v>#REF!</v>
      </c>
      <c r="J28" s="33" t="e">
        <f>#REF!</f>
        <v>#REF!</v>
      </c>
      <c r="K28" s="33" t="e">
        <f>#REF!</f>
        <v>#REF!</v>
      </c>
      <c r="L28" s="33" t="e">
        <f>#REF!</f>
        <v>#REF!</v>
      </c>
      <c r="M28" s="33" t="e">
        <f>#REF!</f>
        <v>#REF!</v>
      </c>
    </row>
    <row r="29" spans="1:13" ht="23.25" x14ac:dyDescent="0.25">
      <c r="A29" s="234" t="e">
        <f>#REF!</f>
        <v>#REF!</v>
      </c>
      <c r="B29" s="234" t="e">
        <f>#REF!</f>
        <v>#REF!</v>
      </c>
      <c r="C29" s="33" t="e">
        <f>#REF!</f>
        <v>#REF!</v>
      </c>
      <c r="D29" s="33" t="e">
        <f>#REF!</f>
        <v>#REF!</v>
      </c>
      <c r="E29" s="33" t="e">
        <f>#REF!</f>
        <v>#REF!</v>
      </c>
      <c r="F29" s="235" t="e">
        <f>#REF!</f>
        <v>#REF!</v>
      </c>
      <c r="G29" s="33" t="e">
        <f>#REF!</f>
        <v>#REF!</v>
      </c>
      <c r="H29" s="33" t="e">
        <f>#REF!</f>
        <v>#REF!</v>
      </c>
      <c r="I29" s="33" t="e">
        <f>#REF!</f>
        <v>#REF!</v>
      </c>
      <c r="J29" s="33" t="e">
        <f>#REF!</f>
        <v>#REF!</v>
      </c>
      <c r="K29" s="33" t="e">
        <f>#REF!</f>
        <v>#REF!</v>
      </c>
      <c r="L29" s="33" t="e">
        <f>#REF!</f>
        <v>#REF!</v>
      </c>
      <c r="M29" s="33" t="e">
        <f>#REF!</f>
        <v>#REF!</v>
      </c>
    </row>
    <row r="30" spans="1:13" ht="23.25" x14ac:dyDescent="0.25">
      <c r="A30" s="234" t="e">
        <f>#REF!</f>
        <v>#REF!</v>
      </c>
      <c r="B30" s="234" t="e">
        <f>#REF!</f>
        <v>#REF!</v>
      </c>
      <c r="C30" s="33" t="e">
        <f>#REF!</f>
        <v>#REF!</v>
      </c>
      <c r="D30" s="33" t="e">
        <f>#REF!</f>
        <v>#REF!</v>
      </c>
      <c r="E30" s="33" t="e">
        <f>#REF!</f>
        <v>#REF!</v>
      </c>
      <c r="F30" s="235" t="e">
        <f>#REF!</f>
        <v>#REF!</v>
      </c>
      <c r="G30" s="33" t="e">
        <f>#REF!</f>
        <v>#REF!</v>
      </c>
      <c r="H30" s="33" t="e">
        <f>#REF!</f>
        <v>#REF!</v>
      </c>
      <c r="I30" s="33" t="e">
        <f>#REF!</f>
        <v>#REF!</v>
      </c>
      <c r="J30" s="33" t="e">
        <f>#REF!</f>
        <v>#REF!</v>
      </c>
      <c r="K30" s="33" t="e">
        <f>#REF!</f>
        <v>#REF!</v>
      </c>
      <c r="L30" s="33" t="e">
        <f>#REF!</f>
        <v>#REF!</v>
      </c>
      <c r="M30" s="33" t="e">
        <f>#REF!</f>
        <v>#REF!</v>
      </c>
    </row>
    <row r="31" spans="1:13" ht="23.25" x14ac:dyDescent="0.25">
      <c r="A31" s="234" t="e">
        <f>#REF!</f>
        <v>#REF!</v>
      </c>
      <c r="B31" s="234" t="e">
        <f>#REF!</f>
        <v>#REF!</v>
      </c>
      <c r="C31" s="33" t="e">
        <f>#REF!</f>
        <v>#REF!</v>
      </c>
      <c r="D31" s="33" t="e">
        <f>#REF!</f>
        <v>#REF!</v>
      </c>
      <c r="E31" s="33" t="e">
        <f>#REF!</f>
        <v>#REF!</v>
      </c>
      <c r="F31" s="235" t="e">
        <f>#REF!</f>
        <v>#REF!</v>
      </c>
      <c r="G31" s="33" t="e">
        <f>#REF!</f>
        <v>#REF!</v>
      </c>
      <c r="H31" s="33" t="e">
        <f>#REF!</f>
        <v>#REF!</v>
      </c>
      <c r="I31" s="33" t="e">
        <f>#REF!</f>
        <v>#REF!</v>
      </c>
      <c r="J31" s="33" t="e">
        <f>#REF!</f>
        <v>#REF!</v>
      </c>
      <c r="K31" s="33" t="e">
        <f>#REF!</f>
        <v>#REF!</v>
      </c>
      <c r="L31" s="33" t="e">
        <f>#REF!</f>
        <v>#REF!</v>
      </c>
      <c r="M31" s="33" t="e">
        <f>#REF!</f>
        <v>#REF!</v>
      </c>
    </row>
    <row r="32" spans="1:13" ht="23.25" x14ac:dyDescent="0.25">
      <c r="A32" s="234" t="e">
        <f>#REF!</f>
        <v>#REF!</v>
      </c>
      <c r="B32" s="234" t="e">
        <f>#REF!</f>
        <v>#REF!</v>
      </c>
      <c r="C32" s="33" t="e">
        <f>#REF!</f>
        <v>#REF!</v>
      </c>
      <c r="D32" s="33" t="e">
        <f>#REF!</f>
        <v>#REF!</v>
      </c>
      <c r="E32" s="33" t="e">
        <f>#REF!</f>
        <v>#REF!</v>
      </c>
      <c r="F32" s="235" t="e">
        <f>#REF!</f>
        <v>#REF!</v>
      </c>
      <c r="G32" s="33" t="e">
        <f>#REF!</f>
        <v>#REF!</v>
      </c>
      <c r="H32" s="33" t="e">
        <f>#REF!</f>
        <v>#REF!</v>
      </c>
      <c r="I32" s="33" t="e">
        <f>#REF!</f>
        <v>#REF!</v>
      </c>
      <c r="J32" s="33" t="e">
        <f>#REF!</f>
        <v>#REF!</v>
      </c>
      <c r="K32" s="33" t="e">
        <f>#REF!</f>
        <v>#REF!</v>
      </c>
      <c r="L32" s="33" t="e">
        <f>#REF!</f>
        <v>#REF!</v>
      </c>
      <c r="M32" s="33" t="e">
        <f>#REF!</f>
        <v>#REF!</v>
      </c>
    </row>
    <row r="33" spans="1:13" ht="23.25" x14ac:dyDescent="0.25">
      <c r="A33" s="234" t="e">
        <f>#REF!</f>
        <v>#REF!</v>
      </c>
      <c r="B33" s="234" t="e">
        <f>#REF!</f>
        <v>#REF!</v>
      </c>
      <c r="C33" s="33" t="e">
        <f>#REF!</f>
        <v>#REF!</v>
      </c>
      <c r="D33" s="33" t="e">
        <f>#REF!</f>
        <v>#REF!</v>
      </c>
      <c r="E33" s="33" t="e">
        <f>#REF!</f>
        <v>#REF!</v>
      </c>
      <c r="F33" s="235" t="e">
        <f>#REF!</f>
        <v>#REF!</v>
      </c>
      <c r="G33" s="33" t="e">
        <f>#REF!</f>
        <v>#REF!</v>
      </c>
      <c r="H33" s="33" t="e">
        <f>#REF!</f>
        <v>#REF!</v>
      </c>
      <c r="I33" s="33" t="e">
        <f>#REF!</f>
        <v>#REF!</v>
      </c>
      <c r="J33" s="33" t="e">
        <f>#REF!</f>
        <v>#REF!</v>
      </c>
      <c r="K33" s="33" t="e">
        <f>#REF!</f>
        <v>#REF!</v>
      </c>
      <c r="L33" s="33" t="e">
        <f>#REF!</f>
        <v>#REF!</v>
      </c>
      <c r="M33" s="33" t="e">
        <f>#REF!</f>
        <v>#REF!</v>
      </c>
    </row>
    <row r="34" spans="1:13" ht="23.25" x14ac:dyDescent="0.25">
      <c r="A34" s="234" t="e">
        <f>#REF!</f>
        <v>#REF!</v>
      </c>
      <c r="B34" s="234" t="e">
        <f>#REF!</f>
        <v>#REF!</v>
      </c>
      <c r="C34" s="33" t="e">
        <f>#REF!</f>
        <v>#REF!</v>
      </c>
      <c r="D34" s="33" t="e">
        <f>#REF!</f>
        <v>#REF!</v>
      </c>
      <c r="E34" s="33" t="e">
        <f>#REF!</f>
        <v>#REF!</v>
      </c>
      <c r="F34" s="235" t="e">
        <f>#REF!</f>
        <v>#REF!</v>
      </c>
      <c r="G34" s="33" t="e">
        <f>#REF!</f>
        <v>#REF!</v>
      </c>
      <c r="H34" s="33" t="e">
        <f>#REF!</f>
        <v>#REF!</v>
      </c>
      <c r="I34" s="33" t="e">
        <f>#REF!</f>
        <v>#REF!</v>
      </c>
      <c r="J34" s="33" t="e">
        <f>#REF!</f>
        <v>#REF!</v>
      </c>
      <c r="K34" s="33" t="e">
        <f>#REF!</f>
        <v>#REF!</v>
      </c>
      <c r="L34" s="33" t="e">
        <f>#REF!</f>
        <v>#REF!</v>
      </c>
      <c r="M34" s="33" t="e">
        <f>#REF!</f>
        <v>#REF!</v>
      </c>
    </row>
    <row r="35" spans="1:13" ht="23.25" x14ac:dyDescent="0.25">
      <c r="A35" s="234" t="e">
        <f>#REF!</f>
        <v>#REF!</v>
      </c>
      <c r="B35" s="234" t="e">
        <f>#REF!</f>
        <v>#REF!</v>
      </c>
      <c r="C35" s="33" t="e">
        <f>#REF!</f>
        <v>#REF!</v>
      </c>
      <c r="D35" s="33" t="e">
        <f>#REF!</f>
        <v>#REF!</v>
      </c>
      <c r="E35" s="33" t="e">
        <f>#REF!</f>
        <v>#REF!</v>
      </c>
      <c r="F35" s="235" t="e">
        <f>#REF!</f>
        <v>#REF!</v>
      </c>
      <c r="G35" s="33" t="e">
        <f>#REF!</f>
        <v>#REF!</v>
      </c>
      <c r="H35" s="33" t="e">
        <f>#REF!</f>
        <v>#REF!</v>
      </c>
      <c r="I35" s="33" t="e">
        <f>#REF!</f>
        <v>#REF!</v>
      </c>
      <c r="J35" s="33" t="e">
        <f>#REF!</f>
        <v>#REF!</v>
      </c>
      <c r="K35" s="33" t="e">
        <f>#REF!</f>
        <v>#REF!</v>
      </c>
      <c r="L35" s="33" t="e">
        <f>#REF!</f>
        <v>#REF!</v>
      </c>
      <c r="M35" s="33" t="e">
        <f>#REF!</f>
        <v>#REF!</v>
      </c>
    </row>
    <row r="36" spans="1:13" ht="23.25" x14ac:dyDescent="0.25">
      <c r="A36" s="234" t="e">
        <f>#REF!</f>
        <v>#REF!</v>
      </c>
      <c r="B36" s="234" t="e">
        <f>#REF!</f>
        <v>#REF!</v>
      </c>
      <c r="C36" s="33" t="e">
        <f>#REF!</f>
        <v>#REF!</v>
      </c>
      <c r="D36" s="33" t="e">
        <f>#REF!</f>
        <v>#REF!</v>
      </c>
      <c r="E36" s="33" t="e">
        <f>#REF!</f>
        <v>#REF!</v>
      </c>
      <c r="F36" s="235" t="e">
        <f>#REF!</f>
        <v>#REF!</v>
      </c>
      <c r="G36" s="33" t="e">
        <f>#REF!</f>
        <v>#REF!</v>
      </c>
      <c r="H36" s="33" t="e">
        <f>#REF!</f>
        <v>#REF!</v>
      </c>
      <c r="I36" s="33" t="e">
        <f>#REF!</f>
        <v>#REF!</v>
      </c>
      <c r="J36" s="33" t="e">
        <f>#REF!</f>
        <v>#REF!</v>
      </c>
      <c r="K36" s="33" t="e">
        <f>#REF!</f>
        <v>#REF!</v>
      </c>
      <c r="L36" s="33" t="e">
        <f>#REF!</f>
        <v>#REF!</v>
      </c>
      <c r="M36" s="33" t="e">
        <f>#REF!</f>
        <v>#REF!</v>
      </c>
    </row>
    <row r="37" spans="1:13" ht="23.25" x14ac:dyDescent="0.25">
      <c r="A37" s="234" t="e">
        <f>#REF!</f>
        <v>#REF!</v>
      </c>
      <c r="B37" s="234" t="e">
        <f>#REF!</f>
        <v>#REF!</v>
      </c>
      <c r="C37" s="33" t="e">
        <f>#REF!</f>
        <v>#REF!</v>
      </c>
      <c r="D37" s="33" t="e">
        <f>#REF!</f>
        <v>#REF!</v>
      </c>
      <c r="E37" s="33" t="e">
        <f>#REF!</f>
        <v>#REF!</v>
      </c>
      <c r="F37" s="235" t="e">
        <f>#REF!</f>
        <v>#REF!</v>
      </c>
      <c r="G37" s="33" t="e">
        <f>#REF!</f>
        <v>#REF!</v>
      </c>
      <c r="H37" s="33" t="e">
        <f>#REF!</f>
        <v>#REF!</v>
      </c>
      <c r="I37" s="33" t="e">
        <f>#REF!</f>
        <v>#REF!</v>
      </c>
      <c r="J37" s="33" t="e">
        <f>#REF!</f>
        <v>#REF!</v>
      </c>
      <c r="K37" s="33" t="e">
        <f>#REF!</f>
        <v>#REF!</v>
      </c>
      <c r="L37" s="33" t="e">
        <f>#REF!</f>
        <v>#REF!</v>
      </c>
      <c r="M37" s="33" t="e">
        <f>#REF!</f>
        <v>#REF!</v>
      </c>
    </row>
    <row r="38" spans="1:13" ht="23.25" x14ac:dyDescent="0.25">
      <c r="A38" s="234" t="e">
        <f>#REF!</f>
        <v>#REF!</v>
      </c>
      <c r="B38" s="234" t="e">
        <f>#REF!</f>
        <v>#REF!</v>
      </c>
      <c r="C38" s="33" t="e">
        <f>#REF!</f>
        <v>#REF!</v>
      </c>
      <c r="D38" s="33" t="e">
        <f>#REF!</f>
        <v>#REF!</v>
      </c>
      <c r="E38" s="33" t="e">
        <f>#REF!</f>
        <v>#REF!</v>
      </c>
      <c r="F38" s="235" t="e">
        <f>#REF!</f>
        <v>#REF!</v>
      </c>
      <c r="G38" s="33" t="e">
        <f>#REF!</f>
        <v>#REF!</v>
      </c>
      <c r="H38" s="33" t="e">
        <f>#REF!</f>
        <v>#REF!</v>
      </c>
      <c r="I38" s="33" t="e">
        <f>#REF!</f>
        <v>#REF!</v>
      </c>
      <c r="J38" s="33" t="e">
        <f>#REF!</f>
        <v>#REF!</v>
      </c>
      <c r="K38" s="33" t="e">
        <f>#REF!</f>
        <v>#REF!</v>
      </c>
      <c r="L38" s="33" t="e">
        <f>#REF!</f>
        <v>#REF!</v>
      </c>
      <c r="M38" s="33" t="e">
        <f>#REF!</f>
        <v>#REF!</v>
      </c>
    </row>
    <row r="39" spans="1:13" ht="23.25" x14ac:dyDescent="0.25">
      <c r="A39" s="234" t="e">
        <f>#REF!</f>
        <v>#REF!</v>
      </c>
      <c r="B39" s="234" t="e">
        <f>#REF!</f>
        <v>#REF!</v>
      </c>
      <c r="C39" s="33" t="e">
        <f>#REF!</f>
        <v>#REF!</v>
      </c>
      <c r="D39" s="33" t="e">
        <f>#REF!</f>
        <v>#REF!</v>
      </c>
      <c r="E39" s="33" t="e">
        <f>#REF!</f>
        <v>#REF!</v>
      </c>
      <c r="F39" s="235" t="e">
        <f>#REF!</f>
        <v>#REF!</v>
      </c>
      <c r="G39" s="33" t="e">
        <f>#REF!</f>
        <v>#REF!</v>
      </c>
      <c r="H39" s="33" t="e">
        <f>#REF!</f>
        <v>#REF!</v>
      </c>
      <c r="I39" s="33" t="e">
        <f>#REF!</f>
        <v>#REF!</v>
      </c>
      <c r="J39" s="33" t="e">
        <f>#REF!</f>
        <v>#REF!</v>
      </c>
      <c r="K39" s="33" t="e">
        <f>#REF!</f>
        <v>#REF!</v>
      </c>
      <c r="L39" s="33" t="e">
        <f>#REF!</f>
        <v>#REF!</v>
      </c>
      <c r="M39" s="33" t="e">
        <f>#REF!</f>
        <v>#REF!</v>
      </c>
    </row>
    <row r="40" spans="1:13" ht="23.25" x14ac:dyDescent="0.25">
      <c r="A40" s="234" t="e">
        <f>#REF!</f>
        <v>#REF!</v>
      </c>
      <c r="B40" s="234" t="e">
        <f>#REF!</f>
        <v>#REF!</v>
      </c>
      <c r="C40" s="33" t="e">
        <f>#REF!</f>
        <v>#REF!</v>
      </c>
      <c r="D40" s="33" t="e">
        <f>#REF!</f>
        <v>#REF!</v>
      </c>
      <c r="E40" s="33" t="e">
        <f>#REF!</f>
        <v>#REF!</v>
      </c>
      <c r="F40" s="235" t="e">
        <f>#REF!</f>
        <v>#REF!</v>
      </c>
      <c r="G40" s="33" t="e">
        <f>#REF!</f>
        <v>#REF!</v>
      </c>
      <c r="H40" s="33" t="e">
        <f>#REF!</f>
        <v>#REF!</v>
      </c>
      <c r="I40" s="33" t="e">
        <f>#REF!</f>
        <v>#REF!</v>
      </c>
      <c r="J40" s="33" t="e">
        <f>#REF!</f>
        <v>#REF!</v>
      </c>
      <c r="K40" s="33" t="e">
        <f>#REF!</f>
        <v>#REF!</v>
      </c>
      <c r="L40" s="33" t="e">
        <f>#REF!</f>
        <v>#REF!</v>
      </c>
      <c r="M40" s="33" t="e">
        <f>#REF!</f>
        <v>#REF!</v>
      </c>
    </row>
    <row r="41" spans="1:13" ht="23.25" x14ac:dyDescent="0.25">
      <c r="A41" s="234" t="e">
        <f>#REF!</f>
        <v>#REF!</v>
      </c>
      <c r="B41" s="234" t="e">
        <f>#REF!</f>
        <v>#REF!</v>
      </c>
      <c r="C41" s="33" t="e">
        <f>#REF!</f>
        <v>#REF!</v>
      </c>
      <c r="D41" s="33" t="e">
        <f>#REF!</f>
        <v>#REF!</v>
      </c>
      <c r="E41" s="33" t="e">
        <f>#REF!</f>
        <v>#REF!</v>
      </c>
      <c r="F41" s="235" t="e">
        <f>#REF!</f>
        <v>#REF!</v>
      </c>
      <c r="G41" s="33" t="e">
        <f>#REF!</f>
        <v>#REF!</v>
      </c>
      <c r="H41" s="33" t="e">
        <f>#REF!</f>
        <v>#REF!</v>
      </c>
      <c r="I41" s="33" t="e">
        <f>#REF!</f>
        <v>#REF!</v>
      </c>
      <c r="J41" s="33" t="e">
        <f>#REF!</f>
        <v>#REF!</v>
      </c>
      <c r="K41" s="33" t="e">
        <f>#REF!</f>
        <v>#REF!</v>
      </c>
      <c r="L41" s="33" t="e">
        <f>#REF!</f>
        <v>#REF!</v>
      </c>
      <c r="M41" s="33" t="e">
        <f>#REF!</f>
        <v>#REF!</v>
      </c>
    </row>
    <row r="42" spans="1:13" ht="23.25" x14ac:dyDescent="0.25">
      <c r="A42" s="234" t="e">
        <f>#REF!</f>
        <v>#REF!</v>
      </c>
      <c r="B42" s="234" t="e">
        <f>#REF!</f>
        <v>#REF!</v>
      </c>
      <c r="C42" s="33" t="e">
        <f>#REF!</f>
        <v>#REF!</v>
      </c>
      <c r="D42" s="33" t="e">
        <f>#REF!</f>
        <v>#REF!</v>
      </c>
      <c r="E42" s="33" t="e">
        <f>#REF!</f>
        <v>#REF!</v>
      </c>
      <c r="F42" s="235" t="e">
        <f>#REF!</f>
        <v>#REF!</v>
      </c>
      <c r="G42" s="33" t="e">
        <f>#REF!</f>
        <v>#REF!</v>
      </c>
      <c r="H42" s="33" t="e">
        <f>#REF!</f>
        <v>#REF!</v>
      </c>
      <c r="I42" s="33" t="e">
        <f>#REF!</f>
        <v>#REF!</v>
      </c>
      <c r="J42" s="33" t="e">
        <f>#REF!</f>
        <v>#REF!</v>
      </c>
      <c r="K42" s="33" t="e">
        <f>#REF!</f>
        <v>#REF!</v>
      </c>
      <c r="L42" s="33" t="e">
        <f>#REF!</f>
        <v>#REF!</v>
      </c>
      <c r="M42" s="33" t="e">
        <f>#REF!</f>
        <v>#REF!</v>
      </c>
    </row>
    <row r="43" spans="1:13" ht="23.25" x14ac:dyDescent="0.25">
      <c r="A43" s="234" t="e">
        <f>#REF!</f>
        <v>#REF!</v>
      </c>
      <c r="B43" s="234" t="e">
        <f>#REF!</f>
        <v>#REF!</v>
      </c>
      <c r="C43" s="33" t="e">
        <f>#REF!</f>
        <v>#REF!</v>
      </c>
      <c r="D43" s="33" t="e">
        <f>#REF!</f>
        <v>#REF!</v>
      </c>
      <c r="E43" s="33" t="e">
        <f>#REF!</f>
        <v>#REF!</v>
      </c>
      <c r="F43" s="235" t="e">
        <f>#REF!</f>
        <v>#REF!</v>
      </c>
      <c r="G43" s="33" t="e">
        <f>#REF!</f>
        <v>#REF!</v>
      </c>
      <c r="H43" s="33" t="e">
        <f>#REF!</f>
        <v>#REF!</v>
      </c>
      <c r="I43" s="33" t="e">
        <f>#REF!</f>
        <v>#REF!</v>
      </c>
      <c r="J43" s="33" t="e">
        <f>#REF!</f>
        <v>#REF!</v>
      </c>
      <c r="K43" s="33" t="e">
        <f>#REF!</f>
        <v>#REF!</v>
      </c>
      <c r="L43" s="33" t="e">
        <f>#REF!</f>
        <v>#REF!</v>
      </c>
      <c r="M43" s="33" t="e">
        <f>#REF!</f>
        <v>#REF!</v>
      </c>
    </row>
    <row r="44" spans="1:13" ht="23.25" x14ac:dyDescent="0.25">
      <c r="A44" s="234" t="e">
        <f>#REF!</f>
        <v>#REF!</v>
      </c>
      <c r="B44" s="234" t="e">
        <f>#REF!</f>
        <v>#REF!</v>
      </c>
      <c r="C44" s="33" t="e">
        <f>#REF!</f>
        <v>#REF!</v>
      </c>
      <c r="D44" s="33" t="e">
        <f>#REF!</f>
        <v>#REF!</v>
      </c>
      <c r="E44" s="33" t="e">
        <f>#REF!</f>
        <v>#REF!</v>
      </c>
      <c r="F44" s="235" t="e">
        <f>#REF!</f>
        <v>#REF!</v>
      </c>
      <c r="G44" s="33" t="e">
        <f>#REF!</f>
        <v>#REF!</v>
      </c>
      <c r="H44" s="33" t="e">
        <f>#REF!</f>
        <v>#REF!</v>
      </c>
      <c r="I44" s="33" t="e">
        <f>#REF!</f>
        <v>#REF!</v>
      </c>
      <c r="J44" s="33" t="e">
        <f>#REF!</f>
        <v>#REF!</v>
      </c>
      <c r="K44" s="33" t="e">
        <f>#REF!</f>
        <v>#REF!</v>
      </c>
      <c r="L44" s="33" t="e">
        <f>#REF!</f>
        <v>#REF!</v>
      </c>
      <c r="M44" s="33" t="e">
        <f>#REF!</f>
        <v>#REF!</v>
      </c>
    </row>
    <row r="45" spans="1:13" ht="23.25" x14ac:dyDescent="0.25">
      <c r="A45" s="234" t="e">
        <f>#REF!</f>
        <v>#REF!</v>
      </c>
      <c r="B45" s="234" t="e">
        <f>#REF!</f>
        <v>#REF!</v>
      </c>
      <c r="C45" s="33" t="e">
        <f>#REF!</f>
        <v>#REF!</v>
      </c>
      <c r="D45" s="33" t="e">
        <f>#REF!</f>
        <v>#REF!</v>
      </c>
      <c r="E45" s="33" t="e">
        <f>#REF!</f>
        <v>#REF!</v>
      </c>
      <c r="F45" s="235" t="e">
        <f>#REF!</f>
        <v>#REF!</v>
      </c>
      <c r="G45" s="33" t="e">
        <f>#REF!</f>
        <v>#REF!</v>
      </c>
      <c r="H45" s="33" t="e">
        <f>#REF!</f>
        <v>#REF!</v>
      </c>
      <c r="I45" s="33" t="e">
        <f>#REF!</f>
        <v>#REF!</v>
      </c>
      <c r="J45" s="33" t="e">
        <f>#REF!</f>
        <v>#REF!</v>
      </c>
      <c r="K45" s="33" t="e">
        <f>#REF!</f>
        <v>#REF!</v>
      </c>
      <c r="L45" s="33" t="e">
        <f>#REF!</f>
        <v>#REF!</v>
      </c>
      <c r="M45" s="33" t="e">
        <f>#REF!</f>
        <v>#REF!</v>
      </c>
    </row>
    <row r="46" spans="1:13" ht="23.25" x14ac:dyDescent="0.25">
      <c r="A46" s="234" t="e">
        <f>#REF!</f>
        <v>#REF!</v>
      </c>
      <c r="B46" s="234" t="e">
        <f>#REF!</f>
        <v>#REF!</v>
      </c>
      <c r="C46" s="33" t="e">
        <f>#REF!</f>
        <v>#REF!</v>
      </c>
      <c r="D46" s="33" t="e">
        <f>#REF!</f>
        <v>#REF!</v>
      </c>
      <c r="E46" s="33" t="e">
        <f>#REF!</f>
        <v>#REF!</v>
      </c>
      <c r="F46" s="235" t="e">
        <f>#REF!</f>
        <v>#REF!</v>
      </c>
      <c r="G46" s="33" t="e">
        <f>#REF!</f>
        <v>#REF!</v>
      </c>
      <c r="H46" s="33" t="e">
        <f>#REF!</f>
        <v>#REF!</v>
      </c>
      <c r="I46" s="33" t="e">
        <f>#REF!</f>
        <v>#REF!</v>
      </c>
      <c r="J46" s="33" t="e">
        <f>#REF!</f>
        <v>#REF!</v>
      </c>
      <c r="K46" s="33" t="e">
        <f>#REF!</f>
        <v>#REF!</v>
      </c>
      <c r="L46" s="33" t="e">
        <f>#REF!</f>
        <v>#REF!</v>
      </c>
      <c r="M46" s="33" t="e">
        <f>#REF!</f>
        <v>#REF!</v>
      </c>
    </row>
    <row r="47" spans="1:13" ht="23.25" x14ac:dyDescent="0.25">
      <c r="A47" s="234" t="e">
        <f>#REF!</f>
        <v>#REF!</v>
      </c>
      <c r="B47" s="234" t="e">
        <f>#REF!</f>
        <v>#REF!</v>
      </c>
      <c r="C47" s="33" t="e">
        <f>#REF!</f>
        <v>#REF!</v>
      </c>
      <c r="D47" s="33" t="e">
        <f>#REF!</f>
        <v>#REF!</v>
      </c>
      <c r="E47" s="33" t="e">
        <f>#REF!</f>
        <v>#REF!</v>
      </c>
      <c r="F47" s="235" t="e">
        <f>#REF!</f>
        <v>#REF!</v>
      </c>
      <c r="G47" s="33" t="e">
        <f>#REF!</f>
        <v>#REF!</v>
      </c>
      <c r="H47" s="33" t="e">
        <f>#REF!</f>
        <v>#REF!</v>
      </c>
      <c r="I47" s="33" t="e">
        <f>#REF!</f>
        <v>#REF!</v>
      </c>
      <c r="J47" s="33" t="e">
        <f>#REF!</f>
        <v>#REF!</v>
      </c>
      <c r="K47" s="33" t="e">
        <f>#REF!</f>
        <v>#REF!</v>
      </c>
      <c r="L47" s="33" t="e">
        <f>#REF!</f>
        <v>#REF!</v>
      </c>
      <c r="M47" s="33" t="e">
        <f>#REF!</f>
        <v>#REF!</v>
      </c>
    </row>
    <row r="48" spans="1:13" ht="23.25" x14ac:dyDescent="0.25">
      <c r="A48" s="234" t="e">
        <f>#REF!</f>
        <v>#REF!</v>
      </c>
      <c r="B48" s="234" t="e">
        <f>#REF!</f>
        <v>#REF!</v>
      </c>
      <c r="C48" s="33" t="e">
        <f>#REF!</f>
        <v>#REF!</v>
      </c>
      <c r="D48" s="33" t="e">
        <f>#REF!</f>
        <v>#REF!</v>
      </c>
      <c r="E48" s="33" t="e">
        <f>#REF!</f>
        <v>#REF!</v>
      </c>
      <c r="F48" s="235" t="e">
        <f>#REF!</f>
        <v>#REF!</v>
      </c>
      <c r="G48" s="33" t="e">
        <f>#REF!</f>
        <v>#REF!</v>
      </c>
      <c r="H48" s="33" t="e">
        <f>#REF!</f>
        <v>#REF!</v>
      </c>
      <c r="I48" s="33" t="e">
        <f>#REF!</f>
        <v>#REF!</v>
      </c>
      <c r="J48" s="33" t="e">
        <f>#REF!</f>
        <v>#REF!</v>
      </c>
      <c r="K48" s="33" t="e">
        <f>#REF!</f>
        <v>#REF!</v>
      </c>
      <c r="L48" s="33" t="e">
        <f>#REF!</f>
        <v>#REF!</v>
      </c>
      <c r="M48" s="33" t="e">
        <f>#REF!</f>
        <v>#REF!</v>
      </c>
    </row>
    <row r="49" spans="1:13" ht="23.25" x14ac:dyDescent="0.25">
      <c r="A49" s="234" t="e">
        <f>#REF!</f>
        <v>#REF!</v>
      </c>
      <c r="B49" s="234" t="e">
        <f>#REF!</f>
        <v>#REF!</v>
      </c>
      <c r="C49" s="33" t="e">
        <f>#REF!</f>
        <v>#REF!</v>
      </c>
      <c r="D49" s="33" t="e">
        <f>#REF!</f>
        <v>#REF!</v>
      </c>
      <c r="E49" s="33" t="e">
        <f>#REF!</f>
        <v>#REF!</v>
      </c>
      <c r="F49" s="235" t="e">
        <f>#REF!</f>
        <v>#REF!</v>
      </c>
      <c r="G49" s="33" t="e">
        <f>#REF!</f>
        <v>#REF!</v>
      </c>
      <c r="H49" s="33" t="e">
        <f>#REF!</f>
        <v>#REF!</v>
      </c>
      <c r="I49" s="33" t="e">
        <f>#REF!</f>
        <v>#REF!</v>
      </c>
      <c r="J49" s="33" t="e">
        <f>#REF!</f>
        <v>#REF!</v>
      </c>
      <c r="K49" s="33" t="e">
        <f>#REF!</f>
        <v>#REF!</v>
      </c>
      <c r="L49" s="33" t="e">
        <f>#REF!</f>
        <v>#REF!</v>
      </c>
      <c r="M49" s="33" t="e">
        <f>#REF!</f>
        <v>#REF!</v>
      </c>
    </row>
    <row r="50" spans="1:13" ht="23.25" x14ac:dyDescent="0.25">
      <c r="A50" s="234" t="e">
        <f>#REF!</f>
        <v>#REF!</v>
      </c>
      <c r="B50" s="234" t="e">
        <f>#REF!</f>
        <v>#REF!</v>
      </c>
      <c r="C50" s="33" t="e">
        <f>#REF!</f>
        <v>#REF!</v>
      </c>
      <c r="D50" s="33" t="e">
        <f>#REF!</f>
        <v>#REF!</v>
      </c>
      <c r="E50" s="33" t="e">
        <f>#REF!</f>
        <v>#REF!</v>
      </c>
      <c r="F50" s="235" t="e">
        <f>#REF!</f>
        <v>#REF!</v>
      </c>
      <c r="G50" s="33" t="e">
        <f>#REF!</f>
        <v>#REF!</v>
      </c>
      <c r="H50" s="33" t="e">
        <f>#REF!</f>
        <v>#REF!</v>
      </c>
      <c r="I50" s="33" t="e">
        <f>#REF!</f>
        <v>#REF!</v>
      </c>
      <c r="J50" s="33" t="e">
        <f>#REF!</f>
        <v>#REF!</v>
      </c>
      <c r="K50" s="33" t="e">
        <f>#REF!</f>
        <v>#REF!</v>
      </c>
      <c r="L50" s="33" t="e">
        <f>#REF!</f>
        <v>#REF!</v>
      </c>
      <c r="M50" s="33" t="e">
        <f>#REF!</f>
        <v>#REF!</v>
      </c>
    </row>
    <row r="51" spans="1:13" ht="23.25" x14ac:dyDescent="0.25">
      <c r="A51" s="234" t="e">
        <f>#REF!</f>
        <v>#REF!</v>
      </c>
      <c r="B51" s="234" t="e">
        <f>#REF!</f>
        <v>#REF!</v>
      </c>
      <c r="C51" s="33" t="e">
        <f>#REF!</f>
        <v>#REF!</v>
      </c>
      <c r="D51" s="33" t="e">
        <f>#REF!</f>
        <v>#REF!</v>
      </c>
      <c r="E51" s="33" t="e">
        <f>#REF!</f>
        <v>#REF!</v>
      </c>
      <c r="F51" s="235" t="e">
        <f>#REF!</f>
        <v>#REF!</v>
      </c>
      <c r="G51" s="33" t="e">
        <f>#REF!</f>
        <v>#REF!</v>
      </c>
      <c r="H51" s="33" t="e">
        <f>#REF!</f>
        <v>#REF!</v>
      </c>
      <c r="I51" s="33" t="e">
        <f>#REF!</f>
        <v>#REF!</v>
      </c>
      <c r="J51" s="33" t="e">
        <f>#REF!</f>
        <v>#REF!</v>
      </c>
      <c r="K51" s="33" t="e">
        <f>#REF!</f>
        <v>#REF!</v>
      </c>
      <c r="L51" s="33" t="e">
        <f>#REF!</f>
        <v>#REF!</v>
      </c>
      <c r="M51" s="33" t="e">
        <f>#REF!</f>
        <v>#REF!</v>
      </c>
    </row>
    <row r="52" spans="1:13" ht="23.25" x14ac:dyDescent="0.25">
      <c r="A52" s="234" t="e">
        <f>#REF!</f>
        <v>#REF!</v>
      </c>
      <c r="B52" s="234" t="e">
        <f>#REF!</f>
        <v>#REF!</v>
      </c>
      <c r="C52" s="33" t="e">
        <f>#REF!</f>
        <v>#REF!</v>
      </c>
      <c r="D52" s="33" t="e">
        <f>#REF!</f>
        <v>#REF!</v>
      </c>
      <c r="E52" s="33" t="e">
        <f>#REF!</f>
        <v>#REF!</v>
      </c>
      <c r="F52" s="235" t="e">
        <f>#REF!</f>
        <v>#REF!</v>
      </c>
      <c r="G52" s="33" t="e">
        <f>#REF!</f>
        <v>#REF!</v>
      </c>
      <c r="H52" s="33" t="e">
        <f>#REF!</f>
        <v>#REF!</v>
      </c>
      <c r="I52" s="33" t="e">
        <f>#REF!</f>
        <v>#REF!</v>
      </c>
      <c r="J52" s="33" t="e">
        <f>#REF!</f>
        <v>#REF!</v>
      </c>
      <c r="K52" s="33" t="e">
        <f>#REF!</f>
        <v>#REF!</v>
      </c>
      <c r="L52" s="33" t="e">
        <f>#REF!</f>
        <v>#REF!</v>
      </c>
      <c r="M52" s="33" t="e">
        <f>#REF!</f>
        <v>#REF!</v>
      </c>
    </row>
    <row r="53" spans="1:13" ht="23.25" x14ac:dyDescent="0.25">
      <c r="A53" s="234" t="e">
        <f>#REF!</f>
        <v>#REF!</v>
      </c>
      <c r="B53" s="234" t="e">
        <f>#REF!</f>
        <v>#REF!</v>
      </c>
      <c r="C53" s="33" t="e">
        <f>#REF!</f>
        <v>#REF!</v>
      </c>
      <c r="D53" s="33" t="e">
        <f>#REF!</f>
        <v>#REF!</v>
      </c>
      <c r="E53" s="33" t="e">
        <f>#REF!</f>
        <v>#REF!</v>
      </c>
      <c r="F53" s="235" t="e">
        <f>#REF!</f>
        <v>#REF!</v>
      </c>
      <c r="G53" s="33" t="e">
        <f>#REF!</f>
        <v>#REF!</v>
      </c>
      <c r="H53" s="33" t="e">
        <f>#REF!</f>
        <v>#REF!</v>
      </c>
      <c r="I53" s="33" t="e">
        <f>#REF!</f>
        <v>#REF!</v>
      </c>
      <c r="J53" s="33" t="e">
        <f>#REF!</f>
        <v>#REF!</v>
      </c>
      <c r="K53" s="33" t="e">
        <f>#REF!</f>
        <v>#REF!</v>
      </c>
      <c r="L53" s="33" t="e">
        <f>#REF!</f>
        <v>#REF!</v>
      </c>
      <c r="M53" s="33" t="e">
        <f>#REF!</f>
        <v>#REF!</v>
      </c>
    </row>
    <row r="54" spans="1:13" ht="23.25" x14ac:dyDescent="0.25">
      <c r="A54" s="234" t="e">
        <f>#REF!</f>
        <v>#REF!</v>
      </c>
      <c r="B54" s="234" t="e">
        <f>#REF!</f>
        <v>#REF!</v>
      </c>
      <c r="C54" s="33" t="e">
        <f>#REF!</f>
        <v>#REF!</v>
      </c>
      <c r="D54" s="33" t="e">
        <f>#REF!</f>
        <v>#REF!</v>
      </c>
      <c r="E54" s="33" t="e">
        <f>#REF!</f>
        <v>#REF!</v>
      </c>
      <c r="F54" s="235" t="e">
        <f>#REF!</f>
        <v>#REF!</v>
      </c>
      <c r="G54" s="33" t="e">
        <f>#REF!</f>
        <v>#REF!</v>
      </c>
      <c r="H54" s="33" t="e">
        <f>#REF!</f>
        <v>#REF!</v>
      </c>
      <c r="I54" s="33" t="e">
        <f>#REF!</f>
        <v>#REF!</v>
      </c>
      <c r="J54" s="33" t="e">
        <f>#REF!</f>
        <v>#REF!</v>
      </c>
      <c r="K54" s="33" t="e">
        <f>#REF!</f>
        <v>#REF!</v>
      </c>
      <c r="L54" s="33" t="e">
        <f>#REF!</f>
        <v>#REF!</v>
      </c>
      <c r="M54" s="33" t="e">
        <f>#REF!</f>
        <v>#REF!</v>
      </c>
    </row>
    <row r="55" spans="1:13" ht="23.25" x14ac:dyDescent="0.25">
      <c r="A55" s="234" t="e">
        <f>#REF!</f>
        <v>#REF!</v>
      </c>
      <c r="B55" s="234" t="e">
        <f>#REF!</f>
        <v>#REF!</v>
      </c>
      <c r="C55" s="33" t="e">
        <f>#REF!</f>
        <v>#REF!</v>
      </c>
      <c r="D55" s="33" t="e">
        <f>#REF!</f>
        <v>#REF!</v>
      </c>
      <c r="E55" s="33" t="e">
        <f>#REF!</f>
        <v>#REF!</v>
      </c>
      <c r="F55" s="235" t="e">
        <f>#REF!</f>
        <v>#REF!</v>
      </c>
      <c r="G55" s="33" t="e">
        <f>#REF!</f>
        <v>#REF!</v>
      </c>
      <c r="H55" s="33" t="e">
        <f>#REF!</f>
        <v>#REF!</v>
      </c>
      <c r="I55" s="33" t="e">
        <f>#REF!</f>
        <v>#REF!</v>
      </c>
      <c r="J55" s="33" t="e">
        <f>#REF!</f>
        <v>#REF!</v>
      </c>
      <c r="K55" s="33" t="e">
        <f>#REF!</f>
        <v>#REF!</v>
      </c>
      <c r="L55" s="33" t="e">
        <f>#REF!</f>
        <v>#REF!</v>
      </c>
      <c r="M55" s="33" t="e">
        <f>#REF!</f>
        <v>#REF!</v>
      </c>
    </row>
    <row r="56" spans="1:13" ht="23.25" x14ac:dyDescent="0.25">
      <c r="A56" s="234" t="e">
        <f>#REF!</f>
        <v>#REF!</v>
      </c>
      <c r="B56" s="234" t="e">
        <f>#REF!</f>
        <v>#REF!</v>
      </c>
      <c r="C56" s="33" t="e">
        <f>#REF!</f>
        <v>#REF!</v>
      </c>
      <c r="D56" s="33" t="e">
        <f>#REF!</f>
        <v>#REF!</v>
      </c>
      <c r="E56" s="33" t="e">
        <f>#REF!</f>
        <v>#REF!</v>
      </c>
      <c r="F56" s="235" t="e">
        <f>#REF!</f>
        <v>#REF!</v>
      </c>
      <c r="G56" s="33" t="e">
        <f>#REF!</f>
        <v>#REF!</v>
      </c>
      <c r="H56" s="33" t="e">
        <f>#REF!</f>
        <v>#REF!</v>
      </c>
      <c r="I56" s="33" t="e">
        <f>#REF!</f>
        <v>#REF!</v>
      </c>
      <c r="J56" s="33" t="e">
        <f>#REF!</f>
        <v>#REF!</v>
      </c>
      <c r="K56" s="33" t="e">
        <f>#REF!</f>
        <v>#REF!</v>
      </c>
      <c r="L56" s="33" t="e">
        <f>#REF!</f>
        <v>#REF!</v>
      </c>
      <c r="M56" s="33" t="e">
        <f>#REF!</f>
        <v>#REF!</v>
      </c>
    </row>
    <row r="57" spans="1:13" ht="23.25" x14ac:dyDescent="0.25">
      <c r="A57" s="234" t="e">
        <f>#REF!</f>
        <v>#REF!</v>
      </c>
      <c r="B57" s="234" t="e">
        <f>#REF!</f>
        <v>#REF!</v>
      </c>
      <c r="C57" s="33" t="e">
        <f>#REF!</f>
        <v>#REF!</v>
      </c>
      <c r="D57" s="33" t="e">
        <f>#REF!</f>
        <v>#REF!</v>
      </c>
      <c r="E57" s="33" t="e">
        <f>#REF!</f>
        <v>#REF!</v>
      </c>
      <c r="F57" s="235" t="e">
        <f>#REF!</f>
        <v>#REF!</v>
      </c>
      <c r="G57" s="33" t="e">
        <f>#REF!</f>
        <v>#REF!</v>
      </c>
      <c r="H57" s="33" t="e">
        <f>#REF!</f>
        <v>#REF!</v>
      </c>
      <c r="I57" s="33" t="e">
        <f>#REF!</f>
        <v>#REF!</v>
      </c>
      <c r="J57" s="33" t="e">
        <f>#REF!</f>
        <v>#REF!</v>
      </c>
      <c r="K57" s="33" t="e">
        <f>#REF!</f>
        <v>#REF!</v>
      </c>
      <c r="L57" s="33" t="e">
        <f>#REF!</f>
        <v>#REF!</v>
      </c>
      <c r="M57" s="33" t="e">
        <f>#REF!</f>
        <v>#REF!</v>
      </c>
    </row>
    <row r="58" spans="1:13" ht="23.25" x14ac:dyDescent="0.25">
      <c r="A58" s="234" t="e">
        <f>#REF!</f>
        <v>#REF!</v>
      </c>
      <c r="B58" s="234" t="e">
        <f>#REF!</f>
        <v>#REF!</v>
      </c>
      <c r="C58" s="33" t="e">
        <f>#REF!</f>
        <v>#REF!</v>
      </c>
      <c r="D58" s="33" t="e">
        <f>#REF!</f>
        <v>#REF!</v>
      </c>
      <c r="E58" s="33" t="e">
        <f>#REF!</f>
        <v>#REF!</v>
      </c>
      <c r="F58" s="235" t="e">
        <f>#REF!</f>
        <v>#REF!</v>
      </c>
      <c r="G58" s="33" t="e">
        <f>#REF!</f>
        <v>#REF!</v>
      </c>
      <c r="H58" s="33" t="e">
        <f>#REF!</f>
        <v>#REF!</v>
      </c>
      <c r="I58" s="33" t="e">
        <f>#REF!</f>
        <v>#REF!</v>
      </c>
      <c r="J58" s="33" t="e">
        <f>#REF!</f>
        <v>#REF!</v>
      </c>
      <c r="K58" s="33" t="e">
        <f>#REF!</f>
        <v>#REF!</v>
      </c>
      <c r="L58" s="33" t="e">
        <f>#REF!</f>
        <v>#REF!</v>
      </c>
      <c r="M58" s="33" t="e">
        <f>#REF!</f>
        <v>#REF!</v>
      </c>
    </row>
    <row r="59" spans="1:13" ht="23.25" x14ac:dyDescent="0.25">
      <c r="A59" s="234" t="e">
        <f>#REF!</f>
        <v>#REF!</v>
      </c>
      <c r="B59" s="234" t="e">
        <f>#REF!</f>
        <v>#REF!</v>
      </c>
      <c r="C59" s="33" t="e">
        <f>#REF!</f>
        <v>#REF!</v>
      </c>
      <c r="D59" s="33" t="e">
        <f>#REF!</f>
        <v>#REF!</v>
      </c>
      <c r="E59" s="33" t="e">
        <f>#REF!</f>
        <v>#REF!</v>
      </c>
      <c r="F59" s="235" t="e">
        <f>#REF!</f>
        <v>#REF!</v>
      </c>
      <c r="G59" s="33" t="e">
        <f>#REF!</f>
        <v>#REF!</v>
      </c>
      <c r="H59" s="33" t="e">
        <f>#REF!</f>
        <v>#REF!</v>
      </c>
      <c r="I59" s="33" t="e">
        <f>#REF!</f>
        <v>#REF!</v>
      </c>
      <c r="J59" s="33" t="e">
        <f>#REF!</f>
        <v>#REF!</v>
      </c>
      <c r="K59" s="33" t="e">
        <f>#REF!</f>
        <v>#REF!</v>
      </c>
      <c r="L59" s="33" t="e">
        <f>#REF!</f>
        <v>#REF!</v>
      </c>
      <c r="M59" s="33" t="e">
        <f>#REF!</f>
        <v>#REF!</v>
      </c>
    </row>
    <row r="60" spans="1:13" ht="23.25" x14ac:dyDescent="0.25">
      <c r="A60" s="234" t="e">
        <f>#REF!</f>
        <v>#REF!</v>
      </c>
      <c r="B60" s="234" t="e">
        <f>#REF!</f>
        <v>#REF!</v>
      </c>
      <c r="C60" s="33" t="e">
        <f>#REF!</f>
        <v>#REF!</v>
      </c>
      <c r="D60" s="33" t="e">
        <f>#REF!</f>
        <v>#REF!</v>
      </c>
      <c r="E60" s="33" t="e">
        <f>#REF!</f>
        <v>#REF!</v>
      </c>
      <c r="F60" s="235" t="e">
        <f>#REF!</f>
        <v>#REF!</v>
      </c>
      <c r="G60" s="33" t="e">
        <f>#REF!</f>
        <v>#REF!</v>
      </c>
      <c r="H60" s="33" t="e">
        <f>#REF!</f>
        <v>#REF!</v>
      </c>
      <c r="I60" s="33" t="e">
        <f>#REF!</f>
        <v>#REF!</v>
      </c>
      <c r="J60" s="33" t="e">
        <f>#REF!</f>
        <v>#REF!</v>
      </c>
      <c r="K60" s="33" t="e">
        <f>#REF!</f>
        <v>#REF!</v>
      </c>
      <c r="L60" s="33" t="e">
        <f>#REF!</f>
        <v>#REF!</v>
      </c>
      <c r="M60" s="33" t="e">
        <f>#REF!</f>
        <v>#REF!</v>
      </c>
    </row>
    <row r="61" spans="1:13" ht="23.25" x14ac:dyDescent="0.25">
      <c r="A61" s="234" t="e">
        <f>#REF!</f>
        <v>#REF!</v>
      </c>
      <c r="B61" s="234" t="e">
        <f>#REF!</f>
        <v>#REF!</v>
      </c>
      <c r="C61" s="33" t="e">
        <f>#REF!</f>
        <v>#REF!</v>
      </c>
      <c r="D61" s="33" t="e">
        <f>#REF!</f>
        <v>#REF!</v>
      </c>
      <c r="E61" s="33" t="e">
        <f>#REF!</f>
        <v>#REF!</v>
      </c>
      <c r="F61" s="235" t="e">
        <f>#REF!</f>
        <v>#REF!</v>
      </c>
      <c r="G61" s="33" t="e">
        <f>#REF!</f>
        <v>#REF!</v>
      </c>
      <c r="H61" s="33" t="e">
        <f>#REF!</f>
        <v>#REF!</v>
      </c>
      <c r="I61" s="33" t="e">
        <f>#REF!</f>
        <v>#REF!</v>
      </c>
      <c r="J61" s="33" t="e">
        <f>#REF!</f>
        <v>#REF!</v>
      </c>
      <c r="K61" s="33" t="e">
        <f>#REF!</f>
        <v>#REF!</v>
      </c>
      <c r="L61" s="33" t="e">
        <f>#REF!</f>
        <v>#REF!</v>
      </c>
      <c r="M61" s="33" t="e">
        <f>#REF!</f>
        <v>#REF!</v>
      </c>
    </row>
    <row r="62" spans="1:13" ht="23.25" x14ac:dyDescent="0.25">
      <c r="A62" s="234" t="e">
        <f>#REF!</f>
        <v>#REF!</v>
      </c>
      <c r="B62" s="234" t="e">
        <f>#REF!</f>
        <v>#REF!</v>
      </c>
      <c r="C62" s="33" t="e">
        <f>#REF!</f>
        <v>#REF!</v>
      </c>
      <c r="D62" s="33" t="e">
        <f>#REF!</f>
        <v>#REF!</v>
      </c>
      <c r="E62" s="33" t="e">
        <f>#REF!</f>
        <v>#REF!</v>
      </c>
      <c r="F62" s="235" t="e">
        <f>#REF!</f>
        <v>#REF!</v>
      </c>
      <c r="G62" s="33" t="e">
        <f>#REF!</f>
        <v>#REF!</v>
      </c>
      <c r="H62" s="33" t="e">
        <f>#REF!</f>
        <v>#REF!</v>
      </c>
      <c r="I62" s="33" t="e">
        <f>#REF!</f>
        <v>#REF!</v>
      </c>
      <c r="J62" s="33" t="e">
        <f>#REF!</f>
        <v>#REF!</v>
      </c>
      <c r="K62" s="33" t="e">
        <f>#REF!</f>
        <v>#REF!</v>
      </c>
      <c r="L62" s="33" t="e">
        <f>#REF!</f>
        <v>#REF!</v>
      </c>
      <c r="M62" s="33" t="e">
        <f>#REF!</f>
        <v>#REF!</v>
      </c>
    </row>
    <row r="63" spans="1:13" ht="23.25" x14ac:dyDescent="0.25">
      <c r="A63" s="234" t="e">
        <f>#REF!</f>
        <v>#REF!</v>
      </c>
      <c r="B63" s="234" t="e">
        <f>#REF!</f>
        <v>#REF!</v>
      </c>
      <c r="C63" s="33" t="e">
        <f>#REF!</f>
        <v>#REF!</v>
      </c>
      <c r="D63" s="33" t="e">
        <f>#REF!</f>
        <v>#REF!</v>
      </c>
      <c r="E63" s="33" t="e">
        <f>#REF!</f>
        <v>#REF!</v>
      </c>
      <c r="F63" s="235" t="e">
        <f>#REF!</f>
        <v>#REF!</v>
      </c>
      <c r="G63" s="33" t="e">
        <f>#REF!</f>
        <v>#REF!</v>
      </c>
      <c r="H63" s="33" t="e">
        <f>#REF!</f>
        <v>#REF!</v>
      </c>
      <c r="I63" s="33" t="e">
        <f>#REF!</f>
        <v>#REF!</v>
      </c>
      <c r="J63" s="33" t="e">
        <f>#REF!</f>
        <v>#REF!</v>
      </c>
      <c r="K63" s="33" t="e">
        <f>#REF!</f>
        <v>#REF!</v>
      </c>
      <c r="L63" s="33" t="e">
        <f>#REF!</f>
        <v>#REF!</v>
      </c>
      <c r="M63" s="33" t="e">
        <f>#REF!</f>
        <v>#REF!</v>
      </c>
    </row>
    <row r="64" spans="1:13" ht="23.25" x14ac:dyDescent="0.25">
      <c r="A64" s="234" t="e">
        <f>#REF!</f>
        <v>#REF!</v>
      </c>
      <c r="B64" s="234" t="e">
        <f>#REF!</f>
        <v>#REF!</v>
      </c>
      <c r="C64" s="33" t="e">
        <f>#REF!</f>
        <v>#REF!</v>
      </c>
      <c r="D64" s="33" t="e">
        <f>#REF!</f>
        <v>#REF!</v>
      </c>
      <c r="E64" s="33" t="e">
        <f>#REF!</f>
        <v>#REF!</v>
      </c>
      <c r="F64" s="235" t="e">
        <f>#REF!</f>
        <v>#REF!</v>
      </c>
      <c r="G64" s="33" t="e">
        <f>#REF!</f>
        <v>#REF!</v>
      </c>
      <c r="H64" s="33" t="e">
        <f>#REF!</f>
        <v>#REF!</v>
      </c>
      <c r="I64" s="33" t="e">
        <f>#REF!</f>
        <v>#REF!</v>
      </c>
      <c r="J64" s="33" t="e">
        <f>#REF!</f>
        <v>#REF!</v>
      </c>
      <c r="K64" s="33" t="e">
        <f>#REF!</f>
        <v>#REF!</v>
      </c>
      <c r="L64" s="33" t="e">
        <f>#REF!</f>
        <v>#REF!</v>
      </c>
      <c r="M64" s="33" t="e">
        <f>#REF!</f>
        <v>#REF!</v>
      </c>
    </row>
    <row r="65" spans="1:13" ht="23.25" x14ac:dyDescent="0.25">
      <c r="A65" s="234" t="e">
        <f>#REF!</f>
        <v>#REF!</v>
      </c>
      <c r="B65" s="234" t="e">
        <f>#REF!</f>
        <v>#REF!</v>
      </c>
      <c r="C65" s="33" t="e">
        <f>#REF!</f>
        <v>#REF!</v>
      </c>
      <c r="D65" s="33" t="e">
        <f>#REF!</f>
        <v>#REF!</v>
      </c>
      <c r="E65" s="33" t="e">
        <f>#REF!</f>
        <v>#REF!</v>
      </c>
      <c r="F65" s="235" t="e">
        <f>#REF!</f>
        <v>#REF!</v>
      </c>
      <c r="G65" s="33" t="e">
        <f>#REF!</f>
        <v>#REF!</v>
      </c>
      <c r="H65" s="33" t="e">
        <f>#REF!</f>
        <v>#REF!</v>
      </c>
      <c r="I65" s="33" t="e">
        <f>#REF!</f>
        <v>#REF!</v>
      </c>
      <c r="J65" s="33" t="e">
        <f>#REF!</f>
        <v>#REF!</v>
      </c>
      <c r="K65" s="33" t="e">
        <f>#REF!</f>
        <v>#REF!</v>
      </c>
      <c r="L65" s="33" t="e">
        <f>#REF!</f>
        <v>#REF!</v>
      </c>
      <c r="M65" s="33" t="e">
        <f>#REF!</f>
        <v>#REF!</v>
      </c>
    </row>
    <row r="66" spans="1:13" ht="23.25" x14ac:dyDescent="0.25">
      <c r="A66" s="234" t="e">
        <f>#REF!</f>
        <v>#REF!</v>
      </c>
      <c r="B66" s="234" t="e">
        <f>#REF!</f>
        <v>#REF!</v>
      </c>
      <c r="C66" s="33" t="e">
        <f>#REF!</f>
        <v>#REF!</v>
      </c>
      <c r="D66" s="33" t="e">
        <f>#REF!</f>
        <v>#REF!</v>
      </c>
      <c r="E66" s="33" t="e">
        <f>#REF!</f>
        <v>#REF!</v>
      </c>
      <c r="F66" s="235" t="e">
        <f>#REF!</f>
        <v>#REF!</v>
      </c>
      <c r="G66" s="33" t="e">
        <f>#REF!</f>
        <v>#REF!</v>
      </c>
      <c r="H66" s="33" t="e">
        <f>#REF!</f>
        <v>#REF!</v>
      </c>
      <c r="I66" s="33" t="e">
        <f>#REF!</f>
        <v>#REF!</v>
      </c>
      <c r="J66" s="33" t="e">
        <f>#REF!</f>
        <v>#REF!</v>
      </c>
      <c r="K66" s="33" t="e">
        <f>#REF!</f>
        <v>#REF!</v>
      </c>
      <c r="L66" s="33" t="e">
        <f>#REF!</f>
        <v>#REF!</v>
      </c>
      <c r="M66" s="33" t="e">
        <f>#REF!</f>
        <v>#REF!</v>
      </c>
    </row>
    <row r="67" spans="1:13" ht="23.25" x14ac:dyDescent="0.25">
      <c r="A67" s="234" t="e">
        <f>#REF!</f>
        <v>#REF!</v>
      </c>
      <c r="B67" s="234" t="e">
        <f>#REF!</f>
        <v>#REF!</v>
      </c>
      <c r="C67" s="33" t="e">
        <f>#REF!</f>
        <v>#REF!</v>
      </c>
      <c r="D67" s="33" t="e">
        <f>#REF!</f>
        <v>#REF!</v>
      </c>
      <c r="E67" s="33" t="e">
        <f>#REF!</f>
        <v>#REF!</v>
      </c>
      <c r="F67" s="235" t="e">
        <f>#REF!</f>
        <v>#REF!</v>
      </c>
      <c r="G67" s="33" t="e">
        <f>#REF!</f>
        <v>#REF!</v>
      </c>
      <c r="H67" s="33" t="e">
        <f>#REF!</f>
        <v>#REF!</v>
      </c>
      <c r="I67" s="33" t="e">
        <f>#REF!</f>
        <v>#REF!</v>
      </c>
      <c r="J67" s="33" t="e">
        <f>#REF!</f>
        <v>#REF!</v>
      </c>
      <c r="K67" s="33" t="e">
        <f>#REF!</f>
        <v>#REF!</v>
      </c>
      <c r="L67" s="33" t="e">
        <f>#REF!</f>
        <v>#REF!</v>
      </c>
      <c r="M67" s="33" t="e">
        <f>#REF!</f>
        <v>#REF!</v>
      </c>
    </row>
    <row r="68" spans="1:13" ht="23.25" x14ac:dyDescent="0.25">
      <c r="A68" s="234" t="e">
        <f>#REF!</f>
        <v>#REF!</v>
      </c>
      <c r="B68" s="234" t="e">
        <f>#REF!</f>
        <v>#REF!</v>
      </c>
      <c r="C68" s="33" t="e">
        <f>#REF!</f>
        <v>#REF!</v>
      </c>
      <c r="D68" s="33" t="e">
        <f>#REF!</f>
        <v>#REF!</v>
      </c>
      <c r="E68" s="33" t="e">
        <f>#REF!</f>
        <v>#REF!</v>
      </c>
      <c r="F68" s="235" t="e">
        <f>#REF!</f>
        <v>#REF!</v>
      </c>
      <c r="G68" s="33" t="e">
        <f>#REF!</f>
        <v>#REF!</v>
      </c>
      <c r="H68" s="33" t="e">
        <f>#REF!</f>
        <v>#REF!</v>
      </c>
      <c r="I68" s="33" t="e">
        <f>#REF!</f>
        <v>#REF!</v>
      </c>
      <c r="J68" s="33" t="e">
        <f>#REF!</f>
        <v>#REF!</v>
      </c>
      <c r="K68" s="33" t="e">
        <f>#REF!</f>
        <v>#REF!</v>
      </c>
      <c r="L68" s="33" t="e">
        <f>#REF!</f>
        <v>#REF!</v>
      </c>
      <c r="M68" s="33" t="e">
        <f>#REF!</f>
        <v>#REF!</v>
      </c>
    </row>
    <row r="69" spans="1:13" ht="23.25" x14ac:dyDescent="0.25">
      <c r="A69" s="234" t="e">
        <f>#REF!</f>
        <v>#REF!</v>
      </c>
      <c r="B69" s="234" t="e">
        <f>#REF!</f>
        <v>#REF!</v>
      </c>
      <c r="C69" s="33" t="e">
        <f>#REF!</f>
        <v>#REF!</v>
      </c>
      <c r="D69" s="33" t="e">
        <f>#REF!</f>
        <v>#REF!</v>
      </c>
      <c r="E69" s="33" t="e">
        <f>#REF!</f>
        <v>#REF!</v>
      </c>
      <c r="F69" s="235" t="e">
        <f>#REF!</f>
        <v>#REF!</v>
      </c>
      <c r="G69" s="33" t="e">
        <f>#REF!</f>
        <v>#REF!</v>
      </c>
      <c r="H69" s="33" t="e">
        <f>#REF!</f>
        <v>#REF!</v>
      </c>
      <c r="I69" s="33" t="e">
        <f>#REF!</f>
        <v>#REF!</v>
      </c>
      <c r="J69" s="33" t="e">
        <f>#REF!</f>
        <v>#REF!</v>
      </c>
      <c r="K69" s="33" t="e">
        <f>#REF!</f>
        <v>#REF!</v>
      </c>
      <c r="L69" s="33" t="e">
        <f>#REF!</f>
        <v>#REF!</v>
      </c>
      <c r="M69" s="33" t="e">
        <f>#REF!</f>
        <v>#REF!</v>
      </c>
    </row>
    <row r="70" spans="1:13" ht="23.25" x14ac:dyDescent="0.25">
      <c r="A70" s="234" t="e">
        <f>#REF!</f>
        <v>#REF!</v>
      </c>
      <c r="B70" s="234" t="e">
        <f>#REF!</f>
        <v>#REF!</v>
      </c>
      <c r="C70" s="33" t="e">
        <f>#REF!</f>
        <v>#REF!</v>
      </c>
      <c r="D70" s="33" t="e">
        <f>#REF!</f>
        <v>#REF!</v>
      </c>
      <c r="E70" s="33" t="e">
        <f>#REF!</f>
        <v>#REF!</v>
      </c>
      <c r="F70" s="235" t="e">
        <f>#REF!</f>
        <v>#REF!</v>
      </c>
      <c r="G70" s="33" t="e">
        <f>#REF!</f>
        <v>#REF!</v>
      </c>
      <c r="H70" s="33" t="e">
        <f>#REF!</f>
        <v>#REF!</v>
      </c>
      <c r="I70" s="33" t="e">
        <f>#REF!</f>
        <v>#REF!</v>
      </c>
      <c r="J70" s="33" t="e">
        <f>#REF!</f>
        <v>#REF!</v>
      </c>
      <c r="K70" s="33" t="e">
        <f>#REF!</f>
        <v>#REF!</v>
      </c>
      <c r="L70" s="33" t="e">
        <f>#REF!</f>
        <v>#REF!</v>
      </c>
      <c r="M70" s="33" t="e">
        <f>#REF!</f>
        <v>#REF!</v>
      </c>
    </row>
    <row r="71" spans="1:13" ht="23.25" x14ac:dyDescent="0.25">
      <c r="A71" s="234" t="e">
        <f>#REF!</f>
        <v>#REF!</v>
      </c>
      <c r="B71" s="234" t="e">
        <f>#REF!</f>
        <v>#REF!</v>
      </c>
      <c r="C71" s="33" t="e">
        <f>#REF!</f>
        <v>#REF!</v>
      </c>
      <c r="D71" s="33" t="e">
        <f>#REF!</f>
        <v>#REF!</v>
      </c>
      <c r="E71" s="33" t="e">
        <f>#REF!</f>
        <v>#REF!</v>
      </c>
      <c r="F71" s="235" t="e">
        <f>#REF!</f>
        <v>#REF!</v>
      </c>
      <c r="G71" s="33" t="e">
        <f>#REF!</f>
        <v>#REF!</v>
      </c>
      <c r="H71" s="33" t="e">
        <f>#REF!</f>
        <v>#REF!</v>
      </c>
      <c r="I71" s="33" t="e">
        <f>#REF!</f>
        <v>#REF!</v>
      </c>
      <c r="J71" s="33" t="e">
        <f>#REF!</f>
        <v>#REF!</v>
      </c>
      <c r="K71" s="33" t="e">
        <f>#REF!</f>
        <v>#REF!</v>
      </c>
      <c r="L71" s="33" t="e">
        <f>#REF!</f>
        <v>#REF!</v>
      </c>
      <c r="M71" s="33" t="e">
        <f>#REF!</f>
        <v>#REF!</v>
      </c>
    </row>
    <row r="72" spans="1:13" ht="23.25" x14ac:dyDescent="0.25">
      <c r="A72" s="234" t="e">
        <f>#REF!</f>
        <v>#REF!</v>
      </c>
      <c r="B72" s="234" t="e">
        <f>#REF!</f>
        <v>#REF!</v>
      </c>
      <c r="C72" s="33" t="e">
        <f>#REF!</f>
        <v>#REF!</v>
      </c>
      <c r="D72" s="33" t="e">
        <f>#REF!</f>
        <v>#REF!</v>
      </c>
      <c r="E72" s="33" t="e">
        <f>#REF!</f>
        <v>#REF!</v>
      </c>
      <c r="F72" s="235" t="e">
        <f>#REF!</f>
        <v>#REF!</v>
      </c>
      <c r="G72" s="33" t="e">
        <f>#REF!</f>
        <v>#REF!</v>
      </c>
      <c r="H72" s="33" t="e">
        <f>#REF!</f>
        <v>#REF!</v>
      </c>
      <c r="I72" s="33" t="e">
        <f>#REF!</f>
        <v>#REF!</v>
      </c>
      <c r="J72" s="33" t="e">
        <f>#REF!</f>
        <v>#REF!</v>
      </c>
      <c r="K72" s="33" t="e">
        <f>#REF!</f>
        <v>#REF!</v>
      </c>
      <c r="L72" s="33" t="e">
        <f>#REF!</f>
        <v>#REF!</v>
      </c>
      <c r="M72" s="33" t="e">
        <f>#REF!</f>
        <v>#REF!</v>
      </c>
    </row>
    <row r="73" spans="1:13" ht="23.25" x14ac:dyDescent="0.25">
      <c r="A73" s="234" t="e">
        <f>#REF!</f>
        <v>#REF!</v>
      </c>
      <c r="B73" s="234" t="e">
        <f>#REF!</f>
        <v>#REF!</v>
      </c>
      <c r="C73" s="33" t="e">
        <f>#REF!</f>
        <v>#REF!</v>
      </c>
      <c r="D73" s="33" t="e">
        <f>#REF!</f>
        <v>#REF!</v>
      </c>
      <c r="E73" s="33" t="e">
        <f>#REF!</f>
        <v>#REF!</v>
      </c>
      <c r="F73" s="235" t="e">
        <f>#REF!</f>
        <v>#REF!</v>
      </c>
      <c r="G73" s="33" t="e">
        <f>#REF!</f>
        <v>#REF!</v>
      </c>
      <c r="H73" s="33" t="e">
        <f>#REF!</f>
        <v>#REF!</v>
      </c>
      <c r="I73" s="33" t="e">
        <f>#REF!</f>
        <v>#REF!</v>
      </c>
      <c r="J73" s="33" t="e">
        <f>#REF!</f>
        <v>#REF!</v>
      </c>
      <c r="K73" s="33" t="e">
        <f>#REF!</f>
        <v>#REF!</v>
      </c>
      <c r="L73" s="33" t="e">
        <f>#REF!</f>
        <v>#REF!</v>
      </c>
      <c r="M73" s="33" t="e">
        <f>#REF!</f>
        <v>#REF!</v>
      </c>
    </row>
    <row r="74" spans="1:13" ht="23.25" x14ac:dyDescent="0.25">
      <c r="A74" s="234" t="e">
        <f>#REF!</f>
        <v>#REF!</v>
      </c>
      <c r="B74" s="234" t="e">
        <f>#REF!</f>
        <v>#REF!</v>
      </c>
      <c r="C74" s="33" t="e">
        <f>#REF!</f>
        <v>#REF!</v>
      </c>
      <c r="D74" s="33" t="e">
        <f>#REF!</f>
        <v>#REF!</v>
      </c>
      <c r="E74" s="33" t="e">
        <f>#REF!</f>
        <v>#REF!</v>
      </c>
      <c r="F74" s="235" t="e">
        <f>#REF!</f>
        <v>#REF!</v>
      </c>
      <c r="G74" s="33" t="e">
        <f>#REF!</f>
        <v>#REF!</v>
      </c>
      <c r="H74" s="33" t="e">
        <f>#REF!</f>
        <v>#REF!</v>
      </c>
      <c r="I74" s="33" t="e">
        <f>#REF!</f>
        <v>#REF!</v>
      </c>
      <c r="J74" s="33" t="e">
        <f>#REF!</f>
        <v>#REF!</v>
      </c>
      <c r="K74" s="33" t="e">
        <f>#REF!</f>
        <v>#REF!</v>
      </c>
      <c r="L74" s="33" t="e">
        <f>#REF!</f>
        <v>#REF!</v>
      </c>
      <c r="M74" s="33" t="e">
        <f>#REF!</f>
        <v>#REF!</v>
      </c>
    </row>
    <row r="75" spans="1:13" ht="23.25" x14ac:dyDescent="0.25">
      <c r="A75" s="234" t="e">
        <f>#REF!</f>
        <v>#REF!</v>
      </c>
      <c r="B75" s="234" t="e">
        <f>#REF!</f>
        <v>#REF!</v>
      </c>
      <c r="C75" s="33" t="e">
        <f>#REF!</f>
        <v>#REF!</v>
      </c>
      <c r="D75" s="33" t="e">
        <f>#REF!</f>
        <v>#REF!</v>
      </c>
      <c r="E75" s="33" t="e">
        <f>#REF!</f>
        <v>#REF!</v>
      </c>
      <c r="F75" s="235" t="e">
        <f>#REF!</f>
        <v>#REF!</v>
      </c>
      <c r="G75" s="33" t="e">
        <f>#REF!</f>
        <v>#REF!</v>
      </c>
      <c r="H75" s="33" t="e">
        <f>#REF!</f>
        <v>#REF!</v>
      </c>
      <c r="I75" s="33" t="e">
        <f>#REF!</f>
        <v>#REF!</v>
      </c>
      <c r="J75" s="33" t="e">
        <f>#REF!</f>
        <v>#REF!</v>
      </c>
      <c r="K75" s="33" t="e">
        <f>#REF!</f>
        <v>#REF!</v>
      </c>
      <c r="L75" s="33" t="e">
        <f>#REF!</f>
        <v>#REF!</v>
      </c>
      <c r="M75" s="33" t="e">
        <f>#REF!</f>
        <v>#REF!</v>
      </c>
    </row>
    <row r="76" spans="1:13" ht="23.25" x14ac:dyDescent="0.25">
      <c r="A76" s="234" t="e">
        <f>#REF!</f>
        <v>#REF!</v>
      </c>
      <c r="B76" s="234" t="e">
        <f>#REF!</f>
        <v>#REF!</v>
      </c>
      <c r="C76" s="33" t="e">
        <f>#REF!</f>
        <v>#REF!</v>
      </c>
      <c r="D76" s="33" t="e">
        <f>#REF!</f>
        <v>#REF!</v>
      </c>
      <c r="E76" s="33" t="e">
        <f>#REF!</f>
        <v>#REF!</v>
      </c>
      <c r="F76" s="235" t="e">
        <f>#REF!</f>
        <v>#REF!</v>
      </c>
      <c r="G76" s="33" t="e">
        <f>#REF!</f>
        <v>#REF!</v>
      </c>
      <c r="H76" s="33" t="e">
        <f>#REF!</f>
        <v>#REF!</v>
      </c>
      <c r="I76" s="33" t="e">
        <f>#REF!</f>
        <v>#REF!</v>
      </c>
      <c r="J76" s="33" t="e">
        <f>#REF!</f>
        <v>#REF!</v>
      </c>
      <c r="K76" s="33" t="e">
        <f>#REF!</f>
        <v>#REF!</v>
      </c>
      <c r="L76" s="33" t="e">
        <f>#REF!</f>
        <v>#REF!</v>
      </c>
      <c r="M76" s="33" t="e">
        <f>#REF!</f>
        <v>#REF!</v>
      </c>
    </row>
    <row r="77" spans="1:13" ht="23.25" x14ac:dyDescent="0.25">
      <c r="A77" s="234" t="e">
        <f>#REF!</f>
        <v>#REF!</v>
      </c>
      <c r="B77" s="234" t="e">
        <f>#REF!</f>
        <v>#REF!</v>
      </c>
      <c r="C77" s="33" t="e">
        <f>#REF!</f>
        <v>#REF!</v>
      </c>
      <c r="D77" s="33" t="e">
        <f>#REF!</f>
        <v>#REF!</v>
      </c>
      <c r="E77" s="33" t="e">
        <f>#REF!</f>
        <v>#REF!</v>
      </c>
      <c r="F77" s="235" t="e">
        <f>#REF!</f>
        <v>#REF!</v>
      </c>
      <c r="G77" s="33" t="e">
        <f>#REF!</f>
        <v>#REF!</v>
      </c>
      <c r="H77" s="33" t="e">
        <f>#REF!</f>
        <v>#REF!</v>
      </c>
      <c r="I77" s="33" t="e">
        <f>#REF!</f>
        <v>#REF!</v>
      </c>
      <c r="J77" s="33" t="e">
        <f>#REF!</f>
        <v>#REF!</v>
      </c>
      <c r="K77" s="33" t="e">
        <f>#REF!</f>
        <v>#REF!</v>
      </c>
      <c r="L77" s="33" t="e">
        <f>#REF!</f>
        <v>#REF!</v>
      </c>
      <c r="M77" s="33" t="e">
        <f>#REF!</f>
        <v>#REF!</v>
      </c>
    </row>
    <row r="78" spans="1:13" ht="23.25" x14ac:dyDescent="0.25">
      <c r="A78" s="234" t="e">
        <f>#REF!</f>
        <v>#REF!</v>
      </c>
      <c r="B78" s="234" t="e">
        <f>#REF!</f>
        <v>#REF!</v>
      </c>
      <c r="C78" s="33" t="e">
        <f>#REF!</f>
        <v>#REF!</v>
      </c>
      <c r="D78" s="33" t="e">
        <f>#REF!</f>
        <v>#REF!</v>
      </c>
      <c r="E78" s="33" t="e">
        <f>#REF!</f>
        <v>#REF!</v>
      </c>
      <c r="F78" s="235" t="e">
        <f>#REF!</f>
        <v>#REF!</v>
      </c>
      <c r="G78" s="33" t="e">
        <f>#REF!</f>
        <v>#REF!</v>
      </c>
      <c r="H78" s="33" t="e">
        <f>#REF!</f>
        <v>#REF!</v>
      </c>
      <c r="I78" s="33" t="e">
        <f>#REF!</f>
        <v>#REF!</v>
      </c>
      <c r="J78" s="33" t="e">
        <f>#REF!</f>
        <v>#REF!</v>
      </c>
      <c r="K78" s="33" t="e">
        <f>#REF!</f>
        <v>#REF!</v>
      </c>
      <c r="L78" s="33" t="e">
        <f>#REF!</f>
        <v>#REF!</v>
      </c>
      <c r="M78" s="33" t="e">
        <f>#REF!</f>
        <v>#REF!</v>
      </c>
    </row>
    <row r="79" spans="1:13" ht="23.25" x14ac:dyDescent="0.25">
      <c r="A79" s="234" t="e">
        <f>#REF!</f>
        <v>#REF!</v>
      </c>
      <c r="B79" s="234" t="e">
        <f>#REF!</f>
        <v>#REF!</v>
      </c>
      <c r="C79" s="33" t="e">
        <f>#REF!</f>
        <v>#REF!</v>
      </c>
      <c r="D79" s="33" t="e">
        <f>#REF!</f>
        <v>#REF!</v>
      </c>
      <c r="E79" s="33" t="e">
        <f>#REF!</f>
        <v>#REF!</v>
      </c>
      <c r="F79" s="235" t="e">
        <f>#REF!</f>
        <v>#REF!</v>
      </c>
      <c r="G79" s="33" t="e">
        <f>#REF!</f>
        <v>#REF!</v>
      </c>
      <c r="H79" s="33" t="e">
        <f>#REF!</f>
        <v>#REF!</v>
      </c>
      <c r="I79" s="33" t="e">
        <f>#REF!</f>
        <v>#REF!</v>
      </c>
      <c r="J79" s="33" t="e">
        <f>#REF!</f>
        <v>#REF!</v>
      </c>
      <c r="K79" s="33" t="e">
        <f>#REF!</f>
        <v>#REF!</v>
      </c>
      <c r="L79" s="33" t="e">
        <f>#REF!</f>
        <v>#REF!</v>
      </c>
      <c r="M79" s="33" t="e">
        <f>#REF!</f>
        <v>#REF!</v>
      </c>
    </row>
    <row r="80" spans="1:13" ht="23.25" x14ac:dyDescent="0.25">
      <c r="A80" s="234" t="e">
        <f>#REF!</f>
        <v>#REF!</v>
      </c>
      <c r="B80" s="234" t="e">
        <f>#REF!</f>
        <v>#REF!</v>
      </c>
      <c r="C80" s="33" t="e">
        <f>#REF!</f>
        <v>#REF!</v>
      </c>
      <c r="D80" s="33" t="e">
        <f>#REF!</f>
        <v>#REF!</v>
      </c>
      <c r="E80" s="33" t="e">
        <f>#REF!</f>
        <v>#REF!</v>
      </c>
      <c r="F80" s="235" t="e">
        <f>#REF!</f>
        <v>#REF!</v>
      </c>
      <c r="G80" s="33" t="e">
        <f>#REF!</f>
        <v>#REF!</v>
      </c>
      <c r="H80" s="33" t="e">
        <f>#REF!</f>
        <v>#REF!</v>
      </c>
      <c r="I80" s="33" t="e">
        <f>#REF!</f>
        <v>#REF!</v>
      </c>
      <c r="J80" s="33" t="e">
        <f>#REF!</f>
        <v>#REF!</v>
      </c>
      <c r="K80" s="33" t="e">
        <f>#REF!</f>
        <v>#REF!</v>
      </c>
      <c r="L80" s="33" t="e">
        <f>#REF!</f>
        <v>#REF!</v>
      </c>
      <c r="M80" s="33" t="e">
        <f>#REF!</f>
        <v>#REF!</v>
      </c>
    </row>
    <row r="81" spans="1:13" ht="23.25" x14ac:dyDescent="0.25">
      <c r="A81" s="234" t="e">
        <f>#REF!</f>
        <v>#REF!</v>
      </c>
      <c r="B81" s="234" t="e">
        <f>#REF!</f>
        <v>#REF!</v>
      </c>
      <c r="C81" s="33" t="e">
        <f>#REF!</f>
        <v>#REF!</v>
      </c>
      <c r="D81" s="33" t="e">
        <f>#REF!</f>
        <v>#REF!</v>
      </c>
      <c r="E81" s="33" t="e">
        <f>#REF!</f>
        <v>#REF!</v>
      </c>
      <c r="F81" s="235" t="e">
        <f>#REF!</f>
        <v>#REF!</v>
      </c>
      <c r="G81" s="33" t="e">
        <f>#REF!</f>
        <v>#REF!</v>
      </c>
      <c r="H81" s="33" t="e">
        <f>#REF!</f>
        <v>#REF!</v>
      </c>
      <c r="I81" s="33" t="e">
        <f>#REF!</f>
        <v>#REF!</v>
      </c>
      <c r="J81" s="33" t="e">
        <f>#REF!</f>
        <v>#REF!</v>
      </c>
      <c r="K81" s="33" t="e">
        <f>#REF!</f>
        <v>#REF!</v>
      </c>
      <c r="L81" s="33" t="e">
        <f>#REF!</f>
        <v>#REF!</v>
      </c>
      <c r="M81" s="33" t="e">
        <f>#REF!</f>
        <v>#REF!</v>
      </c>
    </row>
    <row r="82" spans="1:13" ht="23.25" x14ac:dyDescent="0.25">
      <c r="A82" s="234" t="e">
        <f>#REF!</f>
        <v>#REF!</v>
      </c>
      <c r="B82" s="234" t="e">
        <f>#REF!</f>
        <v>#REF!</v>
      </c>
      <c r="C82" s="33" t="e">
        <f>#REF!</f>
        <v>#REF!</v>
      </c>
      <c r="D82" s="33" t="e">
        <f>#REF!</f>
        <v>#REF!</v>
      </c>
      <c r="E82" s="33" t="e">
        <f>#REF!</f>
        <v>#REF!</v>
      </c>
      <c r="F82" s="235" t="e">
        <f>#REF!</f>
        <v>#REF!</v>
      </c>
      <c r="G82" s="33" t="e">
        <f>#REF!</f>
        <v>#REF!</v>
      </c>
      <c r="H82" s="33" t="e">
        <f>#REF!</f>
        <v>#REF!</v>
      </c>
      <c r="I82" s="33" t="e">
        <f>#REF!</f>
        <v>#REF!</v>
      </c>
      <c r="J82" s="33" t="e">
        <f>#REF!</f>
        <v>#REF!</v>
      </c>
      <c r="K82" s="33" t="e">
        <f>#REF!</f>
        <v>#REF!</v>
      </c>
      <c r="L82" s="33" t="e">
        <f>#REF!</f>
        <v>#REF!</v>
      </c>
      <c r="M82" s="33" t="e">
        <f>#REF!</f>
        <v>#REF!</v>
      </c>
    </row>
    <row r="83" spans="1:13" ht="23.25" x14ac:dyDescent="0.25">
      <c r="A83" s="234" t="e">
        <f>#REF!</f>
        <v>#REF!</v>
      </c>
      <c r="B83" s="234" t="e">
        <f>#REF!</f>
        <v>#REF!</v>
      </c>
      <c r="C83" s="33" t="e">
        <f>#REF!</f>
        <v>#REF!</v>
      </c>
      <c r="D83" s="33" t="e">
        <f>#REF!</f>
        <v>#REF!</v>
      </c>
      <c r="E83" s="33" t="e">
        <f>#REF!</f>
        <v>#REF!</v>
      </c>
      <c r="F83" s="235" t="e">
        <f>#REF!</f>
        <v>#REF!</v>
      </c>
      <c r="G83" s="33" t="e">
        <f>#REF!</f>
        <v>#REF!</v>
      </c>
      <c r="H83" s="33" t="e">
        <f>#REF!</f>
        <v>#REF!</v>
      </c>
      <c r="I83" s="33" t="e">
        <f>#REF!</f>
        <v>#REF!</v>
      </c>
      <c r="J83" s="33" t="e">
        <f>#REF!</f>
        <v>#REF!</v>
      </c>
      <c r="K83" s="33" t="e">
        <f>#REF!</f>
        <v>#REF!</v>
      </c>
      <c r="L83" s="33" t="e">
        <f>#REF!</f>
        <v>#REF!</v>
      </c>
      <c r="M83" s="33" t="e">
        <f>#REF!</f>
        <v>#REF!</v>
      </c>
    </row>
    <row r="84" spans="1:13" ht="23.25" x14ac:dyDescent="0.25">
      <c r="A84" s="234" t="e">
        <f>#REF!</f>
        <v>#REF!</v>
      </c>
      <c r="B84" s="234" t="e">
        <f>#REF!</f>
        <v>#REF!</v>
      </c>
      <c r="C84" s="33" t="e">
        <f>#REF!</f>
        <v>#REF!</v>
      </c>
      <c r="D84" s="33" t="e">
        <f>#REF!</f>
        <v>#REF!</v>
      </c>
      <c r="E84" s="33" t="e">
        <f>#REF!</f>
        <v>#REF!</v>
      </c>
      <c r="F84" s="235" t="e">
        <f>#REF!</f>
        <v>#REF!</v>
      </c>
      <c r="G84" s="33" t="e">
        <f>#REF!</f>
        <v>#REF!</v>
      </c>
      <c r="H84" s="33" t="e">
        <f>#REF!</f>
        <v>#REF!</v>
      </c>
      <c r="I84" s="33" t="e">
        <f>#REF!</f>
        <v>#REF!</v>
      </c>
      <c r="J84" s="33" t="e">
        <f>#REF!</f>
        <v>#REF!</v>
      </c>
      <c r="K84" s="33" t="e">
        <f>#REF!</f>
        <v>#REF!</v>
      </c>
      <c r="L84" s="33" t="e">
        <f>#REF!</f>
        <v>#REF!</v>
      </c>
      <c r="M84" s="33" t="e">
        <f>#REF!</f>
        <v>#REF!</v>
      </c>
    </row>
    <row r="85" spans="1:13" ht="23.25" x14ac:dyDescent="0.25">
      <c r="A85" s="234" t="e">
        <f>#REF!</f>
        <v>#REF!</v>
      </c>
      <c r="B85" s="234" t="e">
        <f>#REF!</f>
        <v>#REF!</v>
      </c>
      <c r="C85" s="33" t="e">
        <f>#REF!</f>
        <v>#REF!</v>
      </c>
      <c r="D85" s="33" t="e">
        <f>#REF!</f>
        <v>#REF!</v>
      </c>
      <c r="E85" s="33" t="e">
        <f>#REF!</f>
        <v>#REF!</v>
      </c>
      <c r="F85" s="235" t="e">
        <f>#REF!</f>
        <v>#REF!</v>
      </c>
      <c r="G85" s="33" t="e">
        <f>#REF!</f>
        <v>#REF!</v>
      </c>
      <c r="H85" s="33" t="e">
        <f>#REF!</f>
        <v>#REF!</v>
      </c>
      <c r="I85" s="33" t="e">
        <f>#REF!</f>
        <v>#REF!</v>
      </c>
      <c r="J85" s="33" t="e">
        <f>#REF!</f>
        <v>#REF!</v>
      </c>
      <c r="K85" s="33" t="e">
        <f>#REF!</f>
        <v>#REF!</v>
      </c>
      <c r="L85" s="33" t="e">
        <f>#REF!</f>
        <v>#REF!</v>
      </c>
      <c r="M85" s="33" t="e">
        <f>#REF!</f>
        <v>#REF!</v>
      </c>
    </row>
    <row r="86" spans="1:13" ht="23.25" x14ac:dyDescent="0.25">
      <c r="A86" s="234" t="e">
        <f>#REF!</f>
        <v>#REF!</v>
      </c>
      <c r="B86" s="234" t="e">
        <f>#REF!</f>
        <v>#REF!</v>
      </c>
      <c r="C86" s="33" t="e">
        <f>#REF!</f>
        <v>#REF!</v>
      </c>
      <c r="D86" s="33" t="e">
        <f>#REF!</f>
        <v>#REF!</v>
      </c>
      <c r="E86" s="33" t="e">
        <f>#REF!</f>
        <v>#REF!</v>
      </c>
      <c r="F86" s="235" t="e">
        <f>#REF!</f>
        <v>#REF!</v>
      </c>
      <c r="G86" s="33" t="e">
        <f>#REF!</f>
        <v>#REF!</v>
      </c>
      <c r="H86" s="33" t="e">
        <f>#REF!</f>
        <v>#REF!</v>
      </c>
      <c r="I86" s="33" t="e">
        <f>#REF!</f>
        <v>#REF!</v>
      </c>
      <c r="J86" s="33" t="e">
        <f>#REF!</f>
        <v>#REF!</v>
      </c>
      <c r="K86" s="33" t="e">
        <f>#REF!</f>
        <v>#REF!</v>
      </c>
      <c r="L86" s="33" t="e">
        <f>#REF!</f>
        <v>#REF!</v>
      </c>
      <c r="M86" s="33" t="e">
        <f>#REF!</f>
        <v>#REF!</v>
      </c>
    </row>
    <row r="87" spans="1:13" ht="23.25" x14ac:dyDescent="0.25">
      <c r="A87" s="234" t="e">
        <f>#REF!</f>
        <v>#REF!</v>
      </c>
      <c r="B87" s="234" t="e">
        <f>#REF!</f>
        <v>#REF!</v>
      </c>
      <c r="C87" s="33" t="e">
        <f>#REF!</f>
        <v>#REF!</v>
      </c>
      <c r="D87" s="33" t="e">
        <f>#REF!</f>
        <v>#REF!</v>
      </c>
      <c r="E87" s="33" t="e">
        <f>#REF!</f>
        <v>#REF!</v>
      </c>
      <c r="F87" s="235" t="e">
        <f>#REF!</f>
        <v>#REF!</v>
      </c>
      <c r="G87" s="33" t="e">
        <f>#REF!</f>
        <v>#REF!</v>
      </c>
      <c r="H87" s="33" t="e">
        <f>#REF!</f>
        <v>#REF!</v>
      </c>
      <c r="I87" s="33" t="e">
        <f>#REF!</f>
        <v>#REF!</v>
      </c>
      <c r="J87" s="33" t="e">
        <f>#REF!</f>
        <v>#REF!</v>
      </c>
      <c r="K87" s="33" t="e">
        <f>#REF!</f>
        <v>#REF!</v>
      </c>
      <c r="L87" s="33" t="e">
        <f>#REF!</f>
        <v>#REF!</v>
      </c>
      <c r="M87" s="33" t="e">
        <f>#REF!</f>
        <v>#REF!</v>
      </c>
    </row>
    <row r="88" spans="1:13" ht="23.25" x14ac:dyDescent="0.25">
      <c r="A88" s="234" t="e">
        <f>#REF!</f>
        <v>#REF!</v>
      </c>
      <c r="B88" s="234" t="e">
        <f>#REF!</f>
        <v>#REF!</v>
      </c>
      <c r="C88" s="33" t="e">
        <f>#REF!</f>
        <v>#REF!</v>
      </c>
      <c r="D88" s="33" t="e">
        <f>#REF!</f>
        <v>#REF!</v>
      </c>
      <c r="E88" s="33" t="e">
        <f>#REF!</f>
        <v>#REF!</v>
      </c>
      <c r="F88" s="235" t="e">
        <f>#REF!</f>
        <v>#REF!</v>
      </c>
      <c r="G88" s="33" t="e">
        <f>#REF!</f>
        <v>#REF!</v>
      </c>
      <c r="H88" s="33" t="e">
        <f>#REF!</f>
        <v>#REF!</v>
      </c>
      <c r="I88" s="33" t="e">
        <f>#REF!</f>
        <v>#REF!</v>
      </c>
      <c r="J88" s="33" t="e">
        <f>#REF!</f>
        <v>#REF!</v>
      </c>
      <c r="K88" s="33" t="e">
        <f>#REF!</f>
        <v>#REF!</v>
      </c>
      <c r="L88" s="33" t="e">
        <f>#REF!</f>
        <v>#REF!</v>
      </c>
      <c r="M88" s="33" t="e">
        <f>#REF!</f>
        <v>#REF!</v>
      </c>
    </row>
    <row r="89" spans="1:13" ht="23.25" x14ac:dyDescent="0.25">
      <c r="A89" s="234" t="e">
        <f>#REF!</f>
        <v>#REF!</v>
      </c>
      <c r="B89" s="234" t="e">
        <f>#REF!</f>
        <v>#REF!</v>
      </c>
      <c r="C89" s="33" t="e">
        <f>#REF!</f>
        <v>#REF!</v>
      </c>
      <c r="D89" s="33" t="e">
        <f>#REF!</f>
        <v>#REF!</v>
      </c>
      <c r="E89" s="33" t="e">
        <f>#REF!</f>
        <v>#REF!</v>
      </c>
      <c r="F89" s="235" t="e">
        <f>#REF!</f>
        <v>#REF!</v>
      </c>
      <c r="G89" s="33" t="e">
        <f>#REF!</f>
        <v>#REF!</v>
      </c>
      <c r="H89" s="33" t="e">
        <f>#REF!</f>
        <v>#REF!</v>
      </c>
      <c r="I89" s="33" t="e">
        <f>#REF!</f>
        <v>#REF!</v>
      </c>
      <c r="J89" s="33" t="e">
        <f>#REF!</f>
        <v>#REF!</v>
      </c>
      <c r="K89" s="33" t="e">
        <f>#REF!</f>
        <v>#REF!</v>
      </c>
      <c r="L89" s="33" t="e">
        <f>#REF!</f>
        <v>#REF!</v>
      </c>
      <c r="M89" s="33" t="e">
        <f>#REF!</f>
        <v>#REF!</v>
      </c>
    </row>
    <row r="90" spans="1:13" ht="23.25" x14ac:dyDescent="0.25">
      <c r="A90" s="234" t="e">
        <f>#REF!</f>
        <v>#REF!</v>
      </c>
      <c r="B90" s="234" t="e">
        <f>#REF!</f>
        <v>#REF!</v>
      </c>
      <c r="C90" s="33" t="e">
        <f>#REF!</f>
        <v>#REF!</v>
      </c>
      <c r="D90" s="33" t="e">
        <f>#REF!</f>
        <v>#REF!</v>
      </c>
      <c r="E90" s="33" t="e">
        <f>#REF!</f>
        <v>#REF!</v>
      </c>
      <c r="F90" s="235" t="e">
        <f>#REF!</f>
        <v>#REF!</v>
      </c>
      <c r="G90" s="33" t="e">
        <f>#REF!</f>
        <v>#REF!</v>
      </c>
      <c r="H90" s="33" t="e">
        <f>#REF!</f>
        <v>#REF!</v>
      </c>
      <c r="I90" s="33" t="e">
        <f>#REF!</f>
        <v>#REF!</v>
      </c>
      <c r="J90" s="33" t="e">
        <f>#REF!</f>
        <v>#REF!</v>
      </c>
      <c r="K90" s="33" t="e">
        <f>#REF!</f>
        <v>#REF!</v>
      </c>
      <c r="L90" s="33" t="e">
        <f>#REF!</f>
        <v>#REF!</v>
      </c>
      <c r="M90" s="33" t="e">
        <f>#REF!</f>
        <v>#REF!</v>
      </c>
    </row>
    <row r="91" spans="1:13" ht="23.25" x14ac:dyDescent="0.25">
      <c r="A91" s="234" t="e">
        <f>#REF!</f>
        <v>#REF!</v>
      </c>
      <c r="B91" s="234" t="e">
        <f>#REF!</f>
        <v>#REF!</v>
      </c>
      <c r="C91" s="33" t="e">
        <f>#REF!</f>
        <v>#REF!</v>
      </c>
      <c r="D91" s="33" t="e">
        <f>#REF!</f>
        <v>#REF!</v>
      </c>
      <c r="E91" s="33" t="e">
        <f>#REF!</f>
        <v>#REF!</v>
      </c>
      <c r="F91" s="235" t="e">
        <f>#REF!</f>
        <v>#REF!</v>
      </c>
      <c r="G91" s="33" t="e">
        <f>#REF!</f>
        <v>#REF!</v>
      </c>
      <c r="H91" s="33" t="e">
        <f>#REF!</f>
        <v>#REF!</v>
      </c>
      <c r="I91" s="33" t="e">
        <f>#REF!</f>
        <v>#REF!</v>
      </c>
      <c r="J91" s="33" t="e">
        <f>#REF!</f>
        <v>#REF!</v>
      </c>
      <c r="K91" s="33" t="e">
        <f>#REF!</f>
        <v>#REF!</v>
      </c>
      <c r="L91" s="33" t="e">
        <f>#REF!</f>
        <v>#REF!</v>
      </c>
      <c r="M91" s="33" t="e">
        <f>#REF!</f>
        <v>#REF!</v>
      </c>
    </row>
    <row r="92" spans="1:13" ht="23.25" x14ac:dyDescent="0.25">
      <c r="A92" s="234" t="e">
        <f>#REF!</f>
        <v>#REF!</v>
      </c>
      <c r="B92" s="234" t="e">
        <f>#REF!</f>
        <v>#REF!</v>
      </c>
      <c r="C92" s="33" t="e">
        <f>#REF!</f>
        <v>#REF!</v>
      </c>
      <c r="D92" s="33" t="e">
        <f>#REF!</f>
        <v>#REF!</v>
      </c>
      <c r="E92" s="33" t="e">
        <f>#REF!</f>
        <v>#REF!</v>
      </c>
      <c r="F92" s="235" t="e">
        <f>#REF!</f>
        <v>#REF!</v>
      </c>
      <c r="G92" s="33" t="e">
        <f>#REF!</f>
        <v>#REF!</v>
      </c>
      <c r="H92" s="33" t="e">
        <f>#REF!</f>
        <v>#REF!</v>
      </c>
      <c r="I92" s="33" t="e">
        <f>#REF!</f>
        <v>#REF!</v>
      </c>
      <c r="J92" s="33" t="e">
        <f>#REF!</f>
        <v>#REF!</v>
      </c>
      <c r="K92" s="33" t="e">
        <f>#REF!</f>
        <v>#REF!</v>
      </c>
      <c r="L92" s="33" t="e">
        <f>#REF!</f>
        <v>#REF!</v>
      </c>
      <c r="M92" s="33" t="e">
        <f>#REF!</f>
        <v>#REF!</v>
      </c>
    </row>
    <row r="93" spans="1:13" ht="23.25" x14ac:dyDescent="0.25">
      <c r="A93" s="234" t="e">
        <f>#REF!</f>
        <v>#REF!</v>
      </c>
      <c r="B93" s="234" t="e">
        <f>#REF!</f>
        <v>#REF!</v>
      </c>
      <c r="C93" s="33" t="e">
        <f>#REF!</f>
        <v>#REF!</v>
      </c>
      <c r="D93" s="33" t="e">
        <f>#REF!</f>
        <v>#REF!</v>
      </c>
      <c r="E93" s="33" t="e">
        <f>#REF!</f>
        <v>#REF!</v>
      </c>
      <c r="F93" s="235" t="e">
        <f>#REF!</f>
        <v>#REF!</v>
      </c>
      <c r="G93" s="33" t="e">
        <f>#REF!</f>
        <v>#REF!</v>
      </c>
      <c r="H93" s="33" t="e">
        <f>#REF!</f>
        <v>#REF!</v>
      </c>
      <c r="I93" s="33" t="e">
        <f>#REF!</f>
        <v>#REF!</v>
      </c>
      <c r="J93" s="33" t="e">
        <f>#REF!</f>
        <v>#REF!</v>
      </c>
      <c r="K93" s="33" t="e">
        <f>#REF!</f>
        <v>#REF!</v>
      </c>
      <c r="L93" s="33" t="e">
        <f>#REF!</f>
        <v>#REF!</v>
      </c>
      <c r="M93" s="33" t="e">
        <f>#REF!</f>
        <v>#REF!</v>
      </c>
    </row>
    <row r="94" spans="1:13" ht="23.25" x14ac:dyDescent="0.25">
      <c r="A94" s="234" t="e">
        <f>#REF!</f>
        <v>#REF!</v>
      </c>
      <c r="B94" s="234" t="e">
        <f>#REF!</f>
        <v>#REF!</v>
      </c>
      <c r="C94" s="33" t="e">
        <f>#REF!</f>
        <v>#REF!</v>
      </c>
      <c r="D94" s="33" t="e">
        <f>#REF!</f>
        <v>#REF!</v>
      </c>
      <c r="E94" s="33" t="e">
        <f>#REF!</f>
        <v>#REF!</v>
      </c>
      <c r="F94" s="235" t="e">
        <f>#REF!</f>
        <v>#REF!</v>
      </c>
      <c r="G94" s="33" t="e">
        <f>#REF!</f>
        <v>#REF!</v>
      </c>
      <c r="H94" s="33" t="e">
        <f>#REF!</f>
        <v>#REF!</v>
      </c>
      <c r="I94" s="33" t="e">
        <f>#REF!</f>
        <v>#REF!</v>
      </c>
      <c r="J94" s="33" t="e">
        <f>#REF!</f>
        <v>#REF!</v>
      </c>
      <c r="K94" s="33" t="e">
        <f>#REF!</f>
        <v>#REF!</v>
      </c>
      <c r="L94" s="33" t="e">
        <f>#REF!</f>
        <v>#REF!</v>
      </c>
      <c r="M94" s="33" t="e">
        <f>#REF!</f>
        <v>#REF!</v>
      </c>
    </row>
    <row r="95" spans="1:13" ht="23.25" x14ac:dyDescent="0.25">
      <c r="A95" s="234" t="e">
        <f>#REF!</f>
        <v>#REF!</v>
      </c>
      <c r="B95" s="234" t="e">
        <f>#REF!</f>
        <v>#REF!</v>
      </c>
      <c r="C95" s="33" t="e">
        <f>#REF!</f>
        <v>#REF!</v>
      </c>
      <c r="D95" s="33" t="e">
        <f>#REF!</f>
        <v>#REF!</v>
      </c>
      <c r="E95" s="33" t="e">
        <f>#REF!</f>
        <v>#REF!</v>
      </c>
      <c r="F95" s="235" t="e">
        <f>#REF!</f>
        <v>#REF!</v>
      </c>
      <c r="G95" s="33" t="e">
        <f>#REF!</f>
        <v>#REF!</v>
      </c>
      <c r="H95" s="33" t="e">
        <f>#REF!</f>
        <v>#REF!</v>
      </c>
      <c r="I95" s="33" t="e">
        <f>#REF!</f>
        <v>#REF!</v>
      </c>
      <c r="J95" s="33" t="e">
        <f>#REF!</f>
        <v>#REF!</v>
      </c>
      <c r="K95" s="33" t="e">
        <f>#REF!</f>
        <v>#REF!</v>
      </c>
      <c r="L95" s="33" t="e">
        <f>#REF!</f>
        <v>#REF!</v>
      </c>
      <c r="M95" s="33" t="e">
        <f>#REF!</f>
        <v>#REF!</v>
      </c>
    </row>
    <row r="96" spans="1:13" ht="23.25" x14ac:dyDescent="0.25">
      <c r="A96" s="234" t="e">
        <f>#REF!</f>
        <v>#REF!</v>
      </c>
      <c r="B96" s="234" t="e">
        <f>#REF!</f>
        <v>#REF!</v>
      </c>
      <c r="C96" s="33" t="e">
        <f>#REF!</f>
        <v>#REF!</v>
      </c>
      <c r="D96" s="33" t="e">
        <f>#REF!</f>
        <v>#REF!</v>
      </c>
      <c r="E96" s="33" t="e">
        <f>#REF!</f>
        <v>#REF!</v>
      </c>
      <c r="F96" s="235" t="e">
        <f>#REF!</f>
        <v>#REF!</v>
      </c>
      <c r="G96" s="33" t="e">
        <f>#REF!</f>
        <v>#REF!</v>
      </c>
      <c r="H96" s="33" t="e">
        <f>#REF!</f>
        <v>#REF!</v>
      </c>
      <c r="I96" s="33" t="e">
        <f>#REF!</f>
        <v>#REF!</v>
      </c>
      <c r="J96" s="33" t="e">
        <f>#REF!</f>
        <v>#REF!</v>
      </c>
      <c r="K96" s="33" t="e">
        <f>#REF!</f>
        <v>#REF!</v>
      </c>
      <c r="L96" s="33" t="e">
        <f>#REF!</f>
        <v>#REF!</v>
      </c>
      <c r="M96" s="33" t="e">
        <f>#REF!</f>
        <v>#REF!</v>
      </c>
    </row>
    <row r="97" spans="1:13" ht="23.25" x14ac:dyDescent="0.25">
      <c r="A97" s="234" t="e">
        <f>#REF!</f>
        <v>#REF!</v>
      </c>
      <c r="B97" s="234" t="e">
        <f>#REF!</f>
        <v>#REF!</v>
      </c>
      <c r="C97" s="33" t="e">
        <f>#REF!</f>
        <v>#REF!</v>
      </c>
      <c r="D97" s="33" t="e">
        <f>#REF!</f>
        <v>#REF!</v>
      </c>
      <c r="E97" s="33" t="e">
        <f>#REF!</f>
        <v>#REF!</v>
      </c>
      <c r="F97" s="235" t="e">
        <f>#REF!</f>
        <v>#REF!</v>
      </c>
      <c r="G97" s="33" t="e">
        <f>#REF!</f>
        <v>#REF!</v>
      </c>
      <c r="H97" s="33" t="e">
        <f>#REF!</f>
        <v>#REF!</v>
      </c>
      <c r="I97" s="33" t="e">
        <f>#REF!</f>
        <v>#REF!</v>
      </c>
      <c r="J97" s="33" t="e">
        <f>#REF!</f>
        <v>#REF!</v>
      </c>
      <c r="K97" s="33" t="e">
        <f>#REF!</f>
        <v>#REF!</v>
      </c>
      <c r="L97" s="33" t="e">
        <f>#REF!</f>
        <v>#REF!</v>
      </c>
      <c r="M97" s="33" t="e">
        <f>#REF!</f>
        <v>#REF!</v>
      </c>
    </row>
    <row r="98" spans="1:13" ht="23.25" x14ac:dyDescent="0.25">
      <c r="A98" s="234" t="e">
        <f>#REF!</f>
        <v>#REF!</v>
      </c>
      <c r="B98" s="234" t="e">
        <f>#REF!</f>
        <v>#REF!</v>
      </c>
      <c r="C98" s="33" t="e">
        <f>#REF!</f>
        <v>#REF!</v>
      </c>
      <c r="D98" s="33" t="e">
        <f>#REF!</f>
        <v>#REF!</v>
      </c>
      <c r="E98" s="33" t="e">
        <f>#REF!</f>
        <v>#REF!</v>
      </c>
      <c r="F98" s="235" t="e">
        <f>#REF!</f>
        <v>#REF!</v>
      </c>
      <c r="G98" s="33" t="e">
        <f>#REF!</f>
        <v>#REF!</v>
      </c>
      <c r="H98" s="33" t="e">
        <f>#REF!</f>
        <v>#REF!</v>
      </c>
      <c r="I98" s="33" t="e">
        <f>#REF!</f>
        <v>#REF!</v>
      </c>
      <c r="J98" s="33" t="e">
        <f>#REF!</f>
        <v>#REF!</v>
      </c>
      <c r="K98" s="33" t="e">
        <f>#REF!</f>
        <v>#REF!</v>
      </c>
      <c r="L98" s="33" t="e">
        <f>#REF!</f>
        <v>#REF!</v>
      </c>
      <c r="M98" s="33" t="e">
        <f>#REF!</f>
        <v>#REF!</v>
      </c>
    </row>
    <row r="99" spans="1:13" ht="23.25" x14ac:dyDescent="0.25">
      <c r="A99" s="234" t="e">
        <f>#REF!</f>
        <v>#REF!</v>
      </c>
      <c r="B99" s="234" t="e">
        <f>#REF!</f>
        <v>#REF!</v>
      </c>
      <c r="C99" s="33" t="e">
        <f>#REF!</f>
        <v>#REF!</v>
      </c>
      <c r="D99" s="33" t="e">
        <f>#REF!</f>
        <v>#REF!</v>
      </c>
      <c r="E99" s="33" t="e">
        <f>#REF!</f>
        <v>#REF!</v>
      </c>
      <c r="F99" s="235" t="e">
        <f>#REF!</f>
        <v>#REF!</v>
      </c>
      <c r="G99" s="33" t="e">
        <f>#REF!</f>
        <v>#REF!</v>
      </c>
      <c r="H99" s="33" t="e">
        <f>#REF!</f>
        <v>#REF!</v>
      </c>
      <c r="I99" s="33" t="e">
        <f>#REF!</f>
        <v>#REF!</v>
      </c>
      <c r="J99" s="33" t="e">
        <f>#REF!</f>
        <v>#REF!</v>
      </c>
      <c r="K99" s="33" t="e">
        <f>#REF!</f>
        <v>#REF!</v>
      </c>
      <c r="L99" s="33" t="e">
        <f>#REF!</f>
        <v>#REF!</v>
      </c>
      <c r="M99" s="33" t="e">
        <f>#REF!</f>
        <v>#REF!</v>
      </c>
    </row>
    <row r="100" spans="1:13" ht="23.25" x14ac:dyDescent="0.25">
      <c r="A100" s="234" t="e">
        <f>#REF!</f>
        <v>#REF!</v>
      </c>
      <c r="B100" s="234" t="e">
        <f>#REF!</f>
        <v>#REF!</v>
      </c>
      <c r="C100" s="33" t="e">
        <f>#REF!</f>
        <v>#REF!</v>
      </c>
      <c r="D100" s="33" t="e">
        <f>#REF!</f>
        <v>#REF!</v>
      </c>
      <c r="E100" s="33" t="e">
        <f>#REF!</f>
        <v>#REF!</v>
      </c>
      <c r="F100" s="235" t="e">
        <f>#REF!</f>
        <v>#REF!</v>
      </c>
      <c r="G100" s="33" t="e">
        <f>#REF!</f>
        <v>#REF!</v>
      </c>
      <c r="H100" s="33" t="e">
        <f>#REF!</f>
        <v>#REF!</v>
      </c>
      <c r="I100" s="33" t="e">
        <f>#REF!</f>
        <v>#REF!</v>
      </c>
      <c r="J100" s="33" t="e">
        <f>#REF!</f>
        <v>#REF!</v>
      </c>
      <c r="K100" s="33" t="e">
        <f>#REF!</f>
        <v>#REF!</v>
      </c>
      <c r="L100" s="33" t="e">
        <f>#REF!</f>
        <v>#REF!</v>
      </c>
      <c r="M100" s="33" t="e">
        <f>#REF!</f>
        <v>#REF!</v>
      </c>
    </row>
    <row r="101" spans="1:13" ht="23.25" x14ac:dyDescent="0.25">
      <c r="A101" s="234" t="e">
        <f>#REF!</f>
        <v>#REF!</v>
      </c>
      <c r="B101" s="234" t="e">
        <f>#REF!</f>
        <v>#REF!</v>
      </c>
      <c r="C101" s="33" t="e">
        <f>#REF!</f>
        <v>#REF!</v>
      </c>
      <c r="D101" s="33" t="e">
        <f>#REF!</f>
        <v>#REF!</v>
      </c>
      <c r="E101" s="33" t="e">
        <f>#REF!</f>
        <v>#REF!</v>
      </c>
      <c r="F101" s="235" t="e">
        <f>#REF!</f>
        <v>#REF!</v>
      </c>
      <c r="G101" s="33" t="e">
        <f>#REF!</f>
        <v>#REF!</v>
      </c>
      <c r="H101" s="33" t="e">
        <f>#REF!</f>
        <v>#REF!</v>
      </c>
      <c r="I101" s="33" t="e">
        <f>#REF!</f>
        <v>#REF!</v>
      </c>
      <c r="J101" s="33" t="e">
        <f>#REF!</f>
        <v>#REF!</v>
      </c>
      <c r="K101" s="33" t="e">
        <f>#REF!</f>
        <v>#REF!</v>
      </c>
      <c r="L101" s="33" t="e">
        <f>#REF!</f>
        <v>#REF!</v>
      </c>
      <c r="M101" s="33" t="e">
        <f>#REF!</f>
        <v>#REF!</v>
      </c>
    </row>
    <row r="102" spans="1:13" ht="23.25" x14ac:dyDescent="0.25">
      <c r="A102" s="234" t="e">
        <f>#REF!</f>
        <v>#REF!</v>
      </c>
      <c r="B102" s="234" t="e">
        <f>#REF!</f>
        <v>#REF!</v>
      </c>
      <c r="C102" s="33" t="e">
        <f>#REF!</f>
        <v>#REF!</v>
      </c>
      <c r="D102" s="33" t="e">
        <f>#REF!</f>
        <v>#REF!</v>
      </c>
      <c r="E102" s="33" t="e">
        <f>#REF!</f>
        <v>#REF!</v>
      </c>
      <c r="F102" s="235" t="e">
        <f>#REF!</f>
        <v>#REF!</v>
      </c>
      <c r="G102" s="33" t="e">
        <f>#REF!</f>
        <v>#REF!</v>
      </c>
      <c r="H102" s="33" t="e">
        <f>#REF!</f>
        <v>#REF!</v>
      </c>
      <c r="I102" s="33" t="e">
        <f>#REF!</f>
        <v>#REF!</v>
      </c>
      <c r="J102" s="33" t="e">
        <f>#REF!</f>
        <v>#REF!</v>
      </c>
      <c r="K102" s="33" t="e">
        <f>#REF!</f>
        <v>#REF!</v>
      </c>
      <c r="L102" s="33" t="e">
        <f>#REF!</f>
        <v>#REF!</v>
      </c>
      <c r="M102" s="33" t="e">
        <f>#REF!</f>
        <v>#REF!</v>
      </c>
    </row>
    <row r="103" spans="1:13" ht="23.25" x14ac:dyDescent="0.25">
      <c r="A103" s="234" t="e">
        <f>#REF!</f>
        <v>#REF!</v>
      </c>
      <c r="B103" s="234" t="e">
        <f>#REF!</f>
        <v>#REF!</v>
      </c>
      <c r="C103" s="33" t="e">
        <f>#REF!</f>
        <v>#REF!</v>
      </c>
      <c r="D103" s="33" t="e">
        <f>#REF!</f>
        <v>#REF!</v>
      </c>
      <c r="E103" s="33" t="e">
        <f>#REF!</f>
        <v>#REF!</v>
      </c>
      <c r="F103" s="235" t="e">
        <f>#REF!</f>
        <v>#REF!</v>
      </c>
      <c r="G103" s="33" t="e">
        <f>#REF!</f>
        <v>#REF!</v>
      </c>
      <c r="H103" s="33" t="e">
        <f>#REF!</f>
        <v>#REF!</v>
      </c>
      <c r="I103" s="33" t="e">
        <f>#REF!</f>
        <v>#REF!</v>
      </c>
      <c r="J103" s="33" t="e">
        <f>#REF!</f>
        <v>#REF!</v>
      </c>
      <c r="K103" s="33" t="e">
        <f>#REF!</f>
        <v>#REF!</v>
      </c>
      <c r="L103" s="33" t="e">
        <f>#REF!</f>
        <v>#REF!</v>
      </c>
      <c r="M103" s="33" t="e">
        <f>#REF!</f>
        <v>#REF!</v>
      </c>
    </row>
    <row r="104" spans="1:13" ht="23.25" x14ac:dyDescent="0.25">
      <c r="A104" s="234" t="e">
        <f>#REF!</f>
        <v>#REF!</v>
      </c>
      <c r="B104" s="234" t="e">
        <f>#REF!</f>
        <v>#REF!</v>
      </c>
      <c r="C104" s="33" t="e">
        <f>#REF!</f>
        <v>#REF!</v>
      </c>
      <c r="D104" s="33" t="e">
        <f>#REF!</f>
        <v>#REF!</v>
      </c>
      <c r="E104" s="33" t="e">
        <f>#REF!</f>
        <v>#REF!</v>
      </c>
      <c r="F104" s="235" t="e">
        <f>#REF!</f>
        <v>#REF!</v>
      </c>
      <c r="G104" s="33" t="e">
        <f>#REF!</f>
        <v>#REF!</v>
      </c>
      <c r="H104" s="33" t="e">
        <f>#REF!</f>
        <v>#REF!</v>
      </c>
      <c r="I104" s="33" t="e">
        <f>#REF!</f>
        <v>#REF!</v>
      </c>
      <c r="J104" s="33" t="e">
        <f>#REF!</f>
        <v>#REF!</v>
      </c>
      <c r="K104" s="33" t="e">
        <f>#REF!</f>
        <v>#REF!</v>
      </c>
      <c r="L104" s="33" t="e">
        <f>#REF!</f>
        <v>#REF!</v>
      </c>
      <c r="M104" s="33" t="e">
        <f>#REF!</f>
        <v>#REF!</v>
      </c>
    </row>
    <row r="105" spans="1:13" ht="23.25" x14ac:dyDescent="0.25">
      <c r="A105" s="234" t="e">
        <f>#REF!</f>
        <v>#REF!</v>
      </c>
      <c r="B105" s="234" t="e">
        <f>#REF!</f>
        <v>#REF!</v>
      </c>
      <c r="C105" s="33" t="e">
        <f>#REF!</f>
        <v>#REF!</v>
      </c>
      <c r="D105" s="33" t="e">
        <f>#REF!</f>
        <v>#REF!</v>
      </c>
      <c r="E105" s="33" t="e">
        <f>#REF!</f>
        <v>#REF!</v>
      </c>
      <c r="F105" s="235" t="e">
        <f>#REF!</f>
        <v>#REF!</v>
      </c>
      <c r="G105" s="33" t="e">
        <f>#REF!</f>
        <v>#REF!</v>
      </c>
      <c r="H105" s="33" t="e">
        <f>#REF!</f>
        <v>#REF!</v>
      </c>
      <c r="I105" s="33" t="e">
        <f>#REF!</f>
        <v>#REF!</v>
      </c>
      <c r="J105" s="33" t="e">
        <f>#REF!</f>
        <v>#REF!</v>
      </c>
      <c r="K105" s="33" t="e">
        <f>#REF!</f>
        <v>#REF!</v>
      </c>
      <c r="L105" s="33" t="e">
        <f>#REF!</f>
        <v>#REF!</v>
      </c>
      <c r="M105" s="33" t="e">
        <f>#REF!</f>
        <v>#REF!</v>
      </c>
    </row>
    <row r="106" spans="1:13" ht="23.25" x14ac:dyDescent="0.25">
      <c r="A106" s="234" t="e">
        <f>#REF!</f>
        <v>#REF!</v>
      </c>
      <c r="B106" s="234" t="e">
        <f>#REF!</f>
        <v>#REF!</v>
      </c>
      <c r="C106" s="33" t="e">
        <f>#REF!</f>
        <v>#REF!</v>
      </c>
      <c r="D106" s="33" t="e">
        <f>#REF!</f>
        <v>#REF!</v>
      </c>
      <c r="E106" s="33" t="e">
        <f>#REF!</f>
        <v>#REF!</v>
      </c>
      <c r="F106" s="235" t="e">
        <f>#REF!</f>
        <v>#REF!</v>
      </c>
      <c r="G106" s="33" t="e">
        <f>#REF!</f>
        <v>#REF!</v>
      </c>
      <c r="H106" s="33" t="e">
        <f>#REF!</f>
        <v>#REF!</v>
      </c>
      <c r="I106" s="33" t="e">
        <f>#REF!</f>
        <v>#REF!</v>
      </c>
      <c r="J106" s="33" t="e">
        <f>#REF!</f>
        <v>#REF!</v>
      </c>
      <c r="K106" s="33" t="e">
        <f>#REF!</f>
        <v>#REF!</v>
      </c>
      <c r="L106" s="33" t="e">
        <f>#REF!</f>
        <v>#REF!</v>
      </c>
      <c r="M106" s="33" t="e">
        <f>#REF!</f>
        <v>#REF!</v>
      </c>
    </row>
    <row r="107" spans="1:13" ht="23.25" x14ac:dyDescent="0.25">
      <c r="A107" s="234" t="e">
        <f>#REF!</f>
        <v>#REF!</v>
      </c>
      <c r="B107" s="234" t="e">
        <f>#REF!</f>
        <v>#REF!</v>
      </c>
      <c r="C107" s="33" t="e">
        <f>#REF!</f>
        <v>#REF!</v>
      </c>
      <c r="D107" s="33" t="e">
        <f>#REF!</f>
        <v>#REF!</v>
      </c>
      <c r="E107" s="33" t="e">
        <f>#REF!</f>
        <v>#REF!</v>
      </c>
      <c r="F107" s="235" t="e">
        <f>#REF!</f>
        <v>#REF!</v>
      </c>
      <c r="G107" s="33" t="e">
        <f>#REF!</f>
        <v>#REF!</v>
      </c>
      <c r="H107" s="33" t="e">
        <f>#REF!</f>
        <v>#REF!</v>
      </c>
      <c r="I107" s="33" t="e">
        <f>#REF!</f>
        <v>#REF!</v>
      </c>
      <c r="J107" s="33" t="e">
        <f>#REF!</f>
        <v>#REF!</v>
      </c>
      <c r="K107" s="33" t="e">
        <f>#REF!</f>
        <v>#REF!</v>
      </c>
      <c r="L107" s="33" t="e">
        <f>#REF!</f>
        <v>#REF!</v>
      </c>
      <c r="M107" s="33" t="e">
        <f>#REF!</f>
        <v>#REF!</v>
      </c>
    </row>
    <row r="108" spans="1:13" ht="23.25" x14ac:dyDescent="0.25">
      <c r="A108" s="234" t="e">
        <f>#REF!</f>
        <v>#REF!</v>
      </c>
      <c r="B108" s="234" t="e">
        <f>#REF!</f>
        <v>#REF!</v>
      </c>
      <c r="C108" s="33" t="e">
        <f>#REF!</f>
        <v>#REF!</v>
      </c>
      <c r="D108" s="33" t="e">
        <f>#REF!</f>
        <v>#REF!</v>
      </c>
      <c r="E108" s="33" t="e">
        <f>#REF!</f>
        <v>#REF!</v>
      </c>
      <c r="F108" s="235" t="e">
        <f>#REF!</f>
        <v>#REF!</v>
      </c>
      <c r="G108" s="33" t="e">
        <f>#REF!</f>
        <v>#REF!</v>
      </c>
      <c r="H108" s="33" t="e">
        <f>#REF!</f>
        <v>#REF!</v>
      </c>
      <c r="I108" s="33" t="e">
        <f>#REF!</f>
        <v>#REF!</v>
      </c>
      <c r="J108" s="33" t="e">
        <f>#REF!</f>
        <v>#REF!</v>
      </c>
      <c r="K108" s="33" t="e">
        <f>#REF!</f>
        <v>#REF!</v>
      </c>
      <c r="L108" s="33" t="e">
        <f>#REF!</f>
        <v>#REF!</v>
      </c>
      <c r="M108" s="33" t="e">
        <f>#REF!</f>
        <v>#REF!</v>
      </c>
    </row>
    <row r="109" spans="1:13" ht="23.25" x14ac:dyDescent="0.25">
      <c r="A109" s="234" t="e">
        <f>#REF!</f>
        <v>#REF!</v>
      </c>
      <c r="B109" s="234" t="e">
        <f>#REF!</f>
        <v>#REF!</v>
      </c>
      <c r="C109" s="33" t="e">
        <f>#REF!</f>
        <v>#REF!</v>
      </c>
      <c r="D109" s="33" t="e">
        <f>#REF!</f>
        <v>#REF!</v>
      </c>
      <c r="E109" s="33" t="e">
        <f>#REF!</f>
        <v>#REF!</v>
      </c>
      <c r="F109" s="235" t="e">
        <f>#REF!</f>
        <v>#REF!</v>
      </c>
      <c r="G109" s="33" t="e">
        <f>#REF!</f>
        <v>#REF!</v>
      </c>
      <c r="H109" s="33" t="e">
        <f>#REF!</f>
        <v>#REF!</v>
      </c>
      <c r="I109" s="33" t="e">
        <f>#REF!</f>
        <v>#REF!</v>
      </c>
      <c r="J109" s="33" t="e">
        <f>#REF!</f>
        <v>#REF!</v>
      </c>
      <c r="K109" s="33" t="e">
        <f>#REF!</f>
        <v>#REF!</v>
      </c>
      <c r="L109" s="33" t="e">
        <f>#REF!</f>
        <v>#REF!</v>
      </c>
      <c r="M109" s="33" t="e">
        <f>#REF!</f>
        <v>#REF!</v>
      </c>
    </row>
    <row r="110" spans="1:13" ht="23.25" x14ac:dyDescent="0.25">
      <c r="A110" s="234" t="e">
        <f>#REF!</f>
        <v>#REF!</v>
      </c>
      <c r="B110" s="234" t="e">
        <f>#REF!</f>
        <v>#REF!</v>
      </c>
      <c r="C110" s="33" t="e">
        <f>#REF!</f>
        <v>#REF!</v>
      </c>
      <c r="D110" s="33" t="e">
        <f>#REF!</f>
        <v>#REF!</v>
      </c>
      <c r="E110" s="33" t="e">
        <f>#REF!</f>
        <v>#REF!</v>
      </c>
      <c r="F110" s="235" t="e">
        <f>#REF!</f>
        <v>#REF!</v>
      </c>
      <c r="G110" s="33" t="e">
        <f>#REF!</f>
        <v>#REF!</v>
      </c>
      <c r="H110" s="33" t="e">
        <f>#REF!</f>
        <v>#REF!</v>
      </c>
      <c r="I110" s="33" t="e">
        <f>#REF!</f>
        <v>#REF!</v>
      </c>
      <c r="J110" s="33" t="e">
        <f>#REF!</f>
        <v>#REF!</v>
      </c>
      <c r="K110" s="33" t="e">
        <f>#REF!</f>
        <v>#REF!</v>
      </c>
      <c r="L110" s="33" t="e">
        <f>#REF!</f>
        <v>#REF!</v>
      </c>
      <c r="M110" s="33" t="e">
        <f>#REF!</f>
        <v>#REF!</v>
      </c>
    </row>
    <row r="111" spans="1:13" ht="23.25" x14ac:dyDescent="0.25">
      <c r="A111" s="234" t="e">
        <f>#REF!</f>
        <v>#REF!</v>
      </c>
      <c r="B111" s="234" t="e">
        <f>#REF!</f>
        <v>#REF!</v>
      </c>
      <c r="C111" s="33" t="e">
        <f>#REF!</f>
        <v>#REF!</v>
      </c>
      <c r="D111" s="33" t="e">
        <f>#REF!</f>
        <v>#REF!</v>
      </c>
      <c r="E111" s="33" t="e">
        <f>#REF!</f>
        <v>#REF!</v>
      </c>
      <c r="F111" s="235" t="e">
        <f>#REF!</f>
        <v>#REF!</v>
      </c>
      <c r="G111" s="33" t="e">
        <f>#REF!</f>
        <v>#REF!</v>
      </c>
      <c r="H111" s="33" t="e">
        <f>#REF!</f>
        <v>#REF!</v>
      </c>
      <c r="I111" s="33" t="e">
        <f>#REF!</f>
        <v>#REF!</v>
      </c>
      <c r="J111" s="33" t="e">
        <f>#REF!</f>
        <v>#REF!</v>
      </c>
      <c r="K111" s="33" t="e">
        <f>#REF!</f>
        <v>#REF!</v>
      </c>
      <c r="L111" s="33" t="e">
        <f>#REF!</f>
        <v>#REF!</v>
      </c>
      <c r="M111" s="33" t="e">
        <f>#REF!</f>
        <v>#REF!</v>
      </c>
    </row>
    <row r="112" spans="1:13" ht="23.25" x14ac:dyDescent="0.25">
      <c r="A112" s="234" t="e">
        <f>#REF!</f>
        <v>#REF!</v>
      </c>
      <c r="B112" s="234" t="e">
        <f>#REF!</f>
        <v>#REF!</v>
      </c>
      <c r="C112" s="33" t="e">
        <f>#REF!</f>
        <v>#REF!</v>
      </c>
      <c r="D112" s="33" t="e">
        <f>#REF!</f>
        <v>#REF!</v>
      </c>
      <c r="E112" s="33" t="e">
        <f>#REF!</f>
        <v>#REF!</v>
      </c>
      <c r="F112" s="235" t="e">
        <f>#REF!</f>
        <v>#REF!</v>
      </c>
      <c r="G112" s="33" t="e">
        <f>#REF!</f>
        <v>#REF!</v>
      </c>
      <c r="H112" s="33" t="e">
        <f>#REF!</f>
        <v>#REF!</v>
      </c>
      <c r="I112" s="33" t="e">
        <f>#REF!</f>
        <v>#REF!</v>
      </c>
      <c r="J112" s="33" t="e">
        <f>#REF!</f>
        <v>#REF!</v>
      </c>
      <c r="K112" s="33" t="e">
        <f>#REF!</f>
        <v>#REF!</v>
      </c>
      <c r="L112" s="33" t="e">
        <f>#REF!</f>
        <v>#REF!</v>
      </c>
      <c r="M112" s="33" t="e">
        <f>#REF!</f>
        <v>#REF!</v>
      </c>
    </row>
    <row r="113" spans="1:13" ht="23.25" x14ac:dyDescent="0.25">
      <c r="A113" s="234" t="e">
        <f>#REF!</f>
        <v>#REF!</v>
      </c>
      <c r="B113" s="234" t="e">
        <f>#REF!</f>
        <v>#REF!</v>
      </c>
      <c r="C113" s="33" t="e">
        <f>#REF!</f>
        <v>#REF!</v>
      </c>
      <c r="D113" s="33" t="e">
        <f>#REF!</f>
        <v>#REF!</v>
      </c>
      <c r="E113" s="33" t="e">
        <f>#REF!</f>
        <v>#REF!</v>
      </c>
      <c r="F113" s="235" t="e">
        <f>#REF!</f>
        <v>#REF!</v>
      </c>
      <c r="G113" s="33" t="e">
        <f>#REF!</f>
        <v>#REF!</v>
      </c>
      <c r="H113" s="33" t="e">
        <f>#REF!</f>
        <v>#REF!</v>
      </c>
      <c r="I113" s="33" t="e">
        <f>#REF!</f>
        <v>#REF!</v>
      </c>
      <c r="J113" s="33" t="e">
        <f>#REF!</f>
        <v>#REF!</v>
      </c>
      <c r="K113" s="33" t="e">
        <f>#REF!</f>
        <v>#REF!</v>
      </c>
      <c r="L113" s="33" t="e">
        <f>#REF!</f>
        <v>#REF!</v>
      </c>
      <c r="M113" s="33" t="e">
        <f>#REF!</f>
        <v>#REF!</v>
      </c>
    </row>
    <row r="114" spans="1:13" ht="23.25" x14ac:dyDescent="0.25">
      <c r="A114" s="234" t="e">
        <f>#REF!</f>
        <v>#REF!</v>
      </c>
      <c r="B114" s="234" t="e">
        <f>#REF!</f>
        <v>#REF!</v>
      </c>
      <c r="C114" s="33" t="e">
        <f>#REF!</f>
        <v>#REF!</v>
      </c>
      <c r="D114" s="33" t="e">
        <f>#REF!</f>
        <v>#REF!</v>
      </c>
      <c r="E114" s="33" t="e">
        <f>#REF!</f>
        <v>#REF!</v>
      </c>
      <c r="F114" s="235" t="e">
        <f>#REF!</f>
        <v>#REF!</v>
      </c>
      <c r="G114" s="33" t="e">
        <f>#REF!</f>
        <v>#REF!</v>
      </c>
      <c r="H114" s="33" t="e">
        <f>#REF!</f>
        <v>#REF!</v>
      </c>
      <c r="I114" s="33" t="e">
        <f>#REF!</f>
        <v>#REF!</v>
      </c>
      <c r="J114" s="33" t="e">
        <f>#REF!</f>
        <v>#REF!</v>
      </c>
      <c r="K114" s="33" t="e">
        <f>#REF!</f>
        <v>#REF!</v>
      </c>
      <c r="L114" s="33" t="e">
        <f>#REF!</f>
        <v>#REF!</v>
      </c>
      <c r="M114" s="33" t="e">
        <f>#REF!</f>
        <v>#REF!</v>
      </c>
    </row>
    <row r="115" spans="1:13" ht="23.25" x14ac:dyDescent="0.25">
      <c r="A115" s="234" t="e">
        <f>#REF!</f>
        <v>#REF!</v>
      </c>
      <c r="B115" s="234" t="e">
        <f>#REF!</f>
        <v>#REF!</v>
      </c>
      <c r="C115" s="33" t="e">
        <f>#REF!</f>
        <v>#REF!</v>
      </c>
      <c r="D115" s="33" t="e">
        <f>#REF!</f>
        <v>#REF!</v>
      </c>
      <c r="E115" s="33" t="e">
        <f>#REF!</f>
        <v>#REF!</v>
      </c>
      <c r="F115" s="235" t="e">
        <f>#REF!</f>
        <v>#REF!</v>
      </c>
      <c r="G115" s="33" t="e">
        <f>#REF!</f>
        <v>#REF!</v>
      </c>
      <c r="H115" s="33" t="e">
        <f>#REF!</f>
        <v>#REF!</v>
      </c>
      <c r="I115" s="33" t="e">
        <f>#REF!</f>
        <v>#REF!</v>
      </c>
      <c r="J115" s="33" t="e">
        <f>#REF!</f>
        <v>#REF!</v>
      </c>
      <c r="K115" s="33" t="e">
        <f>#REF!</f>
        <v>#REF!</v>
      </c>
      <c r="L115" s="33" t="e">
        <f>#REF!</f>
        <v>#REF!</v>
      </c>
      <c r="M115" s="33" t="e">
        <f>#REF!</f>
        <v>#REF!</v>
      </c>
    </row>
    <row r="116" spans="1:13" ht="23.25" x14ac:dyDescent="0.25">
      <c r="A116" s="234" t="e">
        <f>#REF!</f>
        <v>#REF!</v>
      </c>
      <c r="B116" s="234" t="e">
        <f>#REF!</f>
        <v>#REF!</v>
      </c>
      <c r="C116" s="33" t="e">
        <f>#REF!</f>
        <v>#REF!</v>
      </c>
      <c r="D116" s="33" t="e">
        <f>#REF!</f>
        <v>#REF!</v>
      </c>
      <c r="E116" s="33" t="e">
        <f>#REF!</f>
        <v>#REF!</v>
      </c>
      <c r="F116" s="235" t="e">
        <f>#REF!</f>
        <v>#REF!</v>
      </c>
      <c r="G116" s="33" t="e">
        <f>#REF!</f>
        <v>#REF!</v>
      </c>
      <c r="H116" s="33" t="e">
        <f>#REF!</f>
        <v>#REF!</v>
      </c>
      <c r="I116" s="33" t="e">
        <f>#REF!</f>
        <v>#REF!</v>
      </c>
      <c r="J116" s="33" t="e">
        <f>#REF!</f>
        <v>#REF!</v>
      </c>
      <c r="K116" s="33" t="e">
        <f>#REF!</f>
        <v>#REF!</v>
      </c>
      <c r="L116" s="33" t="e">
        <f>#REF!</f>
        <v>#REF!</v>
      </c>
      <c r="M116" s="33" t="e">
        <f>#REF!</f>
        <v>#REF!</v>
      </c>
    </row>
    <row r="117" spans="1:13" ht="23.25" x14ac:dyDescent="0.25">
      <c r="A117" s="234" t="e">
        <f>#REF!</f>
        <v>#REF!</v>
      </c>
      <c r="B117" s="234" t="e">
        <f>#REF!</f>
        <v>#REF!</v>
      </c>
      <c r="C117" s="33" t="e">
        <f>#REF!</f>
        <v>#REF!</v>
      </c>
      <c r="D117" s="33" t="e">
        <f>#REF!</f>
        <v>#REF!</v>
      </c>
      <c r="E117" s="33" t="e">
        <f>#REF!</f>
        <v>#REF!</v>
      </c>
      <c r="F117" s="235" t="e">
        <f>#REF!</f>
        <v>#REF!</v>
      </c>
      <c r="G117" s="33" t="e">
        <f>#REF!</f>
        <v>#REF!</v>
      </c>
      <c r="H117" s="33" t="e">
        <f>#REF!</f>
        <v>#REF!</v>
      </c>
      <c r="I117" s="33" t="e">
        <f>#REF!</f>
        <v>#REF!</v>
      </c>
      <c r="J117" s="33" t="e">
        <f>#REF!</f>
        <v>#REF!</v>
      </c>
      <c r="K117" s="33" t="e">
        <f>#REF!</f>
        <v>#REF!</v>
      </c>
      <c r="L117" s="33" t="e">
        <f>#REF!</f>
        <v>#REF!</v>
      </c>
      <c r="M117" s="33" t="e">
        <f>#REF!</f>
        <v>#REF!</v>
      </c>
    </row>
    <row r="118" spans="1:13" ht="23.25" x14ac:dyDescent="0.25">
      <c r="A118" s="234" t="e">
        <f>#REF!</f>
        <v>#REF!</v>
      </c>
      <c r="B118" s="234" t="e">
        <f>#REF!</f>
        <v>#REF!</v>
      </c>
      <c r="C118" s="33" t="e">
        <f>#REF!</f>
        <v>#REF!</v>
      </c>
      <c r="D118" s="33" t="e">
        <f>#REF!</f>
        <v>#REF!</v>
      </c>
      <c r="E118" s="33" t="e">
        <f>#REF!</f>
        <v>#REF!</v>
      </c>
      <c r="F118" s="235" t="e">
        <f>#REF!</f>
        <v>#REF!</v>
      </c>
      <c r="G118" s="33" t="e">
        <f>#REF!</f>
        <v>#REF!</v>
      </c>
      <c r="H118" s="33" t="e">
        <f>#REF!</f>
        <v>#REF!</v>
      </c>
      <c r="I118" s="33" t="e">
        <f>#REF!</f>
        <v>#REF!</v>
      </c>
      <c r="J118" s="33" t="e">
        <f>#REF!</f>
        <v>#REF!</v>
      </c>
      <c r="K118" s="33" t="e">
        <f>#REF!</f>
        <v>#REF!</v>
      </c>
      <c r="L118" s="33" t="e">
        <f>#REF!</f>
        <v>#REF!</v>
      </c>
      <c r="M118" s="33" t="e">
        <f>#REF!</f>
        <v>#REF!</v>
      </c>
    </row>
    <row r="119" spans="1:13" ht="23.25" x14ac:dyDescent="0.25">
      <c r="A119" s="234" t="e">
        <f>#REF!</f>
        <v>#REF!</v>
      </c>
      <c r="B119" s="234" t="e">
        <f>#REF!</f>
        <v>#REF!</v>
      </c>
      <c r="C119" s="33" t="e">
        <f>#REF!</f>
        <v>#REF!</v>
      </c>
      <c r="D119" s="33" t="e">
        <f>#REF!</f>
        <v>#REF!</v>
      </c>
      <c r="E119" s="33" t="e">
        <f>#REF!</f>
        <v>#REF!</v>
      </c>
      <c r="F119" s="235" t="e">
        <f>#REF!</f>
        <v>#REF!</v>
      </c>
      <c r="G119" s="33" t="e">
        <f>#REF!</f>
        <v>#REF!</v>
      </c>
      <c r="H119" s="33" t="e">
        <f>#REF!</f>
        <v>#REF!</v>
      </c>
      <c r="I119" s="33" t="e">
        <f>#REF!</f>
        <v>#REF!</v>
      </c>
      <c r="J119" s="33" t="e">
        <f>#REF!</f>
        <v>#REF!</v>
      </c>
      <c r="K119" s="33" t="e">
        <f>#REF!</f>
        <v>#REF!</v>
      </c>
      <c r="L119" s="33" t="e">
        <f>#REF!</f>
        <v>#REF!</v>
      </c>
      <c r="M119" s="33" t="e">
        <f>#REF!</f>
        <v>#REF!</v>
      </c>
    </row>
    <row r="120" spans="1:13" ht="23.25" x14ac:dyDescent="0.25">
      <c r="A120" s="234" t="e">
        <f>#REF!</f>
        <v>#REF!</v>
      </c>
      <c r="B120" s="234" t="e">
        <f>#REF!</f>
        <v>#REF!</v>
      </c>
      <c r="C120" s="33" t="e">
        <f>#REF!</f>
        <v>#REF!</v>
      </c>
      <c r="D120" s="33" t="e">
        <f>#REF!</f>
        <v>#REF!</v>
      </c>
      <c r="E120" s="33" t="e">
        <f>#REF!</f>
        <v>#REF!</v>
      </c>
      <c r="F120" s="235" t="e">
        <f>#REF!</f>
        <v>#REF!</v>
      </c>
      <c r="G120" s="33" t="e">
        <f>#REF!</f>
        <v>#REF!</v>
      </c>
      <c r="H120" s="33" t="e">
        <f>#REF!</f>
        <v>#REF!</v>
      </c>
      <c r="I120" s="33" t="e">
        <f>#REF!</f>
        <v>#REF!</v>
      </c>
      <c r="J120" s="33" t="e">
        <f>#REF!</f>
        <v>#REF!</v>
      </c>
      <c r="K120" s="33" t="e">
        <f>#REF!</f>
        <v>#REF!</v>
      </c>
      <c r="L120" s="33" t="e">
        <f>#REF!</f>
        <v>#REF!</v>
      </c>
      <c r="M120" s="33" t="e">
        <f>#REF!</f>
        <v>#REF!</v>
      </c>
    </row>
    <row r="121" spans="1:13" ht="23.25" x14ac:dyDescent="0.25">
      <c r="A121" s="234" t="e">
        <f>#REF!</f>
        <v>#REF!</v>
      </c>
      <c r="B121" s="234" t="e">
        <f>#REF!</f>
        <v>#REF!</v>
      </c>
      <c r="C121" s="33" t="e">
        <f>#REF!</f>
        <v>#REF!</v>
      </c>
      <c r="D121" s="33" t="e">
        <f>#REF!</f>
        <v>#REF!</v>
      </c>
      <c r="E121" s="33" t="e">
        <f>#REF!</f>
        <v>#REF!</v>
      </c>
      <c r="F121" s="235" t="e">
        <f>#REF!</f>
        <v>#REF!</v>
      </c>
      <c r="G121" s="33" t="e">
        <f>#REF!</f>
        <v>#REF!</v>
      </c>
      <c r="H121" s="33" t="e">
        <f>#REF!</f>
        <v>#REF!</v>
      </c>
      <c r="I121" s="33" t="e">
        <f>#REF!</f>
        <v>#REF!</v>
      </c>
      <c r="J121" s="33" t="e">
        <f>#REF!</f>
        <v>#REF!</v>
      </c>
      <c r="K121" s="33" t="e">
        <f>#REF!</f>
        <v>#REF!</v>
      </c>
      <c r="L121" s="33" t="e">
        <f>#REF!</f>
        <v>#REF!</v>
      </c>
      <c r="M121" s="33" t="e">
        <f>#REF!</f>
        <v>#REF!</v>
      </c>
    </row>
    <row r="122" spans="1:13" ht="23.25" x14ac:dyDescent="0.25">
      <c r="A122" s="234" t="e">
        <f>#REF!</f>
        <v>#REF!</v>
      </c>
      <c r="B122" s="234" t="e">
        <f>#REF!</f>
        <v>#REF!</v>
      </c>
      <c r="C122" s="33" t="e">
        <f>#REF!</f>
        <v>#REF!</v>
      </c>
      <c r="D122" s="33" t="e">
        <f>#REF!</f>
        <v>#REF!</v>
      </c>
      <c r="E122" s="33" t="e">
        <f>#REF!</f>
        <v>#REF!</v>
      </c>
      <c r="F122" s="235" t="e">
        <f>#REF!</f>
        <v>#REF!</v>
      </c>
      <c r="G122" s="33" t="e">
        <f>#REF!</f>
        <v>#REF!</v>
      </c>
      <c r="H122" s="33" t="e">
        <f>#REF!</f>
        <v>#REF!</v>
      </c>
      <c r="I122" s="33" t="e">
        <f>#REF!</f>
        <v>#REF!</v>
      </c>
      <c r="J122" s="33" t="e">
        <f>#REF!</f>
        <v>#REF!</v>
      </c>
      <c r="K122" s="33" t="e">
        <f>#REF!</f>
        <v>#REF!</v>
      </c>
      <c r="L122" s="33" t="e">
        <f>#REF!</f>
        <v>#REF!</v>
      </c>
      <c r="M122" s="33" t="e">
        <f>#REF!</f>
        <v>#REF!</v>
      </c>
    </row>
    <row r="123" spans="1:13" ht="23.25" x14ac:dyDescent="0.25">
      <c r="A123" s="234" t="e">
        <f>#REF!</f>
        <v>#REF!</v>
      </c>
      <c r="B123" s="234" t="e">
        <f>#REF!</f>
        <v>#REF!</v>
      </c>
      <c r="C123" s="33" t="e">
        <f>#REF!</f>
        <v>#REF!</v>
      </c>
      <c r="D123" s="33" t="e">
        <f>#REF!</f>
        <v>#REF!</v>
      </c>
      <c r="E123" s="33" t="e">
        <f>#REF!</f>
        <v>#REF!</v>
      </c>
      <c r="F123" s="235" t="e">
        <f>#REF!</f>
        <v>#REF!</v>
      </c>
      <c r="G123" s="33" t="e">
        <f>#REF!</f>
        <v>#REF!</v>
      </c>
      <c r="H123" s="33" t="e">
        <f>#REF!</f>
        <v>#REF!</v>
      </c>
      <c r="I123" s="33" t="e">
        <f>#REF!</f>
        <v>#REF!</v>
      </c>
      <c r="J123" s="33" t="e">
        <f>#REF!</f>
        <v>#REF!</v>
      </c>
      <c r="K123" s="33" t="e">
        <f>#REF!</f>
        <v>#REF!</v>
      </c>
      <c r="L123" s="33" t="e">
        <f>#REF!</f>
        <v>#REF!</v>
      </c>
      <c r="M123" s="33" t="e">
        <f>#REF!</f>
        <v>#REF!</v>
      </c>
    </row>
    <row r="124" spans="1:13" ht="23.25" x14ac:dyDescent="0.25">
      <c r="A124" s="234" t="e">
        <f>#REF!</f>
        <v>#REF!</v>
      </c>
      <c r="B124" s="234" t="e">
        <f>#REF!</f>
        <v>#REF!</v>
      </c>
      <c r="C124" s="33" t="e">
        <f>#REF!</f>
        <v>#REF!</v>
      </c>
      <c r="D124" s="33" t="e">
        <f>#REF!</f>
        <v>#REF!</v>
      </c>
      <c r="E124" s="33" t="e">
        <f>#REF!</f>
        <v>#REF!</v>
      </c>
      <c r="F124" s="235" t="e">
        <f>#REF!</f>
        <v>#REF!</v>
      </c>
      <c r="G124" s="33" t="e">
        <f>#REF!</f>
        <v>#REF!</v>
      </c>
      <c r="H124" s="33" t="e">
        <f>#REF!</f>
        <v>#REF!</v>
      </c>
      <c r="I124" s="33" t="e">
        <f>#REF!</f>
        <v>#REF!</v>
      </c>
      <c r="J124" s="33" t="e">
        <f>#REF!</f>
        <v>#REF!</v>
      </c>
      <c r="K124" s="33" t="e">
        <f>#REF!</f>
        <v>#REF!</v>
      </c>
      <c r="L124" s="33" t="e">
        <f>#REF!</f>
        <v>#REF!</v>
      </c>
      <c r="M124" s="33" t="e">
        <f>#REF!</f>
        <v>#REF!</v>
      </c>
    </row>
    <row r="125" spans="1:13" ht="23.25" x14ac:dyDescent="0.25">
      <c r="A125" s="234" t="e">
        <f>#REF!</f>
        <v>#REF!</v>
      </c>
      <c r="B125" s="234" t="e">
        <f>#REF!</f>
        <v>#REF!</v>
      </c>
      <c r="C125" s="33" t="e">
        <f>#REF!</f>
        <v>#REF!</v>
      </c>
      <c r="D125" s="33" t="e">
        <f>#REF!</f>
        <v>#REF!</v>
      </c>
      <c r="E125" s="33" t="e">
        <f>#REF!</f>
        <v>#REF!</v>
      </c>
      <c r="F125" s="235" t="e">
        <f>#REF!</f>
        <v>#REF!</v>
      </c>
      <c r="G125" s="33" t="e">
        <f>#REF!</f>
        <v>#REF!</v>
      </c>
      <c r="H125" s="33" t="e">
        <f>#REF!</f>
        <v>#REF!</v>
      </c>
      <c r="I125" s="33" t="e">
        <f>#REF!</f>
        <v>#REF!</v>
      </c>
      <c r="J125" s="33" t="e">
        <f>#REF!</f>
        <v>#REF!</v>
      </c>
      <c r="K125" s="33" t="e">
        <f>#REF!</f>
        <v>#REF!</v>
      </c>
      <c r="L125" s="33" t="e">
        <f>#REF!</f>
        <v>#REF!</v>
      </c>
      <c r="M125" s="33" t="e">
        <f>#REF!</f>
        <v>#REF!</v>
      </c>
    </row>
    <row r="126" spans="1:13" ht="23.25" x14ac:dyDescent="0.25">
      <c r="A126" s="234" t="e">
        <f>#REF!</f>
        <v>#REF!</v>
      </c>
      <c r="B126" s="234" t="e">
        <f>#REF!</f>
        <v>#REF!</v>
      </c>
      <c r="C126" s="33" t="e">
        <f>#REF!</f>
        <v>#REF!</v>
      </c>
      <c r="D126" s="33" t="e">
        <f>#REF!</f>
        <v>#REF!</v>
      </c>
      <c r="E126" s="33" t="e">
        <f>#REF!</f>
        <v>#REF!</v>
      </c>
      <c r="F126" s="235" t="e">
        <f>#REF!</f>
        <v>#REF!</v>
      </c>
      <c r="G126" s="33" t="e">
        <f>#REF!</f>
        <v>#REF!</v>
      </c>
      <c r="H126" s="33" t="e">
        <f>#REF!</f>
        <v>#REF!</v>
      </c>
      <c r="I126" s="33" t="e">
        <f>#REF!</f>
        <v>#REF!</v>
      </c>
      <c r="J126" s="33" t="e">
        <f>#REF!</f>
        <v>#REF!</v>
      </c>
      <c r="K126" s="33" t="e">
        <f>#REF!</f>
        <v>#REF!</v>
      </c>
      <c r="L126" s="33" t="e">
        <f>#REF!</f>
        <v>#REF!</v>
      </c>
      <c r="M126" s="33" t="e">
        <f>#REF!</f>
        <v>#REF!</v>
      </c>
    </row>
    <row r="127" spans="1:13" ht="23.25" x14ac:dyDescent="0.25">
      <c r="A127" s="234" t="e">
        <f>#REF!</f>
        <v>#REF!</v>
      </c>
      <c r="B127" s="234" t="e">
        <f>#REF!</f>
        <v>#REF!</v>
      </c>
      <c r="C127" s="33" t="e">
        <f>#REF!</f>
        <v>#REF!</v>
      </c>
      <c r="D127" s="33" t="e">
        <f>#REF!</f>
        <v>#REF!</v>
      </c>
      <c r="E127" s="33" t="e">
        <f>#REF!</f>
        <v>#REF!</v>
      </c>
      <c r="F127" s="235" t="e">
        <f>#REF!</f>
        <v>#REF!</v>
      </c>
      <c r="G127" s="33" t="e">
        <f>#REF!</f>
        <v>#REF!</v>
      </c>
      <c r="H127" s="33" t="e">
        <f>#REF!</f>
        <v>#REF!</v>
      </c>
      <c r="I127" s="33" t="e">
        <f>#REF!</f>
        <v>#REF!</v>
      </c>
      <c r="J127" s="33" t="e">
        <f>#REF!</f>
        <v>#REF!</v>
      </c>
      <c r="K127" s="33" t="e">
        <f>#REF!</f>
        <v>#REF!</v>
      </c>
      <c r="L127" s="33" t="e">
        <f>#REF!</f>
        <v>#REF!</v>
      </c>
      <c r="M127" s="33" t="e">
        <f>#REF!</f>
        <v>#REF!</v>
      </c>
    </row>
    <row r="128" spans="1:13" ht="23.25" x14ac:dyDescent="0.25">
      <c r="A128" s="234" t="e">
        <f>#REF!</f>
        <v>#REF!</v>
      </c>
      <c r="B128" s="234" t="e">
        <f>#REF!</f>
        <v>#REF!</v>
      </c>
      <c r="C128" s="33" t="e">
        <f>#REF!</f>
        <v>#REF!</v>
      </c>
      <c r="D128" s="33" t="e">
        <f>#REF!</f>
        <v>#REF!</v>
      </c>
      <c r="E128" s="33" t="e">
        <f>#REF!</f>
        <v>#REF!</v>
      </c>
      <c r="F128" s="235" t="e">
        <f>#REF!</f>
        <v>#REF!</v>
      </c>
      <c r="G128" s="33" t="e">
        <f>#REF!</f>
        <v>#REF!</v>
      </c>
      <c r="H128" s="33" t="e">
        <f>#REF!</f>
        <v>#REF!</v>
      </c>
      <c r="I128" s="33" t="e">
        <f>#REF!</f>
        <v>#REF!</v>
      </c>
      <c r="J128" s="33" t="e">
        <f>#REF!</f>
        <v>#REF!</v>
      </c>
      <c r="K128" s="33" t="e">
        <f>#REF!</f>
        <v>#REF!</v>
      </c>
      <c r="L128" s="33" t="e">
        <f>#REF!</f>
        <v>#REF!</v>
      </c>
      <c r="M128" s="33" t="e">
        <f>#REF!</f>
        <v>#REF!</v>
      </c>
    </row>
    <row r="129" spans="1:13" ht="23.25" x14ac:dyDescent="0.25">
      <c r="A129" s="234" t="e">
        <f>#REF!</f>
        <v>#REF!</v>
      </c>
      <c r="B129" s="234" t="e">
        <f>#REF!</f>
        <v>#REF!</v>
      </c>
      <c r="C129" s="33" t="e">
        <f>#REF!</f>
        <v>#REF!</v>
      </c>
      <c r="D129" s="33" t="e">
        <f>#REF!</f>
        <v>#REF!</v>
      </c>
      <c r="E129" s="33" t="e">
        <f>#REF!</f>
        <v>#REF!</v>
      </c>
      <c r="F129" s="235" t="e">
        <f>#REF!</f>
        <v>#REF!</v>
      </c>
      <c r="G129" s="33" t="e">
        <f>#REF!</f>
        <v>#REF!</v>
      </c>
      <c r="H129" s="33" t="e">
        <f>#REF!</f>
        <v>#REF!</v>
      </c>
      <c r="I129" s="33" t="e">
        <f>#REF!</f>
        <v>#REF!</v>
      </c>
      <c r="J129" s="33" t="e">
        <f>#REF!</f>
        <v>#REF!</v>
      </c>
      <c r="K129" s="33" t="e">
        <f>#REF!</f>
        <v>#REF!</v>
      </c>
      <c r="L129" s="33" t="e">
        <f>#REF!</f>
        <v>#REF!</v>
      </c>
      <c r="M129" s="33" t="e">
        <f>#REF!</f>
        <v>#REF!</v>
      </c>
    </row>
    <row r="130" spans="1:13" ht="23.25" x14ac:dyDescent="0.25">
      <c r="A130" s="234" t="e">
        <f>#REF!</f>
        <v>#REF!</v>
      </c>
      <c r="B130" s="234" t="e">
        <f>#REF!</f>
        <v>#REF!</v>
      </c>
      <c r="C130" s="33" t="e">
        <f>#REF!</f>
        <v>#REF!</v>
      </c>
      <c r="D130" s="33" t="e">
        <f>#REF!</f>
        <v>#REF!</v>
      </c>
      <c r="E130" s="33" t="e">
        <f>#REF!</f>
        <v>#REF!</v>
      </c>
      <c r="F130" s="235" t="e">
        <f>#REF!</f>
        <v>#REF!</v>
      </c>
      <c r="G130" s="33" t="e">
        <f>#REF!</f>
        <v>#REF!</v>
      </c>
      <c r="H130" s="33" t="e">
        <f>#REF!</f>
        <v>#REF!</v>
      </c>
      <c r="I130" s="33" t="e">
        <f>#REF!</f>
        <v>#REF!</v>
      </c>
      <c r="J130" s="33" t="e">
        <f>#REF!</f>
        <v>#REF!</v>
      </c>
      <c r="K130" s="33" t="e">
        <f>#REF!</f>
        <v>#REF!</v>
      </c>
      <c r="L130" s="33" t="e">
        <f>#REF!</f>
        <v>#REF!</v>
      </c>
      <c r="M130" s="33" t="e">
        <f>#REF!</f>
        <v>#REF!</v>
      </c>
    </row>
    <row r="131" spans="1:13" ht="23.25" x14ac:dyDescent="0.25">
      <c r="A131" s="234" t="e">
        <f>#REF!</f>
        <v>#REF!</v>
      </c>
      <c r="B131" s="234" t="e">
        <f>#REF!</f>
        <v>#REF!</v>
      </c>
      <c r="C131" s="33" t="e">
        <f>#REF!</f>
        <v>#REF!</v>
      </c>
      <c r="D131" s="33" t="e">
        <f>#REF!</f>
        <v>#REF!</v>
      </c>
      <c r="E131" s="33" t="e">
        <f>#REF!</f>
        <v>#REF!</v>
      </c>
      <c r="F131" s="235" t="e">
        <f>#REF!</f>
        <v>#REF!</v>
      </c>
      <c r="G131" s="33" t="e">
        <f>#REF!</f>
        <v>#REF!</v>
      </c>
      <c r="H131" s="33" t="e">
        <f>#REF!</f>
        <v>#REF!</v>
      </c>
      <c r="I131" s="33" t="e">
        <f>#REF!</f>
        <v>#REF!</v>
      </c>
      <c r="J131" s="33" t="e">
        <f>#REF!</f>
        <v>#REF!</v>
      </c>
      <c r="K131" s="33" t="e">
        <f>#REF!</f>
        <v>#REF!</v>
      </c>
      <c r="L131" s="33" t="e">
        <f>#REF!</f>
        <v>#REF!</v>
      </c>
      <c r="M131" s="33" t="e">
        <f>#REF!</f>
        <v>#REF!</v>
      </c>
    </row>
    <row r="132" spans="1:13" ht="23.25" x14ac:dyDescent="0.25">
      <c r="A132" s="234" t="e">
        <f>#REF!</f>
        <v>#REF!</v>
      </c>
      <c r="B132" s="234" t="e">
        <f>#REF!</f>
        <v>#REF!</v>
      </c>
      <c r="C132" s="33" t="e">
        <f>#REF!</f>
        <v>#REF!</v>
      </c>
      <c r="D132" s="33" t="e">
        <f>#REF!</f>
        <v>#REF!</v>
      </c>
      <c r="E132" s="33" t="e">
        <f>#REF!</f>
        <v>#REF!</v>
      </c>
      <c r="F132" s="235" t="e">
        <f>#REF!</f>
        <v>#REF!</v>
      </c>
      <c r="G132" s="33" t="e">
        <f>#REF!</f>
        <v>#REF!</v>
      </c>
      <c r="H132" s="33" t="e">
        <f>#REF!</f>
        <v>#REF!</v>
      </c>
      <c r="I132" s="33" t="e">
        <f>#REF!</f>
        <v>#REF!</v>
      </c>
      <c r="J132" s="33" t="e">
        <f>#REF!</f>
        <v>#REF!</v>
      </c>
      <c r="K132" s="33" t="e">
        <f>#REF!</f>
        <v>#REF!</v>
      </c>
      <c r="L132" s="33" t="e">
        <f>#REF!</f>
        <v>#REF!</v>
      </c>
      <c r="M132" s="33" t="e">
        <f>#REF!</f>
        <v>#REF!</v>
      </c>
    </row>
    <row r="133" spans="1:13" ht="23.25" x14ac:dyDescent="0.25">
      <c r="A133" s="234" t="e">
        <f>#REF!</f>
        <v>#REF!</v>
      </c>
      <c r="B133" s="234" t="e">
        <f>#REF!</f>
        <v>#REF!</v>
      </c>
      <c r="C133" s="33" t="e">
        <f>#REF!</f>
        <v>#REF!</v>
      </c>
      <c r="D133" s="33" t="e">
        <f>#REF!</f>
        <v>#REF!</v>
      </c>
      <c r="E133" s="33" t="e">
        <f>#REF!</f>
        <v>#REF!</v>
      </c>
      <c r="F133" s="235" t="e">
        <f>#REF!</f>
        <v>#REF!</v>
      </c>
      <c r="G133" s="33" t="e">
        <f>#REF!</f>
        <v>#REF!</v>
      </c>
      <c r="H133" s="33" t="e">
        <f>#REF!</f>
        <v>#REF!</v>
      </c>
      <c r="I133" s="33" t="e">
        <f>#REF!</f>
        <v>#REF!</v>
      </c>
      <c r="J133" s="33" t="e">
        <f>#REF!</f>
        <v>#REF!</v>
      </c>
      <c r="K133" s="33" t="e">
        <f>#REF!</f>
        <v>#REF!</v>
      </c>
      <c r="L133" s="33" t="e">
        <f>#REF!</f>
        <v>#REF!</v>
      </c>
      <c r="M133" s="33" t="e">
        <f>#REF!</f>
        <v>#REF!</v>
      </c>
    </row>
    <row r="134" spans="1:13" ht="23.25" x14ac:dyDescent="0.25">
      <c r="A134" s="234" t="e">
        <f>#REF!</f>
        <v>#REF!</v>
      </c>
      <c r="B134" s="234" t="e">
        <f>#REF!</f>
        <v>#REF!</v>
      </c>
      <c r="C134" s="33" t="e">
        <f>#REF!</f>
        <v>#REF!</v>
      </c>
      <c r="D134" s="33" t="e">
        <f>#REF!</f>
        <v>#REF!</v>
      </c>
      <c r="E134" s="33" t="e">
        <f>#REF!</f>
        <v>#REF!</v>
      </c>
      <c r="F134" s="235" t="e">
        <f>#REF!</f>
        <v>#REF!</v>
      </c>
      <c r="G134" s="33" t="e">
        <f>#REF!</f>
        <v>#REF!</v>
      </c>
      <c r="H134" s="33" t="e">
        <f>#REF!</f>
        <v>#REF!</v>
      </c>
      <c r="I134" s="33" t="e">
        <f>#REF!</f>
        <v>#REF!</v>
      </c>
      <c r="J134" s="33" t="e">
        <f>#REF!</f>
        <v>#REF!</v>
      </c>
      <c r="K134" s="33" t="e">
        <f>#REF!</f>
        <v>#REF!</v>
      </c>
      <c r="L134" s="33" t="e">
        <f>#REF!</f>
        <v>#REF!</v>
      </c>
      <c r="M134" s="33" t="e">
        <f>#REF!</f>
        <v>#REF!</v>
      </c>
    </row>
    <row r="135" spans="1:13" ht="23.25" x14ac:dyDescent="0.25">
      <c r="A135" s="234" t="e">
        <f>#REF!</f>
        <v>#REF!</v>
      </c>
      <c r="B135" s="234" t="e">
        <f>#REF!</f>
        <v>#REF!</v>
      </c>
      <c r="C135" s="33" t="e">
        <f>#REF!</f>
        <v>#REF!</v>
      </c>
      <c r="D135" s="33" t="e">
        <f>#REF!</f>
        <v>#REF!</v>
      </c>
      <c r="E135" s="33" t="e">
        <f>#REF!</f>
        <v>#REF!</v>
      </c>
      <c r="F135" s="235" t="e">
        <f>#REF!</f>
        <v>#REF!</v>
      </c>
      <c r="G135" s="33" t="e">
        <f>#REF!</f>
        <v>#REF!</v>
      </c>
      <c r="H135" s="33" t="e">
        <f>#REF!</f>
        <v>#REF!</v>
      </c>
      <c r="I135" s="33" t="e">
        <f>#REF!</f>
        <v>#REF!</v>
      </c>
      <c r="J135" s="33" t="e">
        <f>#REF!</f>
        <v>#REF!</v>
      </c>
      <c r="K135" s="33" t="e">
        <f>#REF!</f>
        <v>#REF!</v>
      </c>
      <c r="L135" s="33" t="e">
        <f>#REF!</f>
        <v>#REF!</v>
      </c>
      <c r="M135" s="33" t="e">
        <f>#REF!</f>
        <v>#REF!</v>
      </c>
    </row>
    <row r="136" spans="1:13" ht="23.25" x14ac:dyDescent="0.25">
      <c r="A136" s="234" t="e">
        <f>#REF!</f>
        <v>#REF!</v>
      </c>
      <c r="B136" s="234" t="e">
        <f>#REF!</f>
        <v>#REF!</v>
      </c>
      <c r="C136" s="33" t="e">
        <f>#REF!</f>
        <v>#REF!</v>
      </c>
      <c r="D136" s="33" t="e">
        <f>#REF!</f>
        <v>#REF!</v>
      </c>
      <c r="E136" s="33" t="e">
        <f>#REF!</f>
        <v>#REF!</v>
      </c>
      <c r="F136" s="235" t="e">
        <f>#REF!</f>
        <v>#REF!</v>
      </c>
      <c r="G136" s="33" t="e">
        <f>#REF!</f>
        <v>#REF!</v>
      </c>
      <c r="H136" s="33" t="e">
        <f>#REF!</f>
        <v>#REF!</v>
      </c>
      <c r="I136" s="33" t="e">
        <f>#REF!</f>
        <v>#REF!</v>
      </c>
      <c r="J136" s="33" t="e">
        <f>#REF!</f>
        <v>#REF!</v>
      </c>
      <c r="K136" s="33" t="e">
        <f>#REF!</f>
        <v>#REF!</v>
      </c>
      <c r="L136" s="33" t="e">
        <f>#REF!</f>
        <v>#REF!</v>
      </c>
      <c r="M136" s="33" t="e">
        <f>#REF!</f>
        <v>#REF!</v>
      </c>
    </row>
    <row r="137" spans="1:13" ht="23.25" x14ac:dyDescent="0.25">
      <c r="A137" s="234" t="e">
        <f>#REF!</f>
        <v>#REF!</v>
      </c>
      <c r="B137" s="234" t="e">
        <f>#REF!</f>
        <v>#REF!</v>
      </c>
      <c r="C137" s="33" t="e">
        <f>#REF!</f>
        <v>#REF!</v>
      </c>
      <c r="D137" s="33" t="e">
        <f>#REF!</f>
        <v>#REF!</v>
      </c>
      <c r="E137" s="33" t="e">
        <f>#REF!</f>
        <v>#REF!</v>
      </c>
      <c r="F137" s="235" t="e">
        <f>#REF!</f>
        <v>#REF!</v>
      </c>
      <c r="G137" s="33" t="e">
        <f>#REF!</f>
        <v>#REF!</v>
      </c>
      <c r="H137" s="33" t="e">
        <f>#REF!</f>
        <v>#REF!</v>
      </c>
      <c r="I137" s="33" t="e">
        <f>#REF!</f>
        <v>#REF!</v>
      </c>
      <c r="J137" s="33" t="e">
        <f>#REF!</f>
        <v>#REF!</v>
      </c>
      <c r="K137" s="33" t="e">
        <f>#REF!</f>
        <v>#REF!</v>
      </c>
      <c r="L137" s="33" t="e">
        <f>#REF!</f>
        <v>#REF!</v>
      </c>
      <c r="M137" s="33" t="e">
        <f>#REF!</f>
        <v>#REF!</v>
      </c>
    </row>
    <row r="138" spans="1:13" ht="23.25" x14ac:dyDescent="0.25">
      <c r="A138" s="234" t="e">
        <f>#REF!</f>
        <v>#REF!</v>
      </c>
      <c r="B138" s="234" t="e">
        <f>#REF!</f>
        <v>#REF!</v>
      </c>
      <c r="C138" s="33" t="e">
        <f>#REF!</f>
        <v>#REF!</v>
      </c>
      <c r="D138" s="33" t="e">
        <f>#REF!</f>
        <v>#REF!</v>
      </c>
      <c r="E138" s="33" t="e">
        <f>#REF!</f>
        <v>#REF!</v>
      </c>
      <c r="F138" s="235" t="e">
        <f>#REF!</f>
        <v>#REF!</v>
      </c>
      <c r="G138" s="33" t="e">
        <f>#REF!</f>
        <v>#REF!</v>
      </c>
      <c r="H138" s="33" t="e">
        <f>#REF!</f>
        <v>#REF!</v>
      </c>
      <c r="I138" s="33" t="e">
        <f>#REF!</f>
        <v>#REF!</v>
      </c>
      <c r="J138" s="33" t="e">
        <f>#REF!</f>
        <v>#REF!</v>
      </c>
      <c r="K138" s="33" t="e">
        <f>#REF!</f>
        <v>#REF!</v>
      </c>
      <c r="L138" s="33" t="e">
        <f>#REF!</f>
        <v>#REF!</v>
      </c>
      <c r="M138" s="33" t="e">
        <f>#REF!</f>
        <v>#REF!</v>
      </c>
    </row>
    <row r="139" spans="1:13" ht="23.25" x14ac:dyDescent="0.25">
      <c r="A139" s="234" t="e">
        <f>#REF!</f>
        <v>#REF!</v>
      </c>
      <c r="B139" s="234" t="e">
        <f>#REF!</f>
        <v>#REF!</v>
      </c>
      <c r="C139" s="33" t="e">
        <f>#REF!</f>
        <v>#REF!</v>
      </c>
      <c r="D139" s="33" t="e">
        <f>#REF!</f>
        <v>#REF!</v>
      </c>
      <c r="E139" s="33" t="e">
        <f>#REF!</f>
        <v>#REF!</v>
      </c>
      <c r="F139" s="235" t="e">
        <f>#REF!</f>
        <v>#REF!</v>
      </c>
      <c r="G139" s="33" t="e">
        <f>#REF!</f>
        <v>#REF!</v>
      </c>
      <c r="H139" s="33" t="e">
        <f>#REF!</f>
        <v>#REF!</v>
      </c>
      <c r="I139" s="33" t="e">
        <f>#REF!</f>
        <v>#REF!</v>
      </c>
      <c r="J139" s="33" t="e">
        <f>#REF!</f>
        <v>#REF!</v>
      </c>
      <c r="K139" s="33" t="e">
        <f>#REF!</f>
        <v>#REF!</v>
      </c>
      <c r="L139" s="33" t="e">
        <f>#REF!</f>
        <v>#REF!</v>
      </c>
      <c r="M139" s="33" t="e">
        <f>#REF!</f>
        <v>#REF!</v>
      </c>
    </row>
    <row r="140" spans="1:13" ht="23.25" x14ac:dyDescent="0.25">
      <c r="A140" s="234" t="e">
        <f>#REF!</f>
        <v>#REF!</v>
      </c>
      <c r="B140" s="234" t="e">
        <f>#REF!</f>
        <v>#REF!</v>
      </c>
      <c r="C140" s="33" t="e">
        <f>#REF!</f>
        <v>#REF!</v>
      </c>
      <c r="D140" s="33" t="e">
        <f>#REF!</f>
        <v>#REF!</v>
      </c>
      <c r="E140" s="33" t="e">
        <f>#REF!</f>
        <v>#REF!</v>
      </c>
      <c r="F140" s="235" t="e">
        <f>#REF!</f>
        <v>#REF!</v>
      </c>
      <c r="G140" s="33" t="e">
        <f>#REF!</f>
        <v>#REF!</v>
      </c>
      <c r="H140" s="33" t="e">
        <f>#REF!</f>
        <v>#REF!</v>
      </c>
      <c r="I140" s="33" t="e">
        <f>#REF!</f>
        <v>#REF!</v>
      </c>
      <c r="J140" s="33" t="e">
        <f>#REF!</f>
        <v>#REF!</v>
      </c>
      <c r="K140" s="33" t="e">
        <f>#REF!</f>
        <v>#REF!</v>
      </c>
      <c r="L140" s="33" t="e">
        <f>#REF!</f>
        <v>#REF!</v>
      </c>
      <c r="M140" s="33" t="e">
        <f>#REF!</f>
        <v>#REF!</v>
      </c>
    </row>
    <row r="141" spans="1:13" ht="23.25" x14ac:dyDescent="0.25">
      <c r="A141" s="234" t="e">
        <f>#REF!</f>
        <v>#REF!</v>
      </c>
      <c r="B141" s="234" t="e">
        <f>#REF!</f>
        <v>#REF!</v>
      </c>
      <c r="C141" s="33" t="e">
        <f>#REF!</f>
        <v>#REF!</v>
      </c>
      <c r="D141" s="33" t="e">
        <f>#REF!</f>
        <v>#REF!</v>
      </c>
      <c r="E141" s="33" t="e">
        <f>#REF!</f>
        <v>#REF!</v>
      </c>
      <c r="F141" s="235" t="e">
        <f>#REF!</f>
        <v>#REF!</v>
      </c>
      <c r="G141" s="33" t="e">
        <f>#REF!</f>
        <v>#REF!</v>
      </c>
      <c r="H141" s="33" t="e">
        <f>#REF!</f>
        <v>#REF!</v>
      </c>
      <c r="I141" s="33" t="e">
        <f>#REF!</f>
        <v>#REF!</v>
      </c>
      <c r="J141" s="33" t="e">
        <f>#REF!</f>
        <v>#REF!</v>
      </c>
      <c r="K141" s="33" t="e">
        <f>#REF!</f>
        <v>#REF!</v>
      </c>
      <c r="L141" s="33" t="e">
        <f>#REF!</f>
        <v>#REF!</v>
      </c>
      <c r="M141" s="33" t="e">
        <f>#REF!</f>
        <v>#REF!</v>
      </c>
    </row>
    <row r="142" spans="1:13" ht="23.25" x14ac:dyDescent="0.25">
      <c r="A142" s="234" t="e">
        <f>#REF!</f>
        <v>#REF!</v>
      </c>
      <c r="B142" s="234" t="e">
        <f>#REF!</f>
        <v>#REF!</v>
      </c>
      <c r="C142" s="33" t="e">
        <f>#REF!</f>
        <v>#REF!</v>
      </c>
      <c r="D142" s="33" t="e">
        <f>#REF!</f>
        <v>#REF!</v>
      </c>
      <c r="E142" s="33" t="e">
        <f>#REF!</f>
        <v>#REF!</v>
      </c>
      <c r="F142" s="235" t="e">
        <f>#REF!</f>
        <v>#REF!</v>
      </c>
      <c r="G142" s="33" t="e">
        <f>#REF!</f>
        <v>#REF!</v>
      </c>
      <c r="H142" s="33" t="e">
        <f>#REF!</f>
        <v>#REF!</v>
      </c>
      <c r="I142" s="33" t="e">
        <f>#REF!</f>
        <v>#REF!</v>
      </c>
      <c r="J142" s="33" t="e">
        <f>#REF!</f>
        <v>#REF!</v>
      </c>
      <c r="K142" s="33" t="e">
        <f>#REF!</f>
        <v>#REF!</v>
      </c>
      <c r="L142" s="33" t="e">
        <f>#REF!</f>
        <v>#REF!</v>
      </c>
      <c r="M142" s="33" t="e">
        <f>#REF!</f>
        <v>#REF!</v>
      </c>
    </row>
    <row r="143" spans="1:13" ht="23.25" x14ac:dyDescent="0.25">
      <c r="A143" s="234" t="e">
        <f>#REF!</f>
        <v>#REF!</v>
      </c>
      <c r="B143" s="234" t="e">
        <f>#REF!</f>
        <v>#REF!</v>
      </c>
      <c r="C143" s="33" t="e">
        <f>#REF!</f>
        <v>#REF!</v>
      </c>
      <c r="D143" s="33" t="e">
        <f>#REF!</f>
        <v>#REF!</v>
      </c>
      <c r="E143" s="33" t="e">
        <f>#REF!</f>
        <v>#REF!</v>
      </c>
      <c r="F143" s="235" t="e">
        <f>#REF!</f>
        <v>#REF!</v>
      </c>
      <c r="G143" s="33" t="e">
        <f>#REF!</f>
        <v>#REF!</v>
      </c>
      <c r="H143" s="33" t="e">
        <f>#REF!</f>
        <v>#REF!</v>
      </c>
      <c r="I143" s="33" t="e">
        <f>#REF!</f>
        <v>#REF!</v>
      </c>
      <c r="J143" s="33" t="e">
        <f>#REF!</f>
        <v>#REF!</v>
      </c>
      <c r="K143" s="33" t="e">
        <f>#REF!</f>
        <v>#REF!</v>
      </c>
      <c r="L143" s="33" t="e">
        <f>#REF!</f>
        <v>#REF!</v>
      </c>
      <c r="M143" s="33" t="e">
        <f>#REF!</f>
        <v>#REF!</v>
      </c>
    </row>
    <row r="144" spans="1:13" ht="23.25" x14ac:dyDescent="0.25">
      <c r="A144" s="234" t="e">
        <f>#REF!</f>
        <v>#REF!</v>
      </c>
      <c r="B144" s="234" t="e">
        <f>#REF!</f>
        <v>#REF!</v>
      </c>
      <c r="C144" s="33" t="e">
        <f>#REF!</f>
        <v>#REF!</v>
      </c>
      <c r="D144" s="33" t="e">
        <f>#REF!</f>
        <v>#REF!</v>
      </c>
      <c r="E144" s="33" t="e">
        <f>#REF!</f>
        <v>#REF!</v>
      </c>
      <c r="F144" s="235" t="e">
        <f>#REF!</f>
        <v>#REF!</v>
      </c>
      <c r="G144" s="33" t="e">
        <f>#REF!</f>
        <v>#REF!</v>
      </c>
      <c r="H144" s="33" t="e">
        <f>#REF!</f>
        <v>#REF!</v>
      </c>
      <c r="I144" s="33" t="e">
        <f>#REF!</f>
        <v>#REF!</v>
      </c>
      <c r="J144" s="33" t="e">
        <f>#REF!</f>
        <v>#REF!</v>
      </c>
      <c r="K144" s="33" t="e">
        <f>#REF!</f>
        <v>#REF!</v>
      </c>
      <c r="L144" s="33" t="e">
        <f>#REF!</f>
        <v>#REF!</v>
      </c>
      <c r="M144" s="33" t="e">
        <f>#REF!</f>
        <v>#REF!</v>
      </c>
    </row>
    <row r="145" spans="1:13" ht="23.25" x14ac:dyDescent="0.25">
      <c r="A145" s="234" t="e">
        <f>#REF!</f>
        <v>#REF!</v>
      </c>
      <c r="B145" s="234" t="e">
        <f>#REF!</f>
        <v>#REF!</v>
      </c>
      <c r="C145" s="33" t="e">
        <f>#REF!</f>
        <v>#REF!</v>
      </c>
      <c r="D145" s="33" t="e">
        <f>#REF!</f>
        <v>#REF!</v>
      </c>
      <c r="E145" s="33" t="e">
        <f>#REF!</f>
        <v>#REF!</v>
      </c>
      <c r="F145" s="235" t="e">
        <f>#REF!</f>
        <v>#REF!</v>
      </c>
      <c r="G145" s="33" t="e">
        <f>#REF!</f>
        <v>#REF!</v>
      </c>
      <c r="H145" s="33" t="e">
        <f>#REF!</f>
        <v>#REF!</v>
      </c>
      <c r="I145" s="33" t="e">
        <f>#REF!</f>
        <v>#REF!</v>
      </c>
      <c r="J145" s="33" t="e">
        <f>#REF!</f>
        <v>#REF!</v>
      </c>
      <c r="K145" s="33" t="e">
        <f>#REF!</f>
        <v>#REF!</v>
      </c>
      <c r="L145" s="33" t="e">
        <f>#REF!</f>
        <v>#REF!</v>
      </c>
      <c r="M145" s="33" t="e">
        <f>#REF!</f>
        <v>#REF!</v>
      </c>
    </row>
    <row r="146" spans="1:13" ht="23.25" x14ac:dyDescent="0.25">
      <c r="A146" s="234" t="e">
        <f>#REF!</f>
        <v>#REF!</v>
      </c>
      <c r="B146" s="234" t="e">
        <f>#REF!</f>
        <v>#REF!</v>
      </c>
      <c r="C146" s="33" t="e">
        <f>#REF!</f>
        <v>#REF!</v>
      </c>
      <c r="D146" s="33" t="e">
        <f>#REF!</f>
        <v>#REF!</v>
      </c>
      <c r="E146" s="33" t="e">
        <f>#REF!</f>
        <v>#REF!</v>
      </c>
      <c r="F146" s="235" t="e">
        <f>#REF!</f>
        <v>#REF!</v>
      </c>
      <c r="G146" s="33" t="e">
        <f>#REF!</f>
        <v>#REF!</v>
      </c>
      <c r="H146" s="33" t="e">
        <f>#REF!</f>
        <v>#REF!</v>
      </c>
      <c r="I146" s="33" t="e">
        <f>#REF!</f>
        <v>#REF!</v>
      </c>
      <c r="J146" s="33" t="e">
        <f>#REF!</f>
        <v>#REF!</v>
      </c>
      <c r="K146" s="33" t="e">
        <f>#REF!</f>
        <v>#REF!</v>
      </c>
      <c r="L146" s="33" t="e">
        <f>#REF!</f>
        <v>#REF!</v>
      </c>
      <c r="M146" s="33" t="e">
        <f>#REF!</f>
        <v>#REF!</v>
      </c>
    </row>
    <row r="147" spans="1:13" ht="23.25" x14ac:dyDescent="0.25">
      <c r="A147" s="234" t="e">
        <f>#REF!</f>
        <v>#REF!</v>
      </c>
      <c r="B147" s="234" t="e">
        <f>#REF!</f>
        <v>#REF!</v>
      </c>
      <c r="C147" s="33" t="e">
        <f>#REF!</f>
        <v>#REF!</v>
      </c>
      <c r="D147" s="33" t="e">
        <f>#REF!</f>
        <v>#REF!</v>
      </c>
      <c r="E147" s="33" t="e">
        <f>#REF!</f>
        <v>#REF!</v>
      </c>
      <c r="F147" s="235" t="e">
        <f>#REF!</f>
        <v>#REF!</v>
      </c>
      <c r="G147" s="33" t="e">
        <f>#REF!</f>
        <v>#REF!</v>
      </c>
      <c r="H147" s="33" t="e">
        <f>#REF!</f>
        <v>#REF!</v>
      </c>
      <c r="I147" s="33" t="e">
        <f>#REF!</f>
        <v>#REF!</v>
      </c>
      <c r="J147" s="33" t="e">
        <f>#REF!</f>
        <v>#REF!</v>
      </c>
      <c r="K147" s="33" t="e">
        <f>#REF!</f>
        <v>#REF!</v>
      </c>
      <c r="L147" s="33" t="e">
        <f>#REF!</f>
        <v>#REF!</v>
      </c>
      <c r="M147" s="33" t="e">
        <f>#REF!</f>
        <v>#REF!</v>
      </c>
    </row>
    <row r="148" spans="1:13" ht="23.25" x14ac:dyDescent="0.25">
      <c r="A148" s="234" t="e">
        <f>#REF!</f>
        <v>#REF!</v>
      </c>
      <c r="B148" s="234" t="e">
        <f>#REF!</f>
        <v>#REF!</v>
      </c>
      <c r="C148" s="33" t="e">
        <f>#REF!</f>
        <v>#REF!</v>
      </c>
      <c r="D148" s="33" t="e">
        <f>#REF!</f>
        <v>#REF!</v>
      </c>
      <c r="E148" s="33" t="e">
        <f>#REF!</f>
        <v>#REF!</v>
      </c>
      <c r="F148" s="235" t="e">
        <f>#REF!</f>
        <v>#REF!</v>
      </c>
      <c r="G148" s="33" t="e">
        <f>#REF!</f>
        <v>#REF!</v>
      </c>
      <c r="H148" s="33" t="e">
        <f>#REF!</f>
        <v>#REF!</v>
      </c>
      <c r="I148" s="33" t="e">
        <f>#REF!</f>
        <v>#REF!</v>
      </c>
      <c r="J148" s="33" t="e">
        <f>#REF!</f>
        <v>#REF!</v>
      </c>
      <c r="K148" s="33" t="e">
        <f>#REF!</f>
        <v>#REF!</v>
      </c>
      <c r="L148" s="33" t="e">
        <f>#REF!</f>
        <v>#REF!</v>
      </c>
      <c r="M148" s="33" t="e">
        <f>#REF!</f>
        <v>#REF!</v>
      </c>
    </row>
    <row r="149" spans="1:13" ht="23.25" x14ac:dyDescent="0.25">
      <c r="A149" s="234" t="e">
        <f>#REF!</f>
        <v>#REF!</v>
      </c>
      <c r="B149" s="234" t="e">
        <f>#REF!</f>
        <v>#REF!</v>
      </c>
      <c r="C149" s="33" t="e">
        <f>#REF!</f>
        <v>#REF!</v>
      </c>
      <c r="D149" s="33" t="e">
        <f>#REF!</f>
        <v>#REF!</v>
      </c>
      <c r="E149" s="33" t="e">
        <f>#REF!</f>
        <v>#REF!</v>
      </c>
      <c r="F149" s="235" t="e">
        <f>#REF!</f>
        <v>#REF!</v>
      </c>
      <c r="G149" s="33" t="e">
        <f>#REF!</f>
        <v>#REF!</v>
      </c>
      <c r="H149" s="33" t="e">
        <f>#REF!</f>
        <v>#REF!</v>
      </c>
      <c r="I149" s="33" t="e">
        <f>#REF!</f>
        <v>#REF!</v>
      </c>
      <c r="J149" s="33" t="e">
        <f>#REF!</f>
        <v>#REF!</v>
      </c>
      <c r="K149" s="33" t="e">
        <f>#REF!</f>
        <v>#REF!</v>
      </c>
      <c r="L149" s="33" t="e">
        <f>#REF!</f>
        <v>#REF!</v>
      </c>
      <c r="M149" s="33" t="e">
        <f>#REF!</f>
        <v>#REF!</v>
      </c>
    </row>
    <row r="150" spans="1:13" ht="23.25" x14ac:dyDescent="0.25">
      <c r="A150" s="234" t="e">
        <f>#REF!</f>
        <v>#REF!</v>
      </c>
      <c r="B150" s="234" t="e">
        <f>#REF!</f>
        <v>#REF!</v>
      </c>
      <c r="C150" s="33" t="e">
        <f>#REF!</f>
        <v>#REF!</v>
      </c>
      <c r="D150" s="33" t="e">
        <f>#REF!</f>
        <v>#REF!</v>
      </c>
      <c r="E150" s="33" t="e">
        <f>#REF!</f>
        <v>#REF!</v>
      </c>
      <c r="F150" s="235" t="e">
        <f>#REF!</f>
        <v>#REF!</v>
      </c>
      <c r="G150" s="33" t="e">
        <f>#REF!</f>
        <v>#REF!</v>
      </c>
      <c r="H150" s="33" t="e">
        <f>#REF!</f>
        <v>#REF!</v>
      </c>
      <c r="I150" s="33" t="e">
        <f>#REF!</f>
        <v>#REF!</v>
      </c>
      <c r="J150" s="33" t="e">
        <f>#REF!</f>
        <v>#REF!</v>
      </c>
      <c r="K150" s="33" t="e">
        <f>#REF!</f>
        <v>#REF!</v>
      </c>
      <c r="L150" s="33" t="e">
        <f>#REF!</f>
        <v>#REF!</v>
      </c>
      <c r="M150" s="33" t="e">
        <f>#REF!</f>
        <v>#REF!</v>
      </c>
    </row>
    <row r="151" spans="1:13" ht="23.25" x14ac:dyDescent="0.25">
      <c r="A151" s="234" t="e">
        <f>#REF!</f>
        <v>#REF!</v>
      </c>
      <c r="B151" s="234" t="e">
        <f>#REF!</f>
        <v>#REF!</v>
      </c>
      <c r="C151" s="33" t="e">
        <f>#REF!</f>
        <v>#REF!</v>
      </c>
      <c r="D151" s="33" t="e">
        <f>#REF!</f>
        <v>#REF!</v>
      </c>
      <c r="E151" s="33" t="e">
        <f>#REF!</f>
        <v>#REF!</v>
      </c>
      <c r="F151" s="235" t="e">
        <f>#REF!</f>
        <v>#REF!</v>
      </c>
      <c r="G151" s="33" t="e">
        <f>#REF!</f>
        <v>#REF!</v>
      </c>
      <c r="H151" s="33" t="e">
        <f>#REF!</f>
        <v>#REF!</v>
      </c>
      <c r="I151" s="33" t="e">
        <f>#REF!</f>
        <v>#REF!</v>
      </c>
      <c r="J151" s="33" t="e">
        <f>#REF!</f>
        <v>#REF!</v>
      </c>
      <c r="K151" s="33" t="e">
        <f>#REF!</f>
        <v>#REF!</v>
      </c>
      <c r="L151" s="33" t="e">
        <f>#REF!</f>
        <v>#REF!</v>
      </c>
      <c r="M151" s="33" t="e">
        <f>#REF!</f>
        <v>#REF!</v>
      </c>
    </row>
    <row r="152" spans="1:13" ht="23.25" x14ac:dyDescent="0.25">
      <c r="A152" s="234" t="e">
        <f>#REF!</f>
        <v>#REF!</v>
      </c>
      <c r="B152" s="234" t="e">
        <f>#REF!</f>
        <v>#REF!</v>
      </c>
      <c r="C152" s="33" t="e">
        <f>#REF!</f>
        <v>#REF!</v>
      </c>
      <c r="D152" s="33" t="e">
        <f>#REF!</f>
        <v>#REF!</v>
      </c>
      <c r="E152" s="33" t="e">
        <f>#REF!</f>
        <v>#REF!</v>
      </c>
      <c r="F152" s="235" t="e">
        <f>#REF!</f>
        <v>#REF!</v>
      </c>
      <c r="G152" s="33" t="e">
        <f>#REF!</f>
        <v>#REF!</v>
      </c>
      <c r="H152" s="33" t="e">
        <f>#REF!</f>
        <v>#REF!</v>
      </c>
      <c r="I152" s="33" t="e">
        <f>#REF!</f>
        <v>#REF!</v>
      </c>
      <c r="J152" s="33" t="e">
        <f>#REF!</f>
        <v>#REF!</v>
      </c>
      <c r="K152" s="33" t="e">
        <f>#REF!</f>
        <v>#REF!</v>
      </c>
      <c r="L152" s="33" t="e">
        <f>#REF!</f>
        <v>#REF!</v>
      </c>
      <c r="M152" s="33" t="e">
        <f>#REF!</f>
        <v>#REF!</v>
      </c>
    </row>
    <row r="153" spans="1:13" ht="23.25" x14ac:dyDescent="0.25">
      <c r="A153" s="234" t="e">
        <f>#REF!</f>
        <v>#REF!</v>
      </c>
      <c r="B153" s="234" t="e">
        <f>#REF!</f>
        <v>#REF!</v>
      </c>
      <c r="C153" s="33" t="e">
        <f>#REF!</f>
        <v>#REF!</v>
      </c>
      <c r="D153" s="33" t="e">
        <f>#REF!</f>
        <v>#REF!</v>
      </c>
      <c r="E153" s="33" t="e">
        <f>#REF!</f>
        <v>#REF!</v>
      </c>
      <c r="F153" s="235" t="e">
        <f>#REF!</f>
        <v>#REF!</v>
      </c>
      <c r="G153" s="33" t="e">
        <f>#REF!</f>
        <v>#REF!</v>
      </c>
      <c r="H153" s="33" t="e">
        <f>#REF!</f>
        <v>#REF!</v>
      </c>
      <c r="I153" s="33" t="e">
        <f>#REF!</f>
        <v>#REF!</v>
      </c>
      <c r="J153" s="33" t="e">
        <f>#REF!</f>
        <v>#REF!</v>
      </c>
      <c r="K153" s="33" t="e">
        <f>#REF!</f>
        <v>#REF!</v>
      </c>
      <c r="L153" s="33" t="e">
        <f>#REF!</f>
        <v>#REF!</v>
      </c>
      <c r="M153" s="33" t="e">
        <f>#REF!</f>
        <v>#REF!</v>
      </c>
    </row>
    <row r="154" spans="1:13" ht="23.25" x14ac:dyDescent="0.25">
      <c r="A154" s="234" t="e">
        <f>#REF!</f>
        <v>#REF!</v>
      </c>
      <c r="B154" s="234" t="e">
        <f>#REF!</f>
        <v>#REF!</v>
      </c>
      <c r="C154" s="33" t="e">
        <f>#REF!</f>
        <v>#REF!</v>
      </c>
      <c r="D154" s="33" t="e">
        <f>#REF!</f>
        <v>#REF!</v>
      </c>
      <c r="E154" s="33" t="e">
        <f>#REF!</f>
        <v>#REF!</v>
      </c>
      <c r="F154" s="235" t="e">
        <f>#REF!</f>
        <v>#REF!</v>
      </c>
      <c r="G154" s="33" t="e">
        <f>#REF!</f>
        <v>#REF!</v>
      </c>
      <c r="H154" s="33" t="e">
        <f>#REF!</f>
        <v>#REF!</v>
      </c>
      <c r="I154" s="33" t="e">
        <f>#REF!</f>
        <v>#REF!</v>
      </c>
      <c r="J154" s="33" t="e">
        <f>#REF!</f>
        <v>#REF!</v>
      </c>
      <c r="K154" s="33" t="e">
        <f>#REF!</f>
        <v>#REF!</v>
      </c>
      <c r="L154" s="33" t="e">
        <f>#REF!</f>
        <v>#REF!</v>
      </c>
      <c r="M154" s="33" t="e">
        <f>#REF!</f>
        <v>#REF!</v>
      </c>
    </row>
    <row r="155" spans="1:13" ht="23.25" x14ac:dyDescent="0.25">
      <c r="A155" s="234" t="e">
        <f>#REF!</f>
        <v>#REF!</v>
      </c>
      <c r="B155" s="234" t="e">
        <f>#REF!</f>
        <v>#REF!</v>
      </c>
      <c r="C155" s="33" t="e">
        <f>#REF!</f>
        <v>#REF!</v>
      </c>
      <c r="D155" s="33" t="e">
        <f>#REF!</f>
        <v>#REF!</v>
      </c>
      <c r="E155" s="33" t="e">
        <f>#REF!</f>
        <v>#REF!</v>
      </c>
      <c r="F155" s="235" t="e">
        <f>#REF!</f>
        <v>#REF!</v>
      </c>
      <c r="G155" s="33" t="e">
        <f>#REF!</f>
        <v>#REF!</v>
      </c>
      <c r="H155" s="33" t="e">
        <f>#REF!</f>
        <v>#REF!</v>
      </c>
      <c r="I155" s="33" t="e">
        <f>#REF!</f>
        <v>#REF!</v>
      </c>
      <c r="J155" s="33" t="e">
        <f>#REF!</f>
        <v>#REF!</v>
      </c>
      <c r="K155" s="33" t="e">
        <f>#REF!</f>
        <v>#REF!</v>
      </c>
      <c r="L155" s="33" t="e">
        <f>#REF!</f>
        <v>#REF!</v>
      </c>
      <c r="M155" s="33" t="e">
        <f>#REF!</f>
        <v>#REF!</v>
      </c>
    </row>
    <row r="156" spans="1:13" ht="23.25" x14ac:dyDescent="0.25">
      <c r="A156" s="234" t="e">
        <f>#REF!</f>
        <v>#REF!</v>
      </c>
      <c r="B156" s="234" t="e">
        <f>#REF!</f>
        <v>#REF!</v>
      </c>
      <c r="C156" s="33" t="e">
        <f>#REF!</f>
        <v>#REF!</v>
      </c>
      <c r="D156" s="33" t="e">
        <f>#REF!</f>
        <v>#REF!</v>
      </c>
      <c r="E156" s="33" t="e">
        <f>#REF!</f>
        <v>#REF!</v>
      </c>
      <c r="F156" s="235" t="e">
        <f>#REF!</f>
        <v>#REF!</v>
      </c>
      <c r="G156" s="33" t="e">
        <f>#REF!</f>
        <v>#REF!</v>
      </c>
      <c r="H156" s="33" t="e">
        <f>#REF!</f>
        <v>#REF!</v>
      </c>
      <c r="I156" s="33" t="e">
        <f>#REF!</f>
        <v>#REF!</v>
      </c>
      <c r="J156" s="33" t="e">
        <f>#REF!</f>
        <v>#REF!</v>
      </c>
      <c r="K156" s="33" t="e">
        <f>#REF!</f>
        <v>#REF!</v>
      </c>
      <c r="L156" s="33" t="e">
        <f>#REF!</f>
        <v>#REF!</v>
      </c>
      <c r="M156" s="33" t="e">
        <f>#REF!</f>
        <v>#REF!</v>
      </c>
    </row>
    <row r="157" spans="1:13" ht="23.25" x14ac:dyDescent="0.25">
      <c r="A157" s="234" t="e">
        <f>#REF!</f>
        <v>#REF!</v>
      </c>
      <c r="B157" s="234" t="e">
        <f>#REF!</f>
        <v>#REF!</v>
      </c>
      <c r="C157" s="33" t="e">
        <f>#REF!</f>
        <v>#REF!</v>
      </c>
      <c r="D157" s="33" t="e">
        <f>#REF!</f>
        <v>#REF!</v>
      </c>
      <c r="E157" s="33" t="e">
        <f>#REF!</f>
        <v>#REF!</v>
      </c>
      <c r="F157" s="235" t="e">
        <f>#REF!</f>
        <v>#REF!</v>
      </c>
      <c r="G157" s="33" t="e">
        <f>#REF!</f>
        <v>#REF!</v>
      </c>
      <c r="H157" s="33" t="e">
        <f>#REF!</f>
        <v>#REF!</v>
      </c>
      <c r="I157" s="33" t="e">
        <f>#REF!</f>
        <v>#REF!</v>
      </c>
      <c r="J157" s="33" t="e">
        <f>#REF!</f>
        <v>#REF!</v>
      </c>
      <c r="K157" s="33" t="e">
        <f>#REF!</f>
        <v>#REF!</v>
      </c>
      <c r="L157" s="33" t="e">
        <f>#REF!</f>
        <v>#REF!</v>
      </c>
      <c r="M157" s="33" t="e">
        <f>#REF!</f>
        <v>#REF!</v>
      </c>
    </row>
    <row r="158" spans="1:13" ht="23.25" x14ac:dyDescent="0.25">
      <c r="A158" s="234" t="e">
        <f>#REF!</f>
        <v>#REF!</v>
      </c>
      <c r="B158" s="234" t="e">
        <f>#REF!</f>
        <v>#REF!</v>
      </c>
      <c r="C158" s="33" t="e">
        <f>#REF!</f>
        <v>#REF!</v>
      </c>
      <c r="D158" s="33" t="e">
        <f>#REF!</f>
        <v>#REF!</v>
      </c>
      <c r="E158" s="33" t="e">
        <f>#REF!</f>
        <v>#REF!</v>
      </c>
      <c r="F158" s="235" t="e">
        <f>#REF!</f>
        <v>#REF!</v>
      </c>
      <c r="G158" s="33" t="e">
        <f>#REF!</f>
        <v>#REF!</v>
      </c>
      <c r="H158" s="33" t="e">
        <f>#REF!</f>
        <v>#REF!</v>
      </c>
      <c r="I158" s="33" t="e">
        <f>#REF!</f>
        <v>#REF!</v>
      </c>
      <c r="J158" s="33" t="e">
        <f>#REF!</f>
        <v>#REF!</v>
      </c>
      <c r="K158" s="33" t="e">
        <f>#REF!</f>
        <v>#REF!</v>
      </c>
      <c r="L158" s="33" t="e">
        <f>#REF!</f>
        <v>#REF!</v>
      </c>
      <c r="M158" s="33" t="e">
        <f>#REF!</f>
        <v>#REF!</v>
      </c>
    </row>
    <row r="159" spans="1:13" ht="23.25" x14ac:dyDescent="0.25">
      <c r="A159" s="234" t="e">
        <f>#REF!</f>
        <v>#REF!</v>
      </c>
      <c r="B159" s="234" t="e">
        <f>#REF!</f>
        <v>#REF!</v>
      </c>
      <c r="C159" s="33" t="e">
        <f>#REF!</f>
        <v>#REF!</v>
      </c>
      <c r="D159" s="33" t="e">
        <f>#REF!</f>
        <v>#REF!</v>
      </c>
      <c r="E159" s="33" t="e">
        <f>#REF!</f>
        <v>#REF!</v>
      </c>
      <c r="F159" s="235" t="e">
        <f>#REF!</f>
        <v>#REF!</v>
      </c>
      <c r="G159" s="33" t="e">
        <f>#REF!</f>
        <v>#REF!</v>
      </c>
      <c r="H159" s="33" t="e">
        <f>#REF!</f>
        <v>#REF!</v>
      </c>
      <c r="I159" s="33" t="e">
        <f>#REF!</f>
        <v>#REF!</v>
      </c>
      <c r="J159" s="33" t="e">
        <f>#REF!</f>
        <v>#REF!</v>
      </c>
      <c r="K159" s="33" t="e">
        <f>#REF!</f>
        <v>#REF!</v>
      </c>
      <c r="L159" s="33" t="e">
        <f>#REF!</f>
        <v>#REF!</v>
      </c>
      <c r="M159" s="33" t="e">
        <f>#REF!</f>
        <v>#REF!</v>
      </c>
    </row>
    <row r="160" spans="1:13" ht="23.25" x14ac:dyDescent="0.25">
      <c r="A160" s="234" t="e">
        <f>#REF!</f>
        <v>#REF!</v>
      </c>
      <c r="B160" s="234" t="e">
        <f>#REF!</f>
        <v>#REF!</v>
      </c>
      <c r="C160" s="33" t="e">
        <f>#REF!</f>
        <v>#REF!</v>
      </c>
      <c r="D160" s="33" t="e">
        <f>#REF!</f>
        <v>#REF!</v>
      </c>
      <c r="E160" s="33" t="e">
        <f>#REF!</f>
        <v>#REF!</v>
      </c>
      <c r="F160" s="235" t="e">
        <f>#REF!</f>
        <v>#REF!</v>
      </c>
      <c r="G160" s="33" t="e">
        <f>#REF!</f>
        <v>#REF!</v>
      </c>
      <c r="H160" s="33" t="e">
        <f>#REF!</f>
        <v>#REF!</v>
      </c>
      <c r="I160" s="33" t="e">
        <f>#REF!</f>
        <v>#REF!</v>
      </c>
      <c r="J160" s="33" t="e">
        <f>#REF!</f>
        <v>#REF!</v>
      </c>
      <c r="K160" s="33" t="e">
        <f>#REF!</f>
        <v>#REF!</v>
      </c>
      <c r="L160" s="33" t="e">
        <f>#REF!</f>
        <v>#REF!</v>
      </c>
      <c r="M160" s="33" t="e">
        <f>#REF!</f>
        <v>#REF!</v>
      </c>
    </row>
    <row r="161" spans="1:13" ht="23.25" x14ac:dyDescent="0.25">
      <c r="A161" s="234" t="e">
        <f>#REF!</f>
        <v>#REF!</v>
      </c>
      <c r="B161" s="234" t="e">
        <f>#REF!</f>
        <v>#REF!</v>
      </c>
      <c r="C161" s="33" t="e">
        <f>#REF!</f>
        <v>#REF!</v>
      </c>
      <c r="D161" s="33" t="e">
        <f>#REF!</f>
        <v>#REF!</v>
      </c>
      <c r="E161" s="33" t="e">
        <f>#REF!</f>
        <v>#REF!</v>
      </c>
      <c r="F161" s="235" t="e">
        <f>#REF!</f>
        <v>#REF!</v>
      </c>
      <c r="G161" s="33" t="e">
        <f>#REF!</f>
        <v>#REF!</v>
      </c>
      <c r="H161" s="33" t="e">
        <f>#REF!</f>
        <v>#REF!</v>
      </c>
      <c r="I161" s="33" t="e">
        <f>#REF!</f>
        <v>#REF!</v>
      </c>
      <c r="J161" s="33" t="e">
        <f>#REF!</f>
        <v>#REF!</v>
      </c>
      <c r="K161" s="33" t="e">
        <f>#REF!</f>
        <v>#REF!</v>
      </c>
      <c r="L161" s="33" t="e">
        <f>#REF!</f>
        <v>#REF!</v>
      </c>
      <c r="M161" s="33" t="e">
        <f>#REF!</f>
        <v>#REF!</v>
      </c>
    </row>
    <row r="162" spans="1:13" ht="23.25" x14ac:dyDescent="0.25">
      <c r="A162" s="234" t="e">
        <f>#REF!</f>
        <v>#REF!</v>
      </c>
      <c r="B162" s="234" t="e">
        <f>#REF!</f>
        <v>#REF!</v>
      </c>
      <c r="C162" s="33" t="e">
        <f>#REF!</f>
        <v>#REF!</v>
      </c>
      <c r="D162" s="33" t="e">
        <f>#REF!</f>
        <v>#REF!</v>
      </c>
      <c r="E162" s="33" t="e">
        <f>#REF!</f>
        <v>#REF!</v>
      </c>
      <c r="F162" s="235" t="e">
        <f>#REF!</f>
        <v>#REF!</v>
      </c>
      <c r="G162" s="33" t="e">
        <f>#REF!</f>
        <v>#REF!</v>
      </c>
      <c r="H162" s="33" t="e">
        <f>#REF!</f>
        <v>#REF!</v>
      </c>
      <c r="I162" s="33" t="e">
        <f>#REF!</f>
        <v>#REF!</v>
      </c>
      <c r="J162" s="33" t="e">
        <f>#REF!</f>
        <v>#REF!</v>
      </c>
      <c r="K162" s="33" t="e">
        <f>#REF!</f>
        <v>#REF!</v>
      </c>
      <c r="L162" s="33" t="e">
        <f>#REF!</f>
        <v>#REF!</v>
      </c>
      <c r="M162" s="33" t="e">
        <f>#REF!</f>
        <v>#REF!</v>
      </c>
    </row>
    <row r="163" spans="1:13" ht="23.25" x14ac:dyDescent="0.25">
      <c r="A163" s="234" t="e">
        <f>#REF!</f>
        <v>#REF!</v>
      </c>
      <c r="B163" s="234" t="e">
        <f>#REF!</f>
        <v>#REF!</v>
      </c>
      <c r="C163" s="33" t="e">
        <f>#REF!</f>
        <v>#REF!</v>
      </c>
      <c r="D163" s="33" t="e">
        <f>#REF!</f>
        <v>#REF!</v>
      </c>
      <c r="E163" s="33" t="e">
        <f>#REF!</f>
        <v>#REF!</v>
      </c>
      <c r="F163" s="235" t="e">
        <f>#REF!</f>
        <v>#REF!</v>
      </c>
      <c r="G163" s="33" t="e">
        <f>#REF!</f>
        <v>#REF!</v>
      </c>
      <c r="H163" s="33" t="e">
        <f>#REF!</f>
        <v>#REF!</v>
      </c>
      <c r="I163" s="33" t="e">
        <f>#REF!</f>
        <v>#REF!</v>
      </c>
      <c r="J163" s="33" t="e">
        <f>#REF!</f>
        <v>#REF!</v>
      </c>
      <c r="K163" s="33" t="e">
        <f>#REF!</f>
        <v>#REF!</v>
      </c>
      <c r="L163" s="33" t="e">
        <f>#REF!</f>
        <v>#REF!</v>
      </c>
      <c r="M163" s="33" t="e">
        <f>#REF!</f>
        <v>#REF!</v>
      </c>
    </row>
    <row r="164" spans="1:13" ht="23.25" x14ac:dyDescent="0.25">
      <c r="A164" s="234" t="e">
        <f>#REF!</f>
        <v>#REF!</v>
      </c>
      <c r="B164" s="234" t="e">
        <f>#REF!</f>
        <v>#REF!</v>
      </c>
      <c r="C164" s="33" t="e">
        <f>#REF!</f>
        <v>#REF!</v>
      </c>
      <c r="D164" s="33" t="e">
        <f>#REF!</f>
        <v>#REF!</v>
      </c>
      <c r="E164" s="33" t="e">
        <f>#REF!</f>
        <v>#REF!</v>
      </c>
      <c r="F164" s="235" t="e">
        <f>#REF!</f>
        <v>#REF!</v>
      </c>
      <c r="G164" s="33" t="e">
        <f>#REF!</f>
        <v>#REF!</v>
      </c>
      <c r="H164" s="33" t="e">
        <f>#REF!</f>
        <v>#REF!</v>
      </c>
      <c r="I164" s="33" t="e">
        <f>#REF!</f>
        <v>#REF!</v>
      </c>
      <c r="J164" s="33" t="e">
        <f>#REF!</f>
        <v>#REF!</v>
      </c>
      <c r="K164" s="33" t="e">
        <f>#REF!</f>
        <v>#REF!</v>
      </c>
      <c r="L164" s="33" t="e">
        <f>#REF!</f>
        <v>#REF!</v>
      </c>
      <c r="M164" s="33" t="e">
        <f>#REF!</f>
        <v>#REF!</v>
      </c>
    </row>
    <row r="165" spans="1:13" ht="23.25" x14ac:dyDescent="0.25">
      <c r="A165" s="234" t="e">
        <f>#REF!</f>
        <v>#REF!</v>
      </c>
      <c r="B165" s="234" t="e">
        <f>#REF!</f>
        <v>#REF!</v>
      </c>
      <c r="C165" s="33" t="e">
        <f>#REF!</f>
        <v>#REF!</v>
      </c>
      <c r="D165" s="33" t="e">
        <f>#REF!</f>
        <v>#REF!</v>
      </c>
      <c r="E165" s="33" t="e">
        <f>#REF!</f>
        <v>#REF!</v>
      </c>
      <c r="F165" s="235" t="e">
        <f>#REF!</f>
        <v>#REF!</v>
      </c>
      <c r="G165" s="33" t="e">
        <f>#REF!</f>
        <v>#REF!</v>
      </c>
      <c r="H165" s="33" t="e">
        <f>#REF!</f>
        <v>#REF!</v>
      </c>
      <c r="I165" s="33" t="e">
        <f>#REF!</f>
        <v>#REF!</v>
      </c>
      <c r="J165" s="33" t="e">
        <f>#REF!</f>
        <v>#REF!</v>
      </c>
      <c r="K165" s="33" t="e">
        <f>#REF!</f>
        <v>#REF!</v>
      </c>
      <c r="L165" s="33" t="e">
        <f>#REF!</f>
        <v>#REF!</v>
      </c>
      <c r="M165" s="33" t="e">
        <f>#REF!</f>
        <v>#REF!</v>
      </c>
    </row>
    <row r="166" spans="1:13" ht="23.25" x14ac:dyDescent="0.25">
      <c r="A166" s="234" t="e">
        <f>#REF!</f>
        <v>#REF!</v>
      </c>
      <c r="B166" s="234" t="e">
        <f>#REF!</f>
        <v>#REF!</v>
      </c>
      <c r="C166" s="33" t="e">
        <f>#REF!</f>
        <v>#REF!</v>
      </c>
      <c r="D166" s="33" t="e">
        <f>#REF!</f>
        <v>#REF!</v>
      </c>
      <c r="E166" s="33" t="e">
        <f>#REF!</f>
        <v>#REF!</v>
      </c>
      <c r="F166" s="235" t="e">
        <f>#REF!</f>
        <v>#REF!</v>
      </c>
      <c r="G166" s="33" t="e">
        <f>#REF!</f>
        <v>#REF!</v>
      </c>
      <c r="H166" s="33" t="e">
        <f>#REF!</f>
        <v>#REF!</v>
      </c>
      <c r="I166" s="33" t="e">
        <f>#REF!</f>
        <v>#REF!</v>
      </c>
      <c r="J166" s="33" t="e">
        <f>#REF!</f>
        <v>#REF!</v>
      </c>
      <c r="K166" s="33" t="e">
        <f>#REF!</f>
        <v>#REF!</v>
      </c>
      <c r="L166" s="33" t="e">
        <f>#REF!</f>
        <v>#REF!</v>
      </c>
      <c r="M166" s="33" t="e">
        <f>#REF!</f>
        <v>#REF!</v>
      </c>
    </row>
    <row r="167" spans="1:13" ht="23.25" x14ac:dyDescent="0.25">
      <c r="A167" s="234" t="e">
        <f>#REF!</f>
        <v>#REF!</v>
      </c>
      <c r="B167" s="234" t="e">
        <f>#REF!</f>
        <v>#REF!</v>
      </c>
      <c r="C167" s="33" t="e">
        <f>#REF!</f>
        <v>#REF!</v>
      </c>
      <c r="D167" s="33" t="e">
        <f>#REF!</f>
        <v>#REF!</v>
      </c>
      <c r="E167" s="33" t="e">
        <f>#REF!</f>
        <v>#REF!</v>
      </c>
      <c r="F167" s="235" t="e">
        <f>#REF!</f>
        <v>#REF!</v>
      </c>
      <c r="G167" s="33" t="e">
        <f>#REF!</f>
        <v>#REF!</v>
      </c>
      <c r="H167" s="33" t="e">
        <f>#REF!</f>
        <v>#REF!</v>
      </c>
      <c r="I167" s="33" t="e">
        <f>#REF!</f>
        <v>#REF!</v>
      </c>
      <c r="J167" s="33" t="e">
        <f>#REF!</f>
        <v>#REF!</v>
      </c>
      <c r="K167" s="33" t="e">
        <f>#REF!</f>
        <v>#REF!</v>
      </c>
      <c r="L167" s="33" t="e">
        <f>#REF!</f>
        <v>#REF!</v>
      </c>
      <c r="M167" s="33" t="e">
        <f>#REF!</f>
        <v>#REF!</v>
      </c>
    </row>
    <row r="168" spans="1:13" ht="23.25" x14ac:dyDescent="0.25">
      <c r="A168" s="234" t="e">
        <f>#REF!</f>
        <v>#REF!</v>
      </c>
      <c r="B168" s="234" t="e">
        <f>#REF!</f>
        <v>#REF!</v>
      </c>
      <c r="C168" s="33" t="e">
        <f>#REF!</f>
        <v>#REF!</v>
      </c>
      <c r="D168" s="33" t="e">
        <f>#REF!</f>
        <v>#REF!</v>
      </c>
      <c r="E168" s="33" t="e">
        <f>#REF!</f>
        <v>#REF!</v>
      </c>
      <c r="F168" s="235" t="e">
        <f>#REF!</f>
        <v>#REF!</v>
      </c>
      <c r="G168" s="33" t="e">
        <f>#REF!</f>
        <v>#REF!</v>
      </c>
      <c r="H168" s="33" t="e">
        <f>#REF!</f>
        <v>#REF!</v>
      </c>
      <c r="I168" s="33" t="e">
        <f>#REF!</f>
        <v>#REF!</v>
      </c>
      <c r="J168" s="33" t="e">
        <f>#REF!</f>
        <v>#REF!</v>
      </c>
      <c r="K168" s="33" t="e">
        <f>#REF!</f>
        <v>#REF!</v>
      </c>
      <c r="L168" s="33" t="e">
        <f>#REF!</f>
        <v>#REF!</v>
      </c>
      <c r="M168" s="33" t="e">
        <f>#REF!</f>
        <v>#REF!</v>
      </c>
    </row>
    <row r="169" spans="1:13" ht="23.25" x14ac:dyDescent="0.25">
      <c r="A169" s="234" t="e">
        <f>#REF!</f>
        <v>#REF!</v>
      </c>
      <c r="B169" s="234" t="e">
        <f>#REF!</f>
        <v>#REF!</v>
      </c>
      <c r="C169" s="33" t="e">
        <f>#REF!</f>
        <v>#REF!</v>
      </c>
      <c r="D169" s="33" t="e">
        <f>#REF!</f>
        <v>#REF!</v>
      </c>
      <c r="E169" s="33" t="e">
        <f>#REF!</f>
        <v>#REF!</v>
      </c>
      <c r="F169" s="235" t="e">
        <f>#REF!</f>
        <v>#REF!</v>
      </c>
      <c r="G169" s="33" t="e">
        <f>#REF!</f>
        <v>#REF!</v>
      </c>
      <c r="H169" s="33" t="e">
        <f>#REF!</f>
        <v>#REF!</v>
      </c>
      <c r="I169" s="33" t="e">
        <f>#REF!</f>
        <v>#REF!</v>
      </c>
      <c r="J169" s="33" t="e">
        <f>#REF!</f>
        <v>#REF!</v>
      </c>
      <c r="K169" s="33" t="e">
        <f>#REF!</f>
        <v>#REF!</v>
      </c>
      <c r="L169" s="33" t="e">
        <f>#REF!</f>
        <v>#REF!</v>
      </c>
      <c r="M169" s="33" t="e">
        <f>#REF!</f>
        <v>#REF!</v>
      </c>
    </row>
    <row r="170" spans="1:13" ht="23.25" x14ac:dyDescent="0.25">
      <c r="A170" s="234" t="e">
        <f>#REF!</f>
        <v>#REF!</v>
      </c>
      <c r="B170" s="234" t="e">
        <f>#REF!</f>
        <v>#REF!</v>
      </c>
      <c r="C170" s="33" t="e">
        <f>#REF!</f>
        <v>#REF!</v>
      </c>
      <c r="D170" s="33" t="e">
        <f>#REF!</f>
        <v>#REF!</v>
      </c>
      <c r="E170" s="33" t="e">
        <f>#REF!</f>
        <v>#REF!</v>
      </c>
      <c r="F170" s="235" t="e">
        <f>#REF!</f>
        <v>#REF!</v>
      </c>
      <c r="G170" s="33" t="e">
        <f>#REF!</f>
        <v>#REF!</v>
      </c>
      <c r="H170" s="33" t="e">
        <f>#REF!</f>
        <v>#REF!</v>
      </c>
      <c r="I170" s="33" t="e">
        <f>#REF!</f>
        <v>#REF!</v>
      </c>
      <c r="J170" s="33" t="e">
        <f>#REF!</f>
        <v>#REF!</v>
      </c>
      <c r="K170" s="33" t="e">
        <f>#REF!</f>
        <v>#REF!</v>
      </c>
      <c r="L170" s="33" t="e">
        <f>#REF!</f>
        <v>#REF!</v>
      </c>
      <c r="M170" s="33" t="e">
        <f>#REF!</f>
        <v>#REF!</v>
      </c>
    </row>
    <row r="171" spans="1:13" ht="23.25" x14ac:dyDescent="0.25">
      <c r="A171" s="234" t="e">
        <f>#REF!</f>
        <v>#REF!</v>
      </c>
      <c r="B171" s="234" t="e">
        <f>#REF!</f>
        <v>#REF!</v>
      </c>
      <c r="C171" s="33" t="e">
        <f>#REF!</f>
        <v>#REF!</v>
      </c>
      <c r="D171" s="33" t="e">
        <f>#REF!</f>
        <v>#REF!</v>
      </c>
      <c r="E171" s="33" t="e">
        <f>#REF!</f>
        <v>#REF!</v>
      </c>
      <c r="F171" s="235" t="e">
        <f>#REF!</f>
        <v>#REF!</v>
      </c>
      <c r="G171" s="33" t="e">
        <f>#REF!</f>
        <v>#REF!</v>
      </c>
      <c r="H171" s="33" t="e">
        <f>#REF!</f>
        <v>#REF!</v>
      </c>
      <c r="I171" s="33" t="e">
        <f>#REF!</f>
        <v>#REF!</v>
      </c>
      <c r="J171" s="33" t="e">
        <f>#REF!</f>
        <v>#REF!</v>
      </c>
      <c r="K171" s="33" t="e">
        <f>#REF!</f>
        <v>#REF!</v>
      </c>
      <c r="L171" s="33" t="e">
        <f>#REF!</f>
        <v>#REF!</v>
      </c>
      <c r="M171" s="33" t="e">
        <f>#REF!</f>
        <v>#REF!</v>
      </c>
    </row>
    <row r="172" spans="1:13" ht="23.25" x14ac:dyDescent="0.25">
      <c r="A172" s="234" t="e">
        <f>#REF!</f>
        <v>#REF!</v>
      </c>
      <c r="B172" s="234" t="e">
        <f>#REF!</f>
        <v>#REF!</v>
      </c>
      <c r="C172" s="33" t="e">
        <f>#REF!</f>
        <v>#REF!</v>
      </c>
      <c r="D172" s="33" t="e">
        <f>#REF!</f>
        <v>#REF!</v>
      </c>
      <c r="E172" s="33" t="e">
        <f>#REF!</f>
        <v>#REF!</v>
      </c>
      <c r="F172" s="235" t="e">
        <f>#REF!</f>
        <v>#REF!</v>
      </c>
      <c r="G172" s="33" t="e">
        <f>#REF!</f>
        <v>#REF!</v>
      </c>
      <c r="H172" s="33" t="e">
        <f>#REF!</f>
        <v>#REF!</v>
      </c>
      <c r="I172" s="33" t="e">
        <f>#REF!</f>
        <v>#REF!</v>
      </c>
      <c r="J172" s="33" t="e">
        <f>#REF!</f>
        <v>#REF!</v>
      </c>
      <c r="K172" s="33" t="e">
        <f>#REF!</f>
        <v>#REF!</v>
      </c>
      <c r="L172" s="33" t="e">
        <f>#REF!</f>
        <v>#REF!</v>
      </c>
      <c r="M172" s="33" t="e">
        <f>#REF!</f>
        <v>#REF!</v>
      </c>
    </row>
    <row r="173" spans="1:13" ht="23.25" x14ac:dyDescent="0.25">
      <c r="A173" s="234" t="e">
        <f>#REF!</f>
        <v>#REF!</v>
      </c>
      <c r="B173" s="234" t="e">
        <f>#REF!</f>
        <v>#REF!</v>
      </c>
      <c r="C173" s="33" t="e">
        <f>#REF!</f>
        <v>#REF!</v>
      </c>
      <c r="D173" s="33" t="e">
        <f>#REF!</f>
        <v>#REF!</v>
      </c>
      <c r="E173" s="33" t="e">
        <f>#REF!</f>
        <v>#REF!</v>
      </c>
      <c r="F173" s="235" t="e">
        <f>#REF!</f>
        <v>#REF!</v>
      </c>
      <c r="G173" s="33" t="e">
        <f>#REF!</f>
        <v>#REF!</v>
      </c>
      <c r="H173" s="33" t="e">
        <f>#REF!</f>
        <v>#REF!</v>
      </c>
      <c r="I173" s="33" t="e">
        <f>#REF!</f>
        <v>#REF!</v>
      </c>
      <c r="J173" s="33" t="e">
        <f>#REF!</f>
        <v>#REF!</v>
      </c>
      <c r="K173" s="33" t="e">
        <f>#REF!</f>
        <v>#REF!</v>
      </c>
      <c r="L173" s="33" t="e">
        <f>#REF!</f>
        <v>#REF!</v>
      </c>
      <c r="M173" s="33" t="e">
        <f>#REF!</f>
        <v>#REF!</v>
      </c>
    </row>
    <row r="174" spans="1:13" ht="23.25" x14ac:dyDescent="0.25">
      <c r="A174" s="234" t="e">
        <f>#REF!</f>
        <v>#REF!</v>
      </c>
      <c r="B174" s="234" t="e">
        <f>#REF!</f>
        <v>#REF!</v>
      </c>
      <c r="C174" s="33" t="e">
        <f>#REF!</f>
        <v>#REF!</v>
      </c>
      <c r="D174" s="33" t="e">
        <f>#REF!</f>
        <v>#REF!</v>
      </c>
      <c r="E174" s="33" t="e">
        <f>#REF!</f>
        <v>#REF!</v>
      </c>
      <c r="F174" s="235" t="e">
        <f>#REF!</f>
        <v>#REF!</v>
      </c>
      <c r="G174" s="33" t="e">
        <f>#REF!</f>
        <v>#REF!</v>
      </c>
      <c r="H174" s="33" t="e">
        <f>#REF!</f>
        <v>#REF!</v>
      </c>
      <c r="I174" s="33" t="e">
        <f>#REF!</f>
        <v>#REF!</v>
      </c>
      <c r="J174" s="33" t="e">
        <f>#REF!</f>
        <v>#REF!</v>
      </c>
      <c r="K174" s="33" t="e">
        <f>#REF!</f>
        <v>#REF!</v>
      </c>
      <c r="L174" s="33" t="e">
        <f>#REF!</f>
        <v>#REF!</v>
      </c>
      <c r="M174" s="33" t="e">
        <f>#REF!</f>
        <v>#REF!</v>
      </c>
    </row>
    <row r="175" spans="1:13" ht="23.25" x14ac:dyDescent="0.25">
      <c r="A175" s="234" t="e">
        <f>#REF!</f>
        <v>#REF!</v>
      </c>
      <c r="B175" s="234" t="e">
        <f>#REF!</f>
        <v>#REF!</v>
      </c>
      <c r="C175" s="33" t="e">
        <f>#REF!</f>
        <v>#REF!</v>
      </c>
      <c r="D175" s="33" t="e">
        <f>#REF!</f>
        <v>#REF!</v>
      </c>
      <c r="E175" s="33" t="e">
        <f>#REF!</f>
        <v>#REF!</v>
      </c>
      <c r="F175" s="235" t="e">
        <f>#REF!</f>
        <v>#REF!</v>
      </c>
      <c r="G175" s="33" t="e">
        <f>#REF!</f>
        <v>#REF!</v>
      </c>
      <c r="H175" s="33" t="e">
        <f>#REF!</f>
        <v>#REF!</v>
      </c>
      <c r="I175" s="33" t="e">
        <f>#REF!</f>
        <v>#REF!</v>
      </c>
      <c r="J175" s="33" t="e">
        <f>#REF!</f>
        <v>#REF!</v>
      </c>
      <c r="K175" s="33" t="e">
        <f>#REF!</f>
        <v>#REF!</v>
      </c>
      <c r="L175" s="33" t="e">
        <f>#REF!</f>
        <v>#REF!</v>
      </c>
      <c r="M175" s="33" t="e">
        <f>#REF!</f>
        <v>#REF!</v>
      </c>
    </row>
    <row r="176" spans="1:13" ht="23.25" x14ac:dyDescent="0.25">
      <c r="A176" s="234" t="e">
        <f>#REF!</f>
        <v>#REF!</v>
      </c>
      <c r="B176" s="234" t="e">
        <f>#REF!</f>
        <v>#REF!</v>
      </c>
      <c r="C176" s="33" t="e">
        <f>#REF!</f>
        <v>#REF!</v>
      </c>
      <c r="D176" s="33" t="e">
        <f>#REF!</f>
        <v>#REF!</v>
      </c>
      <c r="E176" s="33" t="e">
        <f>#REF!</f>
        <v>#REF!</v>
      </c>
      <c r="F176" s="235" t="e">
        <f>#REF!</f>
        <v>#REF!</v>
      </c>
      <c r="G176" s="33" t="e">
        <f>#REF!</f>
        <v>#REF!</v>
      </c>
      <c r="H176" s="33" t="e">
        <f>#REF!</f>
        <v>#REF!</v>
      </c>
      <c r="I176" s="33" t="e">
        <f>#REF!</f>
        <v>#REF!</v>
      </c>
      <c r="J176" s="33" t="e">
        <f>#REF!</f>
        <v>#REF!</v>
      </c>
      <c r="K176" s="33" t="e">
        <f>#REF!</f>
        <v>#REF!</v>
      </c>
      <c r="L176" s="33" t="e">
        <f>#REF!</f>
        <v>#REF!</v>
      </c>
      <c r="M176" s="33" t="e">
        <f>#REF!</f>
        <v>#REF!</v>
      </c>
    </row>
    <row r="177" spans="1:13" ht="23.25" x14ac:dyDescent="0.25">
      <c r="A177" s="234" t="e">
        <f>#REF!</f>
        <v>#REF!</v>
      </c>
      <c r="B177" s="234" t="e">
        <f>#REF!</f>
        <v>#REF!</v>
      </c>
      <c r="C177" s="33" t="e">
        <f>#REF!</f>
        <v>#REF!</v>
      </c>
      <c r="D177" s="33" t="e">
        <f>#REF!</f>
        <v>#REF!</v>
      </c>
      <c r="E177" s="33" t="e">
        <f>#REF!</f>
        <v>#REF!</v>
      </c>
      <c r="F177" s="235" t="e">
        <f>#REF!</f>
        <v>#REF!</v>
      </c>
      <c r="G177" s="33" t="e">
        <f>#REF!</f>
        <v>#REF!</v>
      </c>
      <c r="H177" s="33" t="e">
        <f>#REF!</f>
        <v>#REF!</v>
      </c>
      <c r="I177" s="33" t="e">
        <f>#REF!</f>
        <v>#REF!</v>
      </c>
      <c r="J177" s="33" t="e">
        <f>#REF!</f>
        <v>#REF!</v>
      </c>
      <c r="K177" s="33" t="e">
        <f>#REF!</f>
        <v>#REF!</v>
      </c>
      <c r="L177" s="33" t="e">
        <f>#REF!</f>
        <v>#REF!</v>
      </c>
      <c r="M177" s="33" t="e">
        <f>#REF!</f>
        <v>#REF!</v>
      </c>
    </row>
    <row r="178" spans="1:13" ht="23.25" x14ac:dyDescent="0.25">
      <c r="A178" s="234" t="e">
        <f>#REF!</f>
        <v>#REF!</v>
      </c>
      <c r="B178" s="234" t="e">
        <f>#REF!</f>
        <v>#REF!</v>
      </c>
      <c r="C178" s="33" t="e">
        <f>#REF!</f>
        <v>#REF!</v>
      </c>
      <c r="D178" s="33" t="e">
        <f>#REF!</f>
        <v>#REF!</v>
      </c>
      <c r="E178" s="33" t="e">
        <f>#REF!</f>
        <v>#REF!</v>
      </c>
      <c r="F178" s="235" t="e">
        <f>#REF!</f>
        <v>#REF!</v>
      </c>
      <c r="G178" s="33" t="e">
        <f>#REF!</f>
        <v>#REF!</v>
      </c>
      <c r="H178" s="33" t="e">
        <f>#REF!</f>
        <v>#REF!</v>
      </c>
      <c r="I178" s="33" t="e">
        <f>#REF!</f>
        <v>#REF!</v>
      </c>
      <c r="J178" s="33" t="e">
        <f>#REF!</f>
        <v>#REF!</v>
      </c>
      <c r="K178" s="33" t="e">
        <f>#REF!</f>
        <v>#REF!</v>
      </c>
      <c r="L178" s="33" t="e">
        <f>#REF!</f>
        <v>#REF!</v>
      </c>
      <c r="M178" s="33" t="e">
        <f>#REF!</f>
        <v>#REF!</v>
      </c>
    </row>
    <row r="179" spans="1:13" ht="23.25" x14ac:dyDescent="0.25">
      <c r="A179" s="234" t="e">
        <f>#REF!</f>
        <v>#REF!</v>
      </c>
      <c r="B179" s="234" t="e">
        <f>#REF!</f>
        <v>#REF!</v>
      </c>
      <c r="C179" s="33" t="e">
        <f>#REF!</f>
        <v>#REF!</v>
      </c>
      <c r="D179" s="33" t="e">
        <f>#REF!</f>
        <v>#REF!</v>
      </c>
      <c r="E179" s="33" t="e">
        <f>#REF!</f>
        <v>#REF!</v>
      </c>
      <c r="F179" s="235" t="e">
        <f>#REF!</f>
        <v>#REF!</v>
      </c>
      <c r="G179" s="33" t="e">
        <f>#REF!</f>
        <v>#REF!</v>
      </c>
      <c r="H179" s="33" t="e">
        <f>#REF!</f>
        <v>#REF!</v>
      </c>
      <c r="I179" s="33" t="e">
        <f>#REF!</f>
        <v>#REF!</v>
      </c>
      <c r="J179" s="33" t="e">
        <f>#REF!</f>
        <v>#REF!</v>
      </c>
      <c r="K179" s="33" t="e">
        <f>#REF!</f>
        <v>#REF!</v>
      </c>
      <c r="L179" s="33" t="e">
        <f>#REF!</f>
        <v>#REF!</v>
      </c>
      <c r="M179" s="33" t="e">
        <f>#REF!</f>
        <v>#REF!</v>
      </c>
    </row>
    <row r="180" spans="1:13" ht="23.25" x14ac:dyDescent="0.25">
      <c r="A180" s="234" t="e">
        <f>#REF!</f>
        <v>#REF!</v>
      </c>
      <c r="B180" s="234" t="e">
        <f>#REF!</f>
        <v>#REF!</v>
      </c>
      <c r="C180" s="33" t="e">
        <f>#REF!</f>
        <v>#REF!</v>
      </c>
      <c r="D180" s="33" t="e">
        <f>#REF!</f>
        <v>#REF!</v>
      </c>
      <c r="E180" s="33" t="e">
        <f>#REF!</f>
        <v>#REF!</v>
      </c>
      <c r="F180" s="235" t="e">
        <f>#REF!</f>
        <v>#REF!</v>
      </c>
      <c r="G180" s="33" t="e">
        <f>#REF!</f>
        <v>#REF!</v>
      </c>
      <c r="H180" s="33" t="e">
        <f>#REF!</f>
        <v>#REF!</v>
      </c>
      <c r="I180" s="33" t="e">
        <f>#REF!</f>
        <v>#REF!</v>
      </c>
      <c r="J180" s="33" t="e">
        <f>#REF!</f>
        <v>#REF!</v>
      </c>
      <c r="K180" s="33" t="e">
        <f>#REF!</f>
        <v>#REF!</v>
      </c>
      <c r="L180" s="33" t="e">
        <f>#REF!</f>
        <v>#REF!</v>
      </c>
      <c r="M180" s="33" t="e">
        <f>#REF!</f>
        <v>#REF!</v>
      </c>
    </row>
    <row r="181" spans="1:13" ht="23.25" x14ac:dyDescent="0.25">
      <c r="A181" s="234" t="e">
        <f>#REF!</f>
        <v>#REF!</v>
      </c>
      <c r="B181" s="234" t="e">
        <f>#REF!</f>
        <v>#REF!</v>
      </c>
      <c r="C181" s="33" t="e">
        <f>#REF!</f>
        <v>#REF!</v>
      </c>
      <c r="D181" s="33" t="e">
        <f>#REF!</f>
        <v>#REF!</v>
      </c>
      <c r="E181" s="33" t="e">
        <f>#REF!</f>
        <v>#REF!</v>
      </c>
      <c r="F181" s="235" t="e">
        <f>#REF!</f>
        <v>#REF!</v>
      </c>
      <c r="G181" s="33" t="e">
        <f>#REF!</f>
        <v>#REF!</v>
      </c>
      <c r="H181" s="33" t="e">
        <f>#REF!</f>
        <v>#REF!</v>
      </c>
      <c r="I181" s="33" t="e">
        <f>#REF!</f>
        <v>#REF!</v>
      </c>
      <c r="J181" s="33" t="e">
        <f>#REF!</f>
        <v>#REF!</v>
      </c>
      <c r="K181" s="33" t="e">
        <f>#REF!</f>
        <v>#REF!</v>
      </c>
      <c r="L181" s="33" t="e">
        <f>#REF!</f>
        <v>#REF!</v>
      </c>
      <c r="M181" s="33" t="e">
        <f>#REF!</f>
        <v>#REF!</v>
      </c>
    </row>
    <row r="182" spans="1:13" ht="23.25" x14ac:dyDescent="0.25">
      <c r="A182" s="234" t="e">
        <f>#REF!</f>
        <v>#REF!</v>
      </c>
      <c r="B182" s="234" t="e">
        <f>#REF!</f>
        <v>#REF!</v>
      </c>
      <c r="C182" s="33" t="e">
        <f>#REF!</f>
        <v>#REF!</v>
      </c>
      <c r="D182" s="33" t="e">
        <f>#REF!</f>
        <v>#REF!</v>
      </c>
      <c r="E182" s="33" t="e">
        <f>#REF!</f>
        <v>#REF!</v>
      </c>
      <c r="F182" s="235" t="e">
        <f>#REF!</f>
        <v>#REF!</v>
      </c>
      <c r="G182" s="33" t="e">
        <f>#REF!</f>
        <v>#REF!</v>
      </c>
      <c r="H182" s="33" t="e">
        <f>#REF!</f>
        <v>#REF!</v>
      </c>
      <c r="I182" s="33" t="e">
        <f>#REF!</f>
        <v>#REF!</v>
      </c>
      <c r="J182" s="33" t="e">
        <f>#REF!</f>
        <v>#REF!</v>
      </c>
      <c r="K182" s="33" t="e">
        <f>#REF!</f>
        <v>#REF!</v>
      </c>
      <c r="L182" s="33" t="e">
        <f>#REF!</f>
        <v>#REF!</v>
      </c>
      <c r="M182" s="33" t="e">
        <f>#REF!</f>
        <v>#REF!</v>
      </c>
    </row>
    <row r="183" spans="1:13" ht="23.25" x14ac:dyDescent="0.25">
      <c r="A183" s="234" t="e">
        <f>#REF!</f>
        <v>#REF!</v>
      </c>
      <c r="B183" s="234" t="e">
        <f>#REF!</f>
        <v>#REF!</v>
      </c>
      <c r="C183" s="33" t="e">
        <f>#REF!</f>
        <v>#REF!</v>
      </c>
      <c r="D183" s="33" t="e">
        <f>#REF!</f>
        <v>#REF!</v>
      </c>
      <c r="E183" s="33" t="e">
        <f>#REF!</f>
        <v>#REF!</v>
      </c>
      <c r="F183" s="235" t="e">
        <f>#REF!</f>
        <v>#REF!</v>
      </c>
      <c r="G183" s="33" t="e">
        <f>#REF!</f>
        <v>#REF!</v>
      </c>
      <c r="H183" s="33" t="e">
        <f>#REF!</f>
        <v>#REF!</v>
      </c>
      <c r="I183" s="33" t="e">
        <f>#REF!</f>
        <v>#REF!</v>
      </c>
      <c r="J183" s="33" t="e">
        <f>#REF!</f>
        <v>#REF!</v>
      </c>
      <c r="K183" s="33" t="e">
        <f>#REF!</f>
        <v>#REF!</v>
      </c>
      <c r="L183" s="33" t="e">
        <f>#REF!</f>
        <v>#REF!</v>
      </c>
      <c r="M183" s="33" t="e">
        <f>#REF!</f>
        <v>#REF!</v>
      </c>
    </row>
    <row r="184" spans="1:13" ht="23.25" x14ac:dyDescent="0.25">
      <c r="A184" s="234" t="e">
        <f>#REF!</f>
        <v>#REF!</v>
      </c>
      <c r="B184" s="234" t="e">
        <f>#REF!</f>
        <v>#REF!</v>
      </c>
      <c r="C184" s="33" t="e">
        <f>#REF!</f>
        <v>#REF!</v>
      </c>
      <c r="D184" s="33" t="e">
        <f>#REF!</f>
        <v>#REF!</v>
      </c>
      <c r="E184" s="33" t="e">
        <f>#REF!</f>
        <v>#REF!</v>
      </c>
      <c r="F184" s="235" t="e">
        <f>#REF!</f>
        <v>#REF!</v>
      </c>
      <c r="G184" s="33" t="e">
        <f>#REF!</f>
        <v>#REF!</v>
      </c>
      <c r="H184" s="33" t="e">
        <f>#REF!</f>
        <v>#REF!</v>
      </c>
      <c r="I184" s="33" t="e">
        <f>#REF!</f>
        <v>#REF!</v>
      </c>
      <c r="J184" s="33" t="e">
        <f>#REF!</f>
        <v>#REF!</v>
      </c>
      <c r="K184" s="33" t="e">
        <f>#REF!</f>
        <v>#REF!</v>
      </c>
      <c r="L184" s="33" t="e">
        <f>#REF!</f>
        <v>#REF!</v>
      </c>
      <c r="M184" s="33" t="e">
        <f>#REF!</f>
        <v>#REF!</v>
      </c>
    </row>
    <row r="185" spans="1:13" ht="23.25" x14ac:dyDescent="0.25">
      <c r="A185" s="234" t="e">
        <f>#REF!</f>
        <v>#REF!</v>
      </c>
      <c r="B185" s="234" t="e">
        <f>#REF!</f>
        <v>#REF!</v>
      </c>
      <c r="C185" s="33" t="e">
        <f>#REF!</f>
        <v>#REF!</v>
      </c>
      <c r="D185" s="33" t="e">
        <f>#REF!</f>
        <v>#REF!</v>
      </c>
      <c r="E185" s="33" t="e">
        <f>#REF!</f>
        <v>#REF!</v>
      </c>
      <c r="F185" s="235" t="e">
        <f>#REF!</f>
        <v>#REF!</v>
      </c>
      <c r="G185" s="33" t="e">
        <f>#REF!</f>
        <v>#REF!</v>
      </c>
      <c r="H185" s="33" t="e">
        <f>#REF!</f>
        <v>#REF!</v>
      </c>
      <c r="I185" s="33" t="e">
        <f>#REF!</f>
        <v>#REF!</v>
      </c>
      <c r="J185" s="33" t="e">
        <f>#REF!</f>
        <v>#REF!</v>
      </c>
      <c r="K185" s="33" t="e">
        <f>#REF!</f>
        <v>#REF!</v>
      </c>
      <c r="L185" s="33" t="e">
        <f>#REF!</f>
        <v>#REF!</v>
      </c>
      <c r="M185" s="33" t="e">
        <f>#REF!</f>
        <v>#REF!</v>
      </c>
    </row>
    <row r="186" spans="1:13" ht="23.25" x14ac:dyDescent="0.25">
      <c r="A186" s="234" t="e">
        <f>#REF!</f>
        <v>#REF!</v>
      </c>
      <c r="B186" s="234" t="e">
        <f>#REF!</f>
        <v>#REF!</v>
      </c>
      <c r="C186" s="33" t="e">
        <f>#REF!</f>
        <v>#REF!</v>
      </c>
      <c r="D186" s="33" t="e">
        <f>#REF!</f>
        <v>#REF!</v>
      </c>
      <c r="E186" s="33" t="e">
        <f>#REF!</f>
        <v>#REF!</v>
      </c>
      <c r="F186" s="235" t="e">
        <f>#REF!</f>
        <v>#REF!</v>
      </c>
      <c r="G186" s="33" t="e">
        <f>#REF!</f>
        <v>#REF!</v>
      </c>
      <c r="H186" s="33" t="e">
        <f>#REF!</f>
        <v>#REF!</v>
      </c>
      <c r="I186" s="33" t="e">
        <f>#REF!</f>
        <v>#REF!</v>
      </c>
      <c r="J186" s="33" t="e">
        <f>#REF!</f>
        <v>#REF!</v>
      </c>
      <c r="K186" s="33" t="e">
        <f>#REF!</f>
        <v>#REF!</v>
      </c>
      <c r="L186" s="33" t="e">
        <f>#REF!</f>
        <v>#REF!</v>
      </c>
      <c r="M186" s="33" t="e">
        <f>#REF!</f>
        <v>#REF!</v>
      </c>
    </row>
    <row r="187" spans="1:13" ht="23.25" x14ac:dyDescent="0.25">
      <c r="A187" s="234" t="e">
        <f>#REF!</f>
        <v>#REF!</v>
      </c>
      <c r="B187" s="234" t="e">
        <f>#REF!</f>
        <v>#REF!</v>
      </c>
      <c r="C187" s="33" t="e">
        <f>#REF!</f>
        <v>#REF!</v>
      </c>
      <c r="D187" s="33" t="e">
        <f>#REF!</f>
        <v>#REF!</v>
      </c>
      <c r="E187" s="33" t="e">
        <f>#REF!</f>
        <v>#REF!</v>
      </c>
      <c r="F187" s="235" t="e">
        <f>#REF!</f>
        <v>#REF!</v>
      </c>
      <c r="G187" s="33" t="e">
        <f>#REF!</f>
        <v>#REF!</v>
      </c>
      <c r="H187" s="33" t="e">
        <f>#REF!</f>
        <v>#REF!</v>
      </c>
      <c r="I187" s="33" t="e">
        <f>#REF!</f>
        <v>#REF!</v>
      </c>
      <c r="J187" s="33" t="e">
        <f>#REF!</f>
        <v>#REF!</v>
      </c>
      <c r="K187" s="33" t="e">
        <f>#REF!</f>
        <v>#REF!</v>
      </c>
      <c r="L187" s="33" t="e">
        <f>#REF!</f>
        <v>#REF!</v>
      </c>
      <c r="M187" s="33" t="e">
        <f>#REF!</f>
        <v>#REF!</v>
      </c>
    </row>
    <row r="188" spans="1:13" ht="23.25" x14ac:dyDescent="0.25">
      <c r="A188" s="234" t="e">
        <f>#REF!</f>
        <v>#REF!</v>
      </c>
      <c r="B188" s="234" t="e">
        <f>#REF!</f>
        <v>#REF!</v>
      </c>
      <c r="C188" s="33" t="e">
        <f>#REF!</f>
        <v>#REF!</v>
      </c>
      <c r="D188" s="33" t="e">
        <f>#REF!</f>
        <v>#REF!</v>
      </c>
      <c r="E188" s="33" t="e">
        <f>#REF!</f>
        <v>#REF!</v>
      </c>
      <c r="F188" s="235" t="e">
        <f>#REF!</f>
        <v>#REF!</v>
      </c>
      <c r="G188" s="33" t="e">
        <f>#REF!</f>
        <v>#REF!</v>
      </c>
      <c r="H188" s="33" t="e">
        <f>#REF!</f>
        <v>#REF!</v>
      </c>
      <c r="I188" s="33" t="e">
        <f>#REF!</f>
        <v>#REF!</v>
      </c>
      <c r="J188" s="33" t="e">
        <f>#REF!</f>
        <v>#REF!</v>
      </c>
      <c r="K188" s="33" t="e">
        <f>#REF!</f>
        <v>#REF!</v>
      </c>
      <c r="L188" s="33" t="e">
        <f>#REF!</f>
        <v>#REF!</v>
      </c>
      <c r="M188" s="33" t="e">
        <f>#REF!</f>
        <v>#REF!</v>
      </c>
    </row>
    <row r="189" spans="1:13" ht="23.25" x14ac:dyDescent="0.25">
      <c r="A189" s="234" t="e">
        <f>#REF!</f>
        <v>#REF!</v>
      </c>
      <c r="B189" s="234" t="e">
        <f>#REF!</f>
        <v>#REF!</v>
      </c>
      <c r="C189" s="33" t="e">
        <f>#REF!</f>
        <v>#REF!</v>
      </c>
      <c r="D189" s="33" t="e">
        <f>#REF!</f>
        <v>#REF!</v>
      </c>
      <c r="E189" s="33" t="e">
        <f>#REF!</f>
        <v>#REF!</v>
      </c>
      <c r="F189" s="235" t="e">
        <f>#REF!</f>
        <v>#REF!</v>
      </c>
      <c r="G189" s="33" t="e">
        <f>#REF!</f>
        <v>#REF!</v>
      </c>
      <c r="H189" s="33" t="e">
        <f>#REF!</f>
        <v>#REF!</v>
      </c>
      <c r="I189" s="33" t="e">
        <f>#REF!</f>
        <v>#REF!</v>
      </c>
      <c r="J189" s="33" t="e">
        <f>#REF!</f>
        <v>#REF!</v>
      </c>
      <c r="K189" s="33" t="e">
        <f>#REF!</f>
        <v>#REF!</v>
      </c>
      <c r="L189" s="33" t="e">
        <f>#REF!</f>
        <v>#REF!</v>
      </c>
      <c r="M189" s="33" t="e">
        <f>#REF!</f>
        <v>#REF!</v>
      </c>
    </row>
    <row r="190" spans="1:13" ht="23.25" x14ac:dyDescent="0.25">
      <c r="A190" s="234" t="e">
        <f>#REF!</f>
        <v>#REF!</v>
      </c>
      <c r="B190" s="234" t="e">
        <f>#REF!</f>
        <v>#REF!</v>
      </c>
      <c r="C190" s="33" t="e">
        <f>#REF!</f>
        <v>#REF!</v>
      </c>
      <c r="D190" s="33" t="e">
        <f>#REF!</f>
        <v>#REF!</v>
      </c>
      <c r="E190" s="33" t="e">
        <f>#REF!</f>
        <v>#REF!</v>
      </c>
      <c r="F190" s="235" t="e">
        <f>#REF!</f>
        <v>#REF!</v>
      </c>
      <c r="G190" s="33" t="e">
        <f>#REF!</f>
        <v>#REF!</v>
      </c>
      <c r="H190" s="33" t="e">
        <f>#REF!</f>
        <v>#REF!</v>
      </c>
      <c r="I190" s="33" t="e">
        <f>#REF!</f>
        <v>#REF!</v>
      </c>
      <c r="J190" s="33" t="e">
        <f>#REF!</f>
        <v>#REF!</v>
      </c>
      <c r="K190" s="33" t="e">
        <f>#REF!</f>
        <v>#REF!</v>
      </c>
      <c r="L190" s="33" t="e">
        <f>#REF!</f>
        <v>#REF!</v>
      </c>
      <c r="M190" s="33" t="e">
        <f>#REF!</f>
        <v>#REF!</v>
      </c>
    </row>
    <row r="191" spans="1:13" ht="23.25" x14ac:dyDescent="0.25">
      <c r="A191" s="234" t="e">
        <f>#REF!</f>
        <v>#REF!</v>
      </c>
      <c r="B191" s="234" t="e">
        <f>#REF!</f>
        <v>#REF!</v>
      </c>
      <c r="C191" s="33" t="e">
        <f>#REF!</f>
        <v>#REF!</v>
      </c>
      <c r="D191" s="33" t="e">
        <f>#REF!</f>
        <v>#REF!</v>
      </c>
      <c r="E191" s="33" t="e">
        <f>#REF!</f>
        <v>#REF!</v>
      </c>
      <c r="F191" s="235" t="e">
        <f>#REF!</f>
        <v>#REF!</v>
      </c>
      <c r="G191" s="33" t="e">
        <f>#REF!</f>
        <v>#REF!</v>
      </c>
      <c r="H191" s="33" t="e">
        <f>#REF!</f>
        <v>#REF!</v>
      </c>
      <c r="I191" s="33" t="e">
        <f>#REF!</f>
        <v>#REF!</v>
      </c>
      <c r="J191" s="33" t="e">
        <f>#REF!</f>
        <v>#REF!</v>
      </c>
      <c r="K191" s="33" t="e">
        <f>#REF!</f>
        <v>#REF!</v>
      </c>
      <c r="L191" s="33" t="e">
        <f>#REF!</f>
        <v>#REF!</v>
      </c>
      <c r="M191" s="33" t="e">
        <f>#REF!</f>
        <v>#REF!</v>
      </c>
    </row>
    <row r="192" spans="1:13" ht="23.25" x14ac:dyDescent="0.25">
      <c r="A192" s="234" t="e">
        <f>#REF!</f>
        <v>#REF!</v>
      </c>
      <c r="B192" s="234" t="e">
        <f>#REF!</f>
        <v>#REF!</v>
      </c>
      <c r="C192" s="33" t="e">
        <f>#REF!</f>
        <v>#REF!</v>
      </c>
      <c r="D192" s="33" t="e">
        <f>#REF!</f>
        <v>#REF!</v>
      </c>
      <c r="E192" s="33" t="e">
        <f>#REF!</f>
        <v>#REF!</v>
      </c>
      <c r="F192" s="235" t="e">
        <f>#REF!</f>
        <v>#REF!</v>
      </c>
      <c r="G192" s="33" t="e">
        <f>#REF!</f>
        <v>#REF!</v>
      </c>
      <c r="H192" s="33" t="e">
        <f>#REF!</f>
        <v>#REF!</v>
      </c>
      <c r="I192" s="33" t="e">
        <f>#REF!</f>
        <v>#REF!</v>
      </c>
      <c r="J192" s="33" t="e">
        <f>#REF!</f>
        <v>#REF!</v>
      </c>
      <c r="K192" s="33" t="e">
        <f>#REF!</f>
        <v>#REF!</v>
      </c>
      <c r="L192" s="33" t="e">
        <f>#REF!</f>
        <v>#REF!</v>
      </c>
      <c r="M192" s="33" t="e">
        <f>#REF!</f>
        <v>#REF!</v>
      </c>
    </row>
    <row r="193" spans="1:13" ht="23.25" x14ac:dyDescent="0.25">
      <c r="A193" s="234" t="e">
        <f>#REF!</f>
        <v>#REF!</v>
      </c>
      <c r="B193" s="234" t="e">
        <f>#REF!</f>
        <v>#REF!</v>
      </c>
      <c r="C193" s="33" t="e">
        <f>#REF!</f>
        <v>#REF!</v>
      </c>
      <c r="D193" s="33" t="e">
        <f>#REF!</f>
        <v>#REF!</v>
      </c>
      <c r="E193" s="33" t="e">
        <f>#REF!</f>
        <v>#REF!</v>
      </c>
      <c r="F193" s="235" t="e">
        <f>#REF!</f>
        <v>#REF!</v>
      </c>
      <c r="G193" s="33" t="e">
        <f>#REF!</f>
        <v>#REF!</v>
      </c>
      <c r="H193" s="33" t="e">
        <f>#REF!</f>
        <v>#REF!</v>
      </c>
      <c r="I193" s="33" t="e">
        <f>#REF!</f>
        <v>#REF!</v>
      </c>
      <c r="J193" s="33" t="e">
        <f>#REF!</f>
        <v>#REF!</v>
      </c>
      <c r="K193" s="33" t="e">
        <f>#REF!</f>
        <v>#REF!</v>
      </c>
      <c r="L193" s="33" t="e">
        <f>#REF!</f>
        <v>#REF!</v>
      </c>
      <c r="M193" s="33" t="e">
        <f>#REF!</f>
        <v>#REF!</v>
      </c>
    </row>
    <row r="194" spans="1:13" ht="23.25" x14ac:dyDescent="0.25">
      <c r="A194" s="234" t="e">
        <f>#REF!</f>
        <v>#REF!</v>
      </c>
      <c r="B194" s="234" t="e">
        <f>#REF!</f>
        <v>#REF!</v>
      </c>
      <c r="C194" s="33" t="e">
        <f>#REF!</f>
        <v>#REF!</v>
      </c>
      <c r="D194" s="33" t="e">
        <f>#REF!</f>
        <v>#REF!</v>
      </c>
      <c r="E194" s="33" t="e">
        <f>#REF!</f>
        <v>#REF!</v>
      </c>
      <c r="F194" s="235" t="e">
        <f>#REF!</f>
        <v>#REF!</v>
      </c>
      <c r="G194" s="33" t="e">
        <f>#REF!</f>
        <v>#REF!</v>
      </c>
      <c r="H194" s="33" t="e">
        <f>#REF!</f>
        <v>#REF!</v>
      </c>
      <c r="I194" s="33" t="e">
        <f>#REF!</f>
        <v>#REF!</v>
      </c>
      <c r="J194" s="33" t="e">
        <f>#REF!</f>
        <v>#REF!</v>
      </c>
      <c r="K194" s="33" t="e">
        <f>#REF!</f>
        <v>#REF!</v>
      </c>
      <c r="L194" s="33" t="e">
        <f>#REF!</f>
        <v>#REF!</v>
      </c>
      <c r="M194" s="33" t="e">
        <f>#REF!</f>
        <v>#REF!</v>
      </c>
    </row>
    <row r="195" spans="1:13" ht="23.25" x14ac:dyDescent="0.25">
      <c r="A195" s="234" t="e">
        <f>#REF!</f>
        <v>#REF!</v>
      </c>
      <c r="B195" s="234" t="e">
        <f>#REF!</f>
        <v>#REF!</v>
      </c>
      <c r="C195" s="33" t="e">
        <f>#REF!</f>
        <v>#REF!</v>
      </c>
      <c r="D195" s="33" t="e">
        <f>#REF!</f>
        <v>#REF!</v>
      </c>
      <c r="E195" s="33" t="e">
        <f>#REF!</f>
        <v>#REF!</v>
      </c>
      <c r="F195" s="235" t="e">
        <f>#REF!</f>
        <v>#REF!</v>
      </c>
      <c r="G195" s="33" t="e">
        <f>#REF!</f>
        <v>#REF!</v>
      </c>
      <c r="H195" s="33" t="e">
        <f>#REF!</f>
        <v>#REF!</v>
      </c>
      <c r="I195" s="33" t="e">
        <f>#REF!</f>
        <v>#REF!</v>
      </c>
      <c r="J195" s="33" t="e">
        <f>#REF!</f>
        <v>#REF!</v>
      </c>
      <c r="K195" s="33" t="e">
        <f>#REF!</f>
        <v>#REF!</v>
      </c>
      <c r="L195" s="33" t="e">
        <f>#REF!</f>
        <v>#REF!</v>
      </c>
      <c r="M195" s="33" t="e">
        <f>#REF!</f>
        <v>#REF!</v>
      </c>
    </row>
    <row r="196" spans="1:13" ht="23.25" x14ac:dyDescent="0.25">
      <c r="A196" s="234" t="e">
        <f>#REF!</f>
        <v>#REF!</v>
      </c>
      <c r="B196" s="234" t="e">
        <f>#REF!</f>
        <v>#REF!</v>
      </c>
      <c r="C196" s="33" t="e">
        <f>#REF!</f>
        <v>#REF!</v>
      </c>
      <c r="D196" s="33" t="e">
        <f>#REF!</f>
        <v>#REF!</v>
      </c>
      <c r="E196" s="33" t="e">
        <f>#REF!</f>
        <v>#REF!</v>
      </c>
      <c r="F196" s="235" t="e">
        <f>#REF!</f>
        <v>#REF!</v>
      </c>
      <c r="G196" s="33" t="e">
        <f>#REF!</f>
        <v>#REF!</v>
      </c>
      <c r="H196" s="33" t="e">
        <f>#REF!</f>
        <v>#REF!</v>
      </c>
      <c r="I196" s="33" t="e">
        <f>#REF!</f>
        <v>#REF!</v>
      </c>
      <c r="J196" s="33" t="e">
        <f>#REF!</f>
        <v>#REF!</v>
      </c>
      <c r="K196" s="33" t="e">
        <f>#REF!</f>
        <v>#REF!</v>
      </c>
      <c r="L196" s="33" t="e">
        <f>#REF!</f>
        <v>#REF!</v>
      </c>
      <c r="M196" s="33" t="e">
        <f>#REF!</f>
        <v>#REF!</v>
      </c>
    </row>
    <row r="197" spans="1:13" ht="23.25" x14ac:dyDescent="0.25">
      <c r="A197" s="234" t="e">
        <f>#REF!</f>
        <v>#REF!</v>
      </c>
      <c r="B197" s="234" t="e">
        <f>#REF!</f>
        <v>#REF!</v>
      </c>
      <c r="C197" s="33" t="e">
        <f>#REF!</f>
        <v>#REF!</v>
      </c>
      <c r="D197" s="33" t="e">
        <f>#REF!</f>
        <v>#REF!</v>
      </c>
      <c r="E197" s="33" t="e">
        <f>#REF!</f>
        <v>#REF!</v>
      </c>
      <c r="F197" s="235" t="e">
        <f>#REF!</f>
        <v>#REF!</v>
      </c>
      <c r="G197" s="33" t="e">
        <f>#REF!</f>
        <v>#REF!</v>
      </c>
      <c r="H197" s="33" t="e">
        <f>#REF!</f>
        <v>#REF!</v>
      </c>
      <c r="I197" s="33" t="e">
        <f>#REF!</f>
        <v>#REF!</v>
      </c>
      <c r="J197" s="33" t="e">
        <f>#REF!</f>
        <v>#REF!</v>
      </c>
      <c r="K197" s="33" t="e">
        <f>#REF!</f>
        <v>#REF!</v>
      </c>
      <c r="L197" s="33" t="e">
        <f>#REF!</f>
        <v>#REF!</v>
      </c>
      <c r="M197" s="33" t="e">
        <f>#REF!</f>
        <v>#REF!</v>
      </c>
    </row>
    <row r="198" spans="1:13" ht="23.25" x14ac:dyDescent="0.25">
      <c r="A198" s="234" t="e">
        <f>#REF!</f>
        <v>#REF!</v>
      </c>
      <c r="B198" s="234" t="e">
        <f>#REF!</f>
        <v>#REF!</v>
      </c>
      <c r="C198" s="33" t="e">
        <f>#REF!</f>
        <v>#REF!</v>
      </c>
      <c r="D198" s="33" t="e">
        <f>#REF!</f>
        <v>#REF!</v>
      </c>
      <c r="E198" s="33" t="e">
        <f>#REF!</f>
        <v>#REF!</v>
      </c>
      <c r="F198" s="235" t="e">
        <f>#REF!</f>
        <v>#REF!</v>
      </c>
      <c r="G198" s="33" t="e">
        <f>#REF!</f>
        <v>#REF!</v>
      </c>
      <c r="H198" s="33" t="e">
        <f>#REF!</f>
        <v>#REF!</v>
      </c>
      <c r="I198" s="33" t="e">
        <f>#REF!</f>
        <v>#REF!</v>
      </c>
      <c r="J198" s="33" t="e">
        <f>#REF!</f>
        <v>#REF!</v>
      </c>
      <c r="K198" s="33" t="e">
        <f>#REF!</f>
        <v>#REF!</v>
      </c>
      <c r="L198" s="33" t="e">
        <f>#REF!</f>
        <v>#REF!</v>
      </c>
      <c r="M198" s="33" t="e">
        <f>#REF!</f>
        <v>#REF!</v>
      </c>
    </row>
    <row r="199" spans="1:13" ht="23.25" x14ac:dyDescent="0.25">
      <c r="A199" s="234" t="e">
        <f>#REF!</f>
        <v>#REF!</v>
      </c>
      <c r="B199" s="234" t="e">
        <f>#REF!</f>
        <v>#REF!</v>
      </c>
      <c r="C199" s="33" t="e">
        <f>#REF!</f>
        <v>#REF!</v>
      </c>
      <c r="D199" s="33" t="e">
        <f>#REF!</f>
        <v>#REF!</v>
      </c>
      <c r="E199" s="33" t="e">
        <f>#REF!</f>
        <v>#REF!</v>
      </c>
      <c r="F199" s="235" t="e">
        <f>#REF!</f>
        <v>#REF!</v>
      </c>
      <c r="G199" s="33" t="e">
        <f>#REF!</f>
        <v>#REF!</v>
      </c>
      <c r="H199" s="33" t="e">
        <f>#REF!</f>
        <v>#REF!</v>
      </c>
      <c r="I199" s="33" t="e">
        <f>#REF!</f>
        <v>#REF!</v>
      </c>
      <c r="J199" s="33" t="e">
        <f>#REF!</f>
        <v>#REF!</v>
      </c>
      <c r="K199" s="33" t="e">
        <f>#REF!</f>
        <v>#REF!</v>
      </c>
      <c r="L199" s="33" t="e">
        <f>#REF!</f>
        <v>#REF!</v>
      </c>
      <c r="M199" s="33" t="e">
        <f>#REF!</f>
        <v>#REF!</v>
      </c>
    </row>
    <row r="200" spans="1:13" ht="23.25" x14ac:dyDescent="0.25">
      <c r="A200" s="234" t="e">
        <f>#REF!</f>
        <v>#REF!</v>
      </c>
      <c r="B200" s="234" t="e">
        <f>#REF!</f>
        <v>#REF!</v>
      </c>
      <c r="C200" s="33" t="e">
        <f>#REF!</f>
        <v>#REF!</v>
      </c>
      <c r="D200" s="33" t="e">
        <f>#REF!</f>
        <v>#REF!</v>
      </c>
      <c r="E200" s="33" t="e">
        <f>#REF!</f>
        <v>#REF!</v>
      </c>
      <c r="F200" s="235" t="e">
        <f>#REF!</f>
        <v>#REF!</v>
      </c>
      <c r="G200" s="33" t="e">
        <f>#REF!</f>
        <v>#REF!</v>
      </c>
      <c r="H200" s="33" t="e">
        <f>#REF!</f>
        <v>#REF!</v>
      </c>
      <c r="I200" s="33" t="e">
        <f>#REF!</f>
        <v>#REF!</v>
      </c>
      <c r="J200" s="33" t="e">
        <f>#REF!</f>
        <v>#REF!</v>
      </c>
      <c r="K200" s="33" t="e">
        <f>#REF!</f>
        <v>#REF!</v>
      </c>
      <c r="L200" s="33" t="e">
        <f>#REF!</f>
        <v>#REF!</v>
      </c>
      <c r="M200" s="33" t="e">
        <f>#REF!</f>
        <v>#REF!</v>
      </c>
    </row>
    <row r="201" spans="1:13" ht="23.25" x14ac:dyDescent="0.25">
      <c r="A201" s="234" t="e">
        <f>#REF!</f>
        <v>#REF!</v>
      </c>
      <c r="B201" s="234" t="e">
        <f>#REF!</f>
        <v>#REF!</v>
      </c>
      <c r="C201" s="33" t="e">
        <f>#REF!</f>
        <v>#REF!</v>
      </c>
      <c r="D201" s="33" t="e">
        <f>#REF!</f>
        <v>#REF!</v>
      </c>
      <c r="E201" s="33" t="e">
        <f>#REF!</f>
        <v>#REF!</v>
      </c>
      <c r="F201" s="235" t="e">
        <f>#REF!</f>
        <v>#REF!</v>
      </c>
      <c r="G201" s="33" t="e">
        <f>#REF!</f>
        <v>#REF!</v>
      </c>
      <c r="H201" s="33" t="e">
        <f>#REF!</f>
        <v>#REF!</v>
      </c>
      <c r="I201" s="33" t="e">
        <f>#REF!</f>
        <v>#REF!</v>
      </c>
      <c r="J201" s="33" t="e">
        <f>#REF!</f>
        <v>#REF!</v>
      </c>
      <c r="K201" s="33" t="e">
        <f>#REF!</f>
        <v>#REF!</v>
      </c>
      <c r="L201" s="33" t="e">
        <f>#REF!</f>
        <v>#REF!</v>
      </c>
      <c r="M201" s="33" t="e">
        <f>#REF!</f>
        <v>#REF!</v>
      </c>
    </row>
    <row r="202" spans="1:13" ht="23.25" x14ac:dyDescent="0.25">
      <c r="A202" s="234" t="e">
        <f>#REF!</f>
        <v>#REF!</v>
      </c>
      <c r="B202" s="234" t="e">
        <f>#REF!</f>
        <v>#REF!</v>
      </c>
      <c r="C202" s="33" t="e">
        <f>#REF!</f>
        <v>#REF!</v>
      </c>
      <c r="D202" s="33" t="e">
        <f>#REF!</f>
        <v>#REF!</v>
      </c>
      <c r="E202" s="33" t="e">
        <f>#REF!</f>
        <v>#REF!</v>
      </c>
      <c r="F202" s="235" t="e">
        <f>#REF!</f>
        <v>#REF!</v>
      </c>
      <c r="G202" s="33" t="e">
        <f>#REF!</f>
        <v>#REF!</v>
      </c>
      <c r="H202" s="33" t="e">
        <f>#REF!</f>
        <v>#REF!</v>
      </c>
      <c r="I202" s="33" t="e">
        <f>#REF!</f>
        <v>#REF!</v>
      </c>
      <c r="J202" s="33" t="e">
        <f>#REF!</f>
        <v>#REF!</v>
      </c>
      <c r="K202" s="33" t="e">
        <f>#REF!</f>
        <v>#REF!</v>
      </c>
      <c r="L202" s="33" t="e">
        <f>#REF!</f>
        <v>#REF!</v>
      </c>
      <c r="M202" s="33" t="e">
        <f>#REF!</f>
        <v>#REF!</v>
      </c>
    </row>
    <row r="203" spans="1:13" ht="23.25" x14ac:dyDescent="0.25">
      <c r="A203" s="234" t="e">
        <f>#REF!</f>
        <v>#REF!</v>
      </c>
      <c r="B203" s="234" t="e">
        <f>#REF!</f>
        <v>#REF!</v>
      </c>
      <c r="C203" s="33" t="e">
        <f>#REF!</f>
        <v>#REF!</v>
      </c>
      <c r="D203" s="33" t="e">
        <f>#REF!</f>
        <v>#REF!</v>
      </c>
      <c r="E203" s="33" t="e">
        <f>#REF!</f>
        <v>#REF!</v>
      </c>
      <c r="F203" s="235" t="e">
        <f>#REF!</f>
        <v>#REF!</v>
      </c>
      <c r="G203" s="33" t="e">
        <f>#REF!</f>
        <v>#REF!</v>
      </c>
      <c r="H203" s="33" t="e">
        <f>#REF!</f>
        <v>#REF!</v>
      </c>
      <c r="I203" s="33" t="e">
        <f>#REF!</f>
        <v>#REF!</v>
      </c>
      <c r="J203" s="33" t="e">
        <f>#REF!</f>
        <v>#REF!</v>
      </c>
      <c r="K203" s="33" t="e">
        <f>#REF!</f>
        <v>#REF!</v>
      </c>
      <c r="L203" s="33" t="e">
        <f>#REF!</f>
        <v>#REF!</v>
      </c>
      <c r="M203" s="33" t="e">
        <f>#REF!</f>
        <v>#REF!</v>
      </c>
    </row>
    <row r="204" spans="1:13" ht="23.25" x14ac:dyDescent="0.25">
      <c r="A204" s="234" t="e">
        <f>#REF!</f>
        <v>#REF!</v>
      </c>
      <c r="B204" s="234" t="e">
        <f>#REF!</f>
        <v>#REF!</v>
      </c>
      <c r="C204" s="33" t="e">
        <f>#REF!</f>
        <v>#REF!</v>
      </c>
      <c r="D204" s="33" t="e">
        <f>#REF!</f>
        <v>#REF!</v>
      </c>
      <c r="E204" s="33" t="e">
        <f>#REF!</f>
        <v>#REF!</v>
      </c>
      <c r="F204" s="235" t="e">
        <f>#REF!</f>
        <v>#REF!</v>
      </c>
      <c r="G204" s="33" t="e">
        <f>#REF!</f>
        <v>#REF!</v>
      </c>
      <c r="H204" s="33" t="e">
        <f>#REF!</f>
        <v>#REF!</v>
      </c>
      <c r="I204" s="33" t="e">
        <f>#REF!</f>
        <v>#REF!</v>
      </c>
      <c r="J204" s="33" t="e">
        <f>#REF!</f>
        <v>#REF!</v>
      </c>
      <c r="K204" s="33" t="e">
        <f>#REF!</f>
        <v>#REF!</v>
      </c>
      <c r="L204" s="33" t="e">
        <f>#REF!</f>
        <v>#REF!</v>
      </c>
      <c r="M204" s="33" t="e">
        <f>#REF!</f>
        <v>#REF!</v>
      </c>
    </row>
    <row r="205" spans="1:13" ht="23.25" x14ac:dyDescent="0.25">
      <c r="A205" s="234" t="e">
        <f>#REF!</f>
        <v>#REF!</v>
      </c>
      <c r="B205" s="234" t="e">
        <f>#REF!</f>
        <v>#REF!</v>
      </c>
      <c r="C205" s="33" t="e">
        <f>#REF!</f>
        <v>#REF!</v>
      </c>
      <c r="D205" s="33" t="e">
        <f>#REF!</f>
        <v>#REF!</v>
      </c>
      <c r="E205" s="33" t="e">
        <f>#REF!</f>
        <v>#REF!</v>
      </c>
      <c r="F205" s="235" t="e">
        <f>#REF!</f>
        <v>#REF!</v>
      </c>
      <c r="G205" s="33" t="e">
        <f>#REF!</f>
        <v>#REF!</v>
      </c>
      <c r="H205" s="33" t="e">
        <f>#REF!</f>
        <v>#REF!</v>
      </c>
      <c r="I205" s="33" t="e">
        <f>#REF!</f>
        <v>#REF!</v>
      </c>
      <c r="J205" s="33" t="e">
        <f>#REF!</f>
        <v>#REF!</v>
      </c>
      <c r="K205" s="33" t="e">
        <f>#REF!</f>
        <v>#REF!</v>
      </c>
      <c r="L205" s="33" t="e">
        <f>#REF!</f>
        <v>#REF!</v>
      </c>
      <c r="M205" s="33" t="e">
        <f>#REF!</f>
        <v>#REF!</v>
      </c>
    </row>
    <row r="206" spans="1:13" ht="23.25" x14ac:dyDescent="0.25">
      <c r="A206" s="234" t="e">
        <f>#REF!</f>
        <v>#REF!</v>
      </c>
      <c r="B206" s="234" t="e">
        <f>#REF!</f>
        <v>#REF!</v>
      </c>
      <c r="C206" s="33" t="e">
        <f>#REF!</f>
        <v>#REF!</v>
      </c>
      <c r="D206" s="33" t="e">
        <f>#REF!</f>
        <v>#REF!</v>
      </c>
      <c r="E206" s="33" t="e">
        <f>#REF!</f>
        <v>#REF!</v>
      </c>
      <c r="F206" s="235" t="e">
        <f>#REF!</f>
        <v>#REF!</v>
      </c>
      <c r="G206" s="33" t="e">
        <f>#REF!</f>
        <v>#REF!</v>
      </c>
      <c r="H206" s="33" t="e">
        <f>#REF!</f>
        <v>#REF!</v>
      </c>
      <c r="I206" s="33" t="e">
        <f>#REF!</f>
        <v>#REF!</v>
      </c>
      <c r="J206" s="33" t="e">
        <f>#REF!</f>
        <v>#REF!</v>
      </c>
      <c r="K206" s="33" t="e">
        <f>#REF!</f>
        <v>#REF!</v>
      </c>
      <c r="L206" s="33" t="e">
        <f>#REF!</f>
        <v>#REF!</v>
      </c>
      <c r="M206" s="33" t="e">
        <f>#REF!</f>
        <v>#REF!</v>
      </c>
    </row>
    <row r="207" spans="1:13" ht="23.25" x14ac:dyDescent="0.25">
      <c r="A207" s="234" t="e">
        <f>#REF!</f>
        <v>#REF!</v>
      </c>
      <c r="B207" s="234" t="e">
        <f>#REF!</f>
        <v>#REF!</v>
      </c>
      <c r="C207" s="33" t="e">
        <f>#REF!</f>
        <v>#REF!</v>
      </c>
      <c r="D207" s="33" t="e">
        <f>#REF!</f>
        <v>#REF!</v>
      </c>
      <c r="E207" s="33" t="e">
        <f>#REF!</f>
        <v>#REF!</v>
      </c>
      <c r="F207" s="235" t="e">
        <f>#REF!</f>
        <v>#REF!</v>
      </c>
      <c r="G207" s="33" t="e">
        <f>#REF!</f>
        <v>#REF!</v>
      </c>
      <c r="H207" s="33" t="e">
        <f>#REF!</f>
        <v>#REF!</v>
      </c>
      <c r="I207" s="33" t="e">
        <f>#REF!</f>
        <v>#REF!</v>
      </c>
      <c r="J207" s="33" t="e">
        <f>#REF!</f>
        <v>#REF!</v>
      </c>
      <c r="K207" s="33" t="e">
        <f>#REF!</f>
        <v>#REF!</v>
      </c>
      <c r="L207" s="33" t="e">
        <f>#REF!</f>
        <v>#REF!</v>
      </c>
      <c r="M207" s="33" t="e">
        <f>#REF!</f>
        <v>#REF!</v>
      </c>
    </row>
    <row r="208" spans="1:13" ht="23.25" x14ac:dyDescent="0.25">
      <c r="A208" s="234" t="e">
        <f>#REF!</f>
        <v>#REF!</v>
      </c>
      <c r="B208" s="234" t="e">
        <f>#REF!</f>
        <v>#REF!</v>
      </c>
      <c r="C208" s="33" t="e">
        <f>#REF!</f>
        <v>#REF!</v>
      </c>
      <c r="D208" s="33" t="e">
        <f>#REF!</f>
        <v>#REF!</v>
      </c>
      <c r="E208" s="33" t="e">
        <f>#REF!</f>
        <v>#REF!</v>
      </c>
      <c r="F208" s="235" t="e">
        <f>#REF!</f>
        <v>#REF!</v>
      </c>
      <c r="G208" s="33" t="e">
        <f>#REF!</f>
        <v>#REF!</v>
      </c>
      <c r="H208" s="33" t="e">
        <f>#REF!</f>
        <v>#REF!</v>
      </c>
      <c r="I208" s="33" t="e">
        <f>#REF!</f>
        <v>#REF!</v>
      </c>
      <c r="J208" s="33" t="e">
        <f>#REF!</f>
        <v>#REF!</v>
      </c>
      <c r="K208" s="33" t="e">
        <f>#REF!</f>
        <v>#REF!</v>
      </c>
      <c r="L208" s="33" t="e">
        <f>#REF!</f>
        <v>#REF!</v>
      </c>
      <c r="M208" s="33" t="e">
        <f>#REF!</f>
        <v>#REF!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0">
    <tabColor theme="4" tint="-0.499984740745262"/>
    <pageSetUpPr fitToPage="1"/>
  </sheetPr>
  <dimension ref="A1:R452"/>
  <sheetViews>
    <sheetView zoomScale="70" zoomScaleNormal="70" workbookViewId="0">
      <pane ySplit="3" topLeftCell="A7" activePane="bottomLeft" state="frozen"/>
      <selection pane="bottomLeft" activeCell="F6" sqref="F6"/>
    </sheetView>
  </sheetViews>
  <sheetFormatPr baseColWidth="10" defaultColWidth="11.42578125" defaultRowHeight="15" x14ac:dyDescent="0.25"/>
  <cols>
    <col min="1" max="1" width="19" style="223" customWidth="1"/>
    <col min="2" max="2" width="30.85546875" style="295" customWidth="1"/>
    <col min="3" max="3" width="13.5703125" style="295" customWidth="1"/>
    <col min="4" max="4" width="21" style="295" customWidth="1"/>
    <col min="5" max="5" width="36" style="295" bestFit="1" customWidth="1"/>
    <col min="6" max="6" width="12.140625" style="224" bestFit="1" customWidth="1"/>
    <col min="7" max="7" width="11.85546875" style="295" customWidth="1"/>
    <col min="8" max="8" width="16.7109375" style="295" customWidth="1"/>
    <col min="9" max="9" width="20.85546875" style="295" customWidth="1"/>
    <col min="10" max="10" width="14.7109375" style="296" customWidth="1"/>
    <col min="11" max="11" width="10.5703125" style="389" customWidth="1"/>
    <col min="12" max="12" width="16.140625" style="295" customWidth="1"/>
    <col min="13" max="13" width="17.7109375" style="295" customWidth="1"/>
    <col min="14" max="14" width="17.7109375" style="533" customWidth="1"/>
    <col min="15" max="15" width="11.42578125" style="295"/>
    <col min="16" max="16" width="28.140625" style="295" customWidth="1"/>
    <col min="17" max="16384" width="11.42578125" style="295"/>
  </cols>
  <sheetData>
    <row r="1" spans="1:17" ht="50.25" customHeight="1" x14ac:dyDescent="0.25">
      <c r="A1" s="772" t="s">
        <v>1340</v>
      </c>
      <c r="B1" s="772"/>
      <c r="C1" s="772"/>
      <c r="D1" s="773"/>
      <c r="E1" s="773"/>
      <c r="F1" s="773"/>
      <c r="G1" s="773"/>
      <c r="H1" s="773"/>
      <c r="I1" s="773"/>
      <c r="J1" s="773"/>
      <c r="K1" s="773"/>
      <c r="L1" s="773"/>
      <c r="M1" s="773"/>
      <c r="N1" s="773"/>
      <c r="O1" s="773"/>
      <c r="P1" s="773"/>
      <c r="Q1" s="773"/>
    </row>
    <row r="2" spans="1:17" ht="24" customHeight="1" x14ac:dyDescent="0.25">
      <c r="A2" s="774" t="s">
        <v>1826</v>
      </c>
      <c r="B2" s="775"/>
      <c r="C2" s="775"/>
      <c r="D2" s="776"/>
      <c r="E2" s="776"/>
      <c r="F2" s="776"/>
      <c r="G2" s="776"/>
      <c r="H2" s="776"/>
      <c r="I2" s="776"/>
      <c r="J2" s="776"/>
      <c r="K2" s="776"/>
      <c r="L2" s="776"/>
      <c r="M2" s="776"/>
      <c r="N2" s="776"/>
      <c r="O2" s="776"/>
      <c r="P2" s="776"/>
      <c r="Q2" s="776"/>
    </row>
    <row r="3" spans="1:17" ht="30" customHeight="1" x14ac:dyDescent="0.25">
      <c r="A3" s="209" t="s">
        <v>4</v>
      </c>
      <c r="B3" s="88" t="s">
        <v>10</v>
      </c>
      <c r="C3" s="210" t="s">
        <v>1232</v>
      </c>
      <c r="D3" s="196" t="s">
        <v>2791</v>
      </c>
      <c r="E3" s="538" t="s">
        <v>2792</v>
      </c>
      <c r="F3" s="539" t="s">
        <v>2793</v>
      </c>
      <c r="G3" s="447" t="s">
        <v>23</v>
      </c>
      <c r="H3" s="447" t="s">
        <v>2817</v>
      </c>
      <c r="I3" s="540" t="s">
        <v>2818</v>
      </c>
      <c r="J3" s="540" t="s">
        <v>2819</v>
      </c>
      <c r="K3" s="541" t="s">
        <v>1344</v>
      </c>
      <c r="L3" s="447" t="s">
        <v>37</v>
      </c>
      <c r="M3" s="447" t="s">
        <v>1237</v>
      </c>
      <c r="N3" s="447" t="s">
        <v>2794</v>
      </c>
      <c r="O3" s="447" t="s">
        <v>1239</v>
      </c>
      <c r="P3" s="447" t="s">
        <v>1240</v>
      </c>
      <c r="Q3" s="447" t="s">
        <v>1241</v>
      </c>
    </row>
    <row r="4" spans="1:17" ht="30" customHeight="1" x14ac:dyDescent="0.25">
      <c r="A4" s="499">
        <v>43132</v>
      </c>
      <c r="B4" s="500" t="s">
        <v>2832</v>
      </c>
      <c r="C4" s="501" t="s">
        <v>40</v>
      </c>
      <c r="D4" s="534" t="s">
        <v>701</v>
      </c>
      <c r="E4" s="542" t="s">
        <v>2833</v>
      </c>
      <c r="F4" s="543">
        <v>43132</v>
      </c>
      <c r="G4" s="544">
        <v>389.81</v>
      </c>
      <c r="H4" s="545">
        <v>30</v>
      </c>
      <c r="I4" s="546">
        <v>15.2</v>
      </c>
      <c r="J4" s="547">
        <f>(I4*K4/100)/(H4*G4)*1000</f>
        <v>1.2867807393345478</v>
      </c>
      <c r="K4" s="548">
        <v>99</v>
      </c>
      <c r="L4" s="549" t="s">
        <v>212</v>
      </c>
      <c r="M4" s="549" t="s">
        <v>1237</v>
      </c>
      <c r="N4" s="550" t="s">
        <v>2835</v>
      </c>
      <c r="O4" s="549" t="s">
        <v>2648</v>
      </c>
      <c r="P4" s="549" t="s">
        <v>2834</v>
      </c>
      <c r="Q4" s="551" t="s">
        <v>2983</v>
      </c>
    </row>
    <row r="5" spans="1:17" ht="30" customHeight="1" x14ac:dyDescent="0.25">
      <c r="A5" s="219"/>
      <c r="B5" s="88"/>
      <c r="C5" s="220"/>
      <c r="D5" s="535"/>
      <c r="E5" s="552"/>
      <c r="F5" s="553"/>
      <c r="G5" s="554"/>
      <c r="H5" s="554"/>
      <c r="I5" s="555"/>
      <c r="J5" s="674" t="e">
        <f t="shared" ref="J5:J68" si="0">(I5*K5/100)/(H5*G5)*1000</f>
        <v>#DIV/0!</v>
      </c>
      <c r="K5" s="555"/>
      <c r="L5" s="556"/>
      <c r="M5" s="556"/>
      <c r="N5" s="557"/>
      <c r="O5" s="556"/>
      <c r="P5" s="558"/>
      <c r="Q5" s="556"/>
    </row>
    <row r="6" spans="1:17" ht="23.25" x14ac:dyDescent="0.25">
      <c r="A6" s="213"/>
      <c r="B6" s="88"/>
      <c r="C6" s="220"/>
      <c r="D6" s="535"/>
      <c r="E6" s="559"/>
      <c r="F6" s="553"/>
      <c r="G6" s="554"/>
      <c r="H6" s="554"/>
      <c r="I6" s="555"/>
      <c r="J6" s="674" t="e">
        <f t="shared" si="0"/>
        <v>#DIV/0!</v>
      </c>
      <c r="K6" s="555"/>
      <c r="L6" s="556"/>
      <c r="M6" s="556"/>
      <c r="N6" s="557"/>
      <c r="O6" s="556"/>
      <c r="P6" s="558"/>
      <c r="Q6" s="556"/>
    </row>
    <row r="7" spans="1:17" ht="23.25" x14ac:dyDescent="0.25">
      <c r="A7" s="221"/>
      <c r="B7" s="88"/>
      <c r="C7" s="220"/>
      <c r="D7" s="536"/>
      <c r="E7" s="560"/>
      <c r="F7" s="553"/>
      <c r="G7" s="554"/>
      <c r="H7" s="554"/>
      <c r="I7" s="555"/>
      <c r="J7" s="674" t="e">
        <f t="shared" si="0"/>
        <v>#DIV/0!</v>
      </c>
      <c r="K7" s="555"/>
      <c r="L7" s="556"/>
      <c r="M7" s="556"/>
      <c r="N7" s="557"/>
      <c r="O7" s="556"/>
      <c r="P7" s="558"/>
      <c r="Q7" s="556"/>
    </row>
    <row r="8" spans="1:17" ht="23.25" x14ac:dyDescent="0.25">
      <c r="A8" s="221"/>
      <c r="B8" s="88"/>
      <c r="C8" s="220"/>
      <c r="D8" s="536"/>
      <c r="E8" s="560"/>
      <c r="F8" s="553"/>
      <c r="G8" s="554"/>
      <c r="H8" s="554"/>
      <c r="I8" s="555"/>
      <c r="J8" s="674" t="e">
        <f t="shared" si="0"/>
        <v>#DIV/0!</v>
      </c>
      <c r="K8" s="555"/>
      <c r="L8" s="556"/>
      <c r="M8" s="556"/>
      <c r="N8" s="557"/>
      <c r="O8" s="556"/>
      <c r="P8" s="558"/>
      <c r="Q8" s="556"/>
    </row>
    <row r="9" spans="1:17" ht="23.25" x14ac:dyDescent="0.25">
      <c r="A9" s="221"/>
      <c r="B9" s="88"/>
      <c r="C9" s="220"/>
      <c r="D9" s="535"/>
      <c r="E9" s="559"/>
      <c r="F9" s="553"/>
      <c r="G9" s="561"/>
      <c r="H9" s="554"/>
      <c r="I9" s="555"/>
      <c r="J9" s="674" t="e">
        <f t="shared" si="0"/>
        <v>#DIV/0!</v>
      </c>
      <c r="K9" s="555"/>
      <c r="L9" s="556"/>
      <c r="M9" s="556"/>
      <c r="N9" s="562"/>
      <c r="O9" s="556"/>
      <c r="P9" s="558"/>
      <c r="Q9" s="556"/>
    </row>
    <row r="10" spans="1:17" ht="23.25" x14ac:dyDescent="0.25">
      <c r="A10" s="221"/>
      <c r="B10" s="88"/>
      <c r="C10" s="220"/>
      <c r="D10" s="537"/>
      <c r="E10" s="560"/>
      <c r="F10" s="553"/>
      <c r="G10" s="554"/>
      <c r="H10" s="554"/>
      <c r="I10" s="555"/>
      <c r="J10" s="674" t="e">
        <f t="shared" si="0"/>
        <v>#DIV/0!</v>
      </c>
      <c r="K10" s="555"/>
      <c r="L10" s="556"/>
      <c r="M10" s="556"/>
      <c r="N10" s="557"/>
      <c r="O10" s="556"/>
      <c r="P10" s="558"/>
      <c r="Q10" s="556"/>
    </row>
    <row r="11" spans="1:17" ht="23.25" x14ac:dyDescent="0.25">
      <c r="A11" s="221"/>
      <c r="B11" s="88"/>
      <c r="C11" s="220"/>
      <c r="D11" s="535"/>
      <c r="E11" s="559"/>
      <c r="F11" s="563"/>
      <c r="G11" s="554"/>
      <c r="H11" s="561"/>
      <c r="I11" s="561"/>
      <c r="J11" s="674" t="e">
        <f t="shared" si="0"/>
        <v>#DIV/0!</v>
      </c>
      <c r="K11" s="564"/>
      <c r="L11" s="556"/>
      <c r="M11" s="554"/>
      <c r="N11" s="565"/>
      <c r="O11" s="566"/>
      <c r="P11" s="558"/>
      <c r="Q11" s="556"/>
    </row>
    <row r="12" spans="1:17" ht="23.25" x14ac:dyDescent="0.25">
      <c r="A12" s="221"/>
      <c r="B12" s="88"/>
      <c r="C12" s="220"/>
      <c r="D12" s="536"/>
      <c r="E12" s="560"/>
      <c r="F12" s="553"/>
      <c r="G12" s="554"/>
      <c r="H12" s="554"/>
      <c r="I12" s="555"/>
      <c r="J12" s="674" t="e">
        <f t="shared" si="0"/>
        <v>#DIV/0!</v>
      </c>
      <c r="K12" s="555"/>
      <c r="L12" s="556"/>
      <c r="M12" s="556"/>
      <c r="N12" s="562"/>
      <c r="O12" s="556"/>
      <c r="P12" s="558"/>
      <c r="Q12" s="556"/>
    </row>
    <row r="13" spans="1:17" ht="23.25" x14ac:dyDescent="0.25">
      <c r="A13" s="221"/>
      <c r="B13" s="88"/>
      <c r="C13" s="220"/>
      <c r="D13" s="535"/>
      <c r="E13" s="559"/>
      <c r="F13" s="553"/>
      <c r="G13" s="561"/>
      <c r="H13" s="554"/>
      <c r="I13" s="555"/>
      <c r="J13" s="674" t="e">
        <f t="shared" si="0"/>
        <v>#DIV/0!</v>
      </c>
      <c r="K13" s="555"/>
      <c r="L13" s="556"/>
      <c r="M13" s="556"/>
      <c r="N13" s="562"/>
      <c r="O13" s="556"/>
      <c r="P13" s="558"/>
      <c r="Q13" s="556"/>
    </row>
    <row r="14" spans="1:17" ht="27.75" customHeight="1" x14ac:dyDescent="0.25">
      <c r="A14" s="221"/>
      <c r="B14" s="88"/>
      <c r="C14" s="220"/>
      <c r="D14" s="536"/>
      <c r="E14" s="560"/>
      <c r="F14" s="553"/>
      <c r="G14" s="554"/>
      <c r="H14" s="554"/>
      <c r="I14" s="555"/>
      <c r="J14" s="674" t="e">
        <f t="shared" si="0"/>
        <v>#DIV/0!</v>
      </c>
      <c r="K14" s="555"/>
      <c r="L14" s="556"/>
      <c r="M14" s="556"/>
      <c r="N14" s="557"/>
      <c r="O14" s="556"/>
      <c r="P14" s="558"/>
      <c r="Q14" s="556"/>
    </row>
    <row r="15" spans="1:17" ht="23.25" x14ac:dyDescent="0.25">
      <c r="A15" s="221"/>
      <c r="B15" s="88"/>
      <c r="C15" s="220"/>
      <c r="D15" s="536"/>
      <c r="E15" s="560"/>
      <c r="F15" s="553"/>
      <c r="G15" s="554"/>
      <c r="H15" s="554"/>
      <c r="I15" s="555"/>
      <c r="J15" s="674" t="e">
        <f t="shared" si="0"/>
        <v>#DIV/0!</v>
      </c>
      <c r="K15" s="555"/>
      <c r="L15" s="556"/>
      <c r="M15" s="556"/>
      <c r="N15" s="557"/>
      <c r="O15" s="556"/>
      <c r="P15" s="558"/>
      <c r="Q15" s="556"/>
    </row>
    <row r="16" spans="1:17" ht="23.25" x14ac:dyDescent="0.25">
      <c r="A16" s="221"/>
      <c r="B16" s="88"/>
      <c r="C16" s="220"/>
      <c r="D16" s="536"/>
      <c r="E16" s="560"/>
      <c r="F16" s="553"/>
      <c r="G16" s="554"/>
      <c r="H16" s="554"/>
      <c r="I16" s="555"/>
      <c r="J16" s="674" t="e">
        <f t="shared" si="0"/>
        <v>#DIV/0!</v>
      </c>
      <c r="K16" s="555"/>
      <c r="L16" s="556"/>
      <c r="M16" s="556"/>
      <c r="N16" s="557"/>
      <c r="O16" s="556"/>
      <c r="P16" s="558"/>
      <c r="Q16" s="556"/>
    </row>
    <row r="17" spans="1:18" ht="23.25" x14ac:dyDescent="0.25">
      <c r="A17" s="221"/>
      <c r="B17" s="88"/>
      <c r="C17" s="220"/>
      <c r="D17" s="536"/>
      <c r="E17" s="560"/>
      <c r="F17" s="553"/>
      <c r="G17" s="554"/>
      <c r="H17" s="554"/>
      <c r="I17" s="555"/>
      <c r="J17" s="674" t="e">
        <f t="shared" si="0"/>
        <v>#DIV/0!</v>
      </c>
      <c r="K17" s="555"/>
      <c r="L17" s="556"/>
      <c r="M17" s="556"/>
      <c r="N17" s="557"/>
      <c r="O17" s="556"/>
      <c r="P17" s="558"/>
      <c r="Q17" s="556"/>
    </row>
    <row r="18" spans="1:18" ht="23.25" x14ac:dyDescent="0.25">
      <c r="A18" s="221"/>
      <c r="B18" s="88"/>
      <c r="C18" s="220"/>
      <c r="D18" s="536"/>
      <c r="E18" s="559"/>
      <c r="F18" s="553"/>
      <c r="G18" s="554"/>
      <c r="H18" s="554"/>
      <c r="I18" s="555"/>
      <c r="J18" s="674" t="e">
        <f t="shared" si="0"/>
        <v>#DIV/0!</v>
      </c>
      <c r="K18" s="555"/>
      <c r="L18" s="556"/>
      <c r="M18" s="556"/>
      <c r="N18" s="562"/>
      <c r="O18" s="556"/>
      <c r="P18" s="558"/>
      <c r="Q18" s="556"/>
    </row>
    <row r="19" spans="1:18" ht="23.25" x14ac:dyDescent="0.25">
      <c r="A19" s="221"/>
      <c r="B19" s="88"/>
      <c r="C19" s="220"/>
      <c r="D19" s="536"/>
      <c r="E19" s="560"/>
      <c r="F19" s="553"/>
      <c r="G19" s="554"/>
      <c r="H19" s="554"/>
      <c r="I19" s="555"/>
      <c r="J19" s="674" t="e">
        <f t="shared" si="0"/>
        <v>#DIV/0!</v>
      </c>
      <c r="K19" s="555"/>
      <c r="L19" s="556"/>
      <c r="M19" s="556"/>
      <c r="N19" s="557"/>
      <c r="O19" s="556"/>
      <c r="P19" s="558"/>
      <c r="Q19" s="556"/>
    </row>
    <row r="20" spans="1:18" ht="23.25" x14ac:dyDescent="0.25">
      <c r="A20" s="221"/>
      <c r="B20" s="88"/>
      <c r="C20" s="220"/>
      <c r="D20" s="536"/>
      <c r="E20" s="560"/>
      <c r="F20" s="553"/>
      <c r="G20" s="554"/>
      <c r="H20" s="554"/>
      <c r="I20" s="555"/>
      <c r="J20" s="674" t="e">
        <f t="shared" si="0"/>
        <v>#DIV/0!</v>
      </c>
      <c r="K20" s="555"/>
      <c r="L20" s="556"/>
      <c r="M20" s="556"/>
      <c r="N20" s="557"/>
      <c r="O20" s="556"/>
      <c r="P20" s="558"/>
      <c r="Q20" s="558"/>
    </row>
    <row r="21" spans="1:18" ht="23.25" x14ac:dyDescent="0.25">
      <c r="A21" s="221"/>
      <c r="B21" s="88"/>
      <c r="C21" s="220"/>
      <c r="D21" s="535"/>
      <c r="E21" s="559"/>
      <c r="F21" s="553"/>
      <c r="G21" s="561"/>
      <c r="H21" s="554"/>
      <c r="I21" s="555"/>
      <c r="J21" s="674" t="e">
        <f t="shared" si="0"/>
        <v>#DIV/0!</v>
      </c>
      <c r="K21" s="555"/>
      <c r="L21" s="556"/>
      <c r="M21" s="556"/>
      <c r="N21" s="562"/>
      <c r="O21" s="556"/>
      <c r="P21" s="558"/>
      <c r="Q21" s="556"/>
    </row>
    <row r="22" spans="1:18" ht="23.25" x14ac:dyDescent="0.25">
      <c r="A22" s="221"/>
      <c r="B22" s="88"/>
      <c r="C22" s="220"/>
      <c r="D22" s="536"/>
      <c r="E22" s="560"/>
      <c r="F22" s="553"/>
      <c r="G22" s="554"/>
      <c r="H22" s="554"/>
      <c r="I22" s="555"/>
      <c r="J22" s="674" t="e">
        <f t="shared" si="0"/>
        <v>#DIV/0!</v>
      </c>
      <c r="K22" s="555"/>
      <c r="L22" s="556"/>
      <c r="M22" s="556"/>
      <c r="N22" s="557"/>
      <c r="O22" s="556"/>
      <c r="P22" s="558"/>
      <c r="Q22" s="556"/>
    </row>
    <row r="23" spans="1:18" ht="23.25" x14ac:dyDescent="0.25">
      <c r="A23" s="221"/>
      <c r="B23" s="88"/>
      <c r="C23" s="220"/>
      <c r="D23" s="536"/>
      <c r="E23" s="560"/>
      <c r="F23" s="553"/>
      <c r="G23" s="554"/>
      <c r="H23" s="554"/>
      <c r="I23" s="555"/>
      <c r="J23" s="674" t="e">
        <f t="shared" si="0"/>
        <v>#DIV/0!</v>
      </c>
      <c r="K23" s="555"/>
      <c r="L23" s="556"/>
      <c r="M23" s="556"/>
      <c r="N23" s="557"/>
      <c r="O23" s="556"/>
      <c r="P23" s="558"/>
      <c r="Q23" s="556"/>
    </row>
    <row r="24" spans="1:18" ht="23.25" x14ac:dyDescent="0.25">
      <c r="A24" s="221"/>
      <c r="B24" s="88"/>
      <c r="C24" s="220"/>
      <c r="D24" s="536"/>
      <c r="E24" s="560"/>
      <c r="F24" s="553"/>
      <c r="G24" s="554"/>
      <c r="H24" s="554"/>
      <c r="I24" s="555"/>
      <c r="J24" s="674" t="e">
        <f t="shared" si="0"/>
        <v>#DIV/0!</v>
      </c>
      <c r="K24" s="555"/>
      <c r="L24" s="556"/>
      <c r="M24" s="556"/>
      <c r="N24" s="557"/>
      <c r="O24" s="556"/>
      <c r="P24" s="558"/>
      <c r="Q24" s="556"/>
    </row>
    <row r="25" spans="1:18" ht="23.25" x14ac:dyDescent="0.25">
      <c r="A25" s="221"/>
      <c r="B25" s="88"/>
      <c r="C25" s="220"/>
      <c r="D25" s="536"/>
      <c r="E25" s="560"/>
      <c r="F25" s="553"/>
      <c r="G25" s="554"/>
      <c r="H25" s="554"/>
      <c r="I25" s="555"/>
      <c r="J25" s="674" t="e">
        <f t="shared" si="0"/>
        <v>#DIV/0!</v>
      </c>
      <c r="K25" s="555"/>
      <c r="L25" s="556"/>
      <c r="M25" s="556"/>
      <c r="N25" s="557"/>
      <c r="O25" s="556"/>
      <c r="P25" s="558"/>
      <c r="Q25" s="556"/>
    </row>
    <row r="26" spans="1:18" ht="24.75" customHeight="1" x14ac:dyDescent="0.25">
      <c r="A26" s="221"/>
      <c r="B26" s="88"/>
      <c r="C26" s="220"/>
      <c r="D26" s="536"/>
      <c r="E26" s="560"/>
      <c r="F26" s="553"/>
      <c r="G26" s="554"/>
      <c r="H26" s="554"/>
      <c r="I26" s="555"/>
      <c r="J26" s="674" t="e">
        <f t="shared" si="0"/>
        <v>#DIV/0!</v>
      </c>
      <c r="K26" s="555"/>
      <c r="L26" s="556"/>
      <c r="M26" s="556"/>
      <c r="N26" s="557"/>
      <c r="O26" s="556"/>
      <c r="P26" s="558"/>
      <c r="Q26" s="558"/>
      <c r="R26" s="222"/>
    </row>
    <row r="27" spans="1:18" ht="23.25" x14ac:dyDescent="0.25">
      <c r="A27" s="221"/>
      <c r="B27" s="88"/>
      <c r="C27" s="220"/>
      <c r="D27" s="536"/>
      <c r="E27" s="560"/>
      <c r="F27" s="553"/>
      <c r="G27" s="554"/>
      <c r="H27" s="554"/>
      <c r="I27" s="555"/>
      <c r="J27" s="674" t="e">
        <f t="shared" si="0"/>
        <v>#DIV/0!</v>
      </c>
      <c r="K27" s="555"/>
      <c r="L27" s="556"/>
      <c r="M27" s="556"/>
      <c r="N27" s="557"/>
      <c r="O27" s="556"/>
      <c r="P27" s="558"/>
      <c r="Q27" s="556"/>
    </row>
    <row r="28" spans="1:18" ht="23.25" x14ac:dyDescent="0.25">
      <c r="A28" s="221"/>
      <c r="B28" s="88"/>
      <c r="C28" s="220"/>
      <c r="D28" s="536"/>
      <c r="E28" s="560"/>
      <c r="F28" s="553"/>
      <c r="G28" s="554"/>
      <c r="H28" s="554"/>
      <c r="I28" s="555"/>
      <c r="J28" s="674" t="e">
        <f t="shared" si="0"/>
        <v>#DIV/0!</v>
      </c>
      <c r="K28" s="555"/>
      <c r="L28" s="556"/>
      <c r="M28" s="556"/>
      <c r="N28" s="557"/>
      <c r="O28" s="556"/>
      <c r="P28" s="558"/>
      <c r="Q28" s="558"/>
    </row>
    <row r="29" spans="1:18" ht="23.25" x14ac:dyDescent="0.25">
      <c r="A29" s="221"/>
      <c r="B29" s="88"/>
      <c r="C29" s="220"/>
      <c r="D29" s="536"/>
      <c r="E29" s="560"/>
      <c r="F29" s="553"/>
      <c r="G29" s="554"/>
      <c r="H29" s="554"/>
      <c r="I29" s="555"/>
      <c r="J29" s="674" t="e">
        <f t="shared" si="0"/>
        <v>#DIV/0!</v>
      </c>
      <c r="K29" s="555"/>
      <c r="L29" s="556"/>
      <c r="M29" s="556"/>
      <c r="N29" s="557"/>
      <c r="O29" s="556"/>
      <c r="P29" s="558"/>
      <c r="Q29" s="556"/>
    </row>
    <row r="30" spans="1:18" ht="23.25" x14ac:dyDescent="0.25">
      <c r="A30" s="221"/>
      <c r="B30" s="88"/>
      <c r="C30" s="220"/>
      <c r="D30" s="536"/>
      <c r="E30" s="560"/>
      <c r="F30" s="553"/>
      <c r="G30" s="554"/>
      <c r="H30" s="554"/>
      <c r="I30" s="555"/>
      <c r="J30" s="674" t="e">
        <f t="shared" si="0"/>
        <v>#DIV/0!</v>
      </c>
      <c r="K30" s="555"/>
      <c r="L30" s="556"/>
      <c r="M30" s="556"/>
      <c r="N30" s="557"/>
      <c r="O30" s="556"/>
      <c r="P30" s="558"/>
      <c r="Q30" s="556"/>
    </row>
    <row r="31" spans="1:18" ht="23.25" x14ac:dyDescent="0.25">
      <c r="A31" s="221"/>
      <c r="B31" s="88"/>
      <c r="C31" s="220"/>
      <c r="D31" s="536"/>
      <c r="E31" s="560"/>
      <c r="F31" s="553"/>
      <c r="G31" s="554"/>
      <c r="H31" s="554"/>
      <c r="I31" s="555"/>
      <c r="J31" s="674" t="e">
        <f t="shared" si="0"/>
        <v>#DIV/0!</v>
      </c>
      <c r="K31" s="555"/>
      <c r="L31" s="556"/>
      <c r="M31" s="556"/>
      <c r="N31" s="557"/>
      <c r="O31" s="556"/>
      <c r="P31" s="558"/>
      <c r="Q31" s="556"/>
    </row>
    <row r="32" spans="1:18" ht="23.25" x14ac:dyDescent="0.25">
      <c r="A32" s="221"/>
      <c r="B32" s="88"/>
      <c r="C32" s="220"/>
      <c r="D32" s="536"/>
      <c r="E32" s="560"/>
      <c r="F32" s="553"/>
      <c r="G32" s="554"/>
      <c r="H32" s="554"/>
      <c r="I32" s="555"/>
      <c r="J32" s="674" t="e">
        <f t="shared" si="0"/>
        <v>#DIV/0!</v>
      </c>
      <c r="K32" s="555"/>
      <c r="L32" s="556"/>
      <c r="M32" s="556"/>
      <c r="N32" s="557"/>
      <c r="O32" s="556"/>
      <c r="P32" s="558"/>
      <c r="Q32" s="556"/>
    </row>
    <row r="33" spans="1:17" ht="23.25" x14ac:dyDescent="0.25">
      <c r="A33" s="221"/>
      <c r="B33" s="88"/>
      <c r="C33" s="220"/>
      <c r="D33" s="535"/>
      <c r="E33" s="552"/>
      <c r="F33" s="553"/>
      <c r="G33" s="554"/>
      <c r="H33" s="554"/>
      <c r="I33" s="555"/>
      <c r="J33" s="674" t="e">
        <f t="shared" si="0"/>
        <v>#DIV/0!</v>
      </c>
      <c r="K33" s="555"/>
      <c r="L33" s="556"/>
      <c r="M33" s="556"/>
      <c r="N33" s="557"/>
      <c r="O33" s="556"/>
      <c r="P33" s="558"/>
      <c r="Q33" s="556"/>
    </row>
    <row r="34" spans="1:17" ht="23.25" x14ac:dyDescent="0.25">
      <c r="A34" s="221"/>
      <c r="B34" s="88"/>
      <c r="C34" s="220"/>
      <c r="D34" s="535"/>
      <c r="E34" s="552"/>
      <c r="F34" s="553"/>
      <c r="G34" s="554"/>
      <c r="H34" s="554"/>
      <c r="I34" s="555"/>
      <c r="J34" s="674" t="e">
        <f t="shared" si="0"/>
        <v>#DIV/0!</v>
      </c>
      <c r="K34" s="555"/>
      <c r="L34" s="556"/>
      <c r="M34" s="556"/>
      <c r="N34" s="557"/>
      <c r="O34" s="556"/>
      <c r="P34" s="558"/>
      <c r="Q34" s="556"/>
    </row>
    <row r="35" spans="1:17" ht="23.25" x14ac:dyDescent="0.25">
      <c r="A35" s="221"/>
      <c r="B35" s="88"/>
      <c r="C35" s="220"/>
      <c r="D35" s="536"/>
      <c r="E35" s="560"/>
      <c r="F35" s="553"/>
      <c r="G35" s="554"/>
      <c r="H35" s="554"/>
      <c r="I35" s="555"/>
      <c r="J35" s="674" t="e">
        <f t="shared" si="0"/>
        <v>#DIV/0!</v>
      </c>
      <c r="K35" s="555"/>
      <c r="L35" s="556"/>
      <c r="M35" s="556"/>
      <c r="N35" s="557"/>
      <c r="O35" s="556"/>
      <c r="P35" s="558"/>
      <c r="Q35" s="556"/>
    </row>
    <row r="36" spans="1:17" ht="23.25" x14ac:dyDescent="0.25">
      <c r="A36" s="221"/>
      <c r="B36" s="88"/>
      <c r="C36" s="220"/>
      <c r="D36" s="536"/>
      <c r="E36" s="560"/>
      <c r="F36" s="553"/>
      <c r="G36" s="554"/>
      <c r="H36" s="554"/>
      <c r="I36" s="555"/>
      <c r="J36" s="674" t="e">
        <f t="shared" si="0"/>
        <v>#DIV/0!</v>
      </c>
      <c r="K36" s="555"/>
      <c r="L36" s="556"/>
      <c r="M36" s="556"/>
      <c r="N36" s="557"/>
      <c r="O36" s="556"/>
      <c r="P36" s="558"/>
      <c r="Q36" s="556"/>
    </row>
    <row r="37" spans="1:17" ht="23.25" x14ac:dyDescent="0.25">
      <c r="A37" s="221"/>
      <c r="B37" s="88"/>
      <c r="C37" s="220"/>
      <c r="D37" s="536"/>
      <c r="E37" s="560"/>
      <c r="F37" s="553"/>
      <c r="G37" s="554"/>
      <c r="H37" s="554"/>
      <c r="I37" s="555"/>
      <c r="J37" s="674" t="e">
        <f t="shared" si="0"/>
        <v>#DIV/0!</v>
      </c>
      <c r="K37" s="555"/>
      <c r="L37" s="556"/>
      <c r="M37" s="556"/>
      <c r="N37" s="557"/>
      <c r="O37" s="556"/>
      <c r="P37" s="558"/>
      <c r="Q37" s="556"/>
    </row>
    <row r="38" spans="1:17" ht="23.25" x14ac:dyDescent="0.25">
      <c r="A38" s="221"/>
      <c r="B38" s="88"/>
      <c r="C38" s="220"/>
      <c r="D38" s="536"/>
      <c r="E38" s="560"/>
      <c r="F38" s="553"/>
      <c r="G38" s="554"/>
      <c r="H38" s="554"/>
      <c r="I38" s="555"/>
      <c r="J38" s="674" t="e">
        <f t="shared" si="0"/>
        <v>#DIV/0!</v>
      </c>
      <c r="K38" s="555"/>
      <c r="L38" s="556"/>
      <c r="M38" s="556"/>
      <c r="N38" s="557"/>
      <c r="O38" s="556"/>
      <c r="P38" s="558"/>
      <c r="Q38" s="556"/>
    </row>
    <row r="39" spans="1:17" ht="23.25" x14ac:dyDescent="0.25">
      <c r="A39" s="221"/>
      <c r="B39" s="88"/>
      <c r="C39" s="220"/>
      <c r="D39" s="536"/>
      <c r="E39" s="560"/>
      <c r="F39" s="553"/>
      <c r="G39" s="554"/>
      <c r="H39" s="554"/>
      <c r="I39" s="555"/>
      <c r="J39" s="674" t="e">
        <f t="shared" si="0"/>
        <v>#DIV/0!</v>
      </c>
      <c r="K39" s="555"/>
      <c r="L39" s="556"/>
      <c r="M39" s="556"/>
      <c r="N39" s="557"/>
      <c r="O39" s="556"/>
      <c r="P39" s="558"/>
      <c r="Q39" s="556"/>
    </row>
    <row r="40" spans="1:17" ht="23.25" x14ac:dyDescent="0.25">
      <c r="A40" s="221"/>
      <c r="B40" s="88"/>
      <c r="C40" s="220"/>
      <c r="D40" s="536"/>
      <c r="E40" s="560"/>
      <c r="F40" s="553"/>
      <c r="G40" s="554"/>
      <c r="H40" s="554"/>
      <c r="I40" s="555"/>
      <c r="J40" s="674" t="e">
        <f t="shared" si="0"/>
        <v>#DIV/0!</v>
      </c>
      <c r="K40" s="555"/>
      <c r="L40" s="556"/>
      <c r="M40" s="556"/>
      <c r="N40" s="557"/>
      <c r="O40" s="556"/>
      <c r="P40" s="558"/>
      <c r="Q40" s="556"/>
    </row>
    <row r="41" spans="1:17" ht="23.25" x14ac:dyDescent="0.25">
      <c r="A41" s="221"/>
      <c r="B41" s="88"/>
      <c r="C41" s="220"/>
      <c r="D41" s="536"/>
      <c r="E41" s="560"/>
      <c r="F41" s="553"/>
      <c r="G41" s="554"/>
      <c r="H41" s="554"/>
      <c r="I41" s="555"/>
      <c r="J41" s="674" t="e">
        <f t="shared" si="0"/>
        <v>#DIV/0!</v>
      </c>
      <c r="K41" s="555"/>
      <c r="L41" s="556"/>
      <c r="M41" s="556"/>
      <c r="N41" s="557"/>
      <c r="O41" s="556"/>
      <c r="P41" s="558"/>
      <c r="Q41" s="556"/>
    </row>
    <row r="42" spans="1:17" ht="23.25" x14ac:dyDescent="0.25">
      <c r="A42" s="221"/>
      <c r="B42" s="88"/>
      <c r="C42" s="220"/>
      <c r="D42" s="536"/>
      <c r="E42" s="560"/>
      <c r="F42" s="553"/>
      <c r="G42" s="554"/>
      <c r="H42" s="554"/>
      <c r="I42" s="555"/>
      <c r="J42" s="674" t="e">
        <f t="shared" si="0"/>
        <v>#DIV/0!</v>
      </c>
      <c r="K42" s="555"/>
      <c r="L42" s="556"/>
      <c r="M42" s="556"/>
      <c r="N42" s="557"/>
      <c r="O42" s="556"/>
      <c r="P42" s="558"/>
      <c r="Q42" s="556"/>
    </row>
    <row r="43" spans="1:17" ht="23.25" x14ac:dyDescent="0.25">
      <c r="A43" s="221"/>
      <c r="B43" s="88"/>
      <c r="C43" s="220"/>
      <c r="D43" s="536"/>
      <c r="E43" s="560"/>
      <c r="F43" s="553"/>
      <c r="G43" s="554"/>
      <c r="H43" s="554"/>
      <c r="I43" s="555"/>
      <c r="J43" s="674" t="e">
        <f t="shared" si="0"/>
        <v>#DIV/0!</v>
      </c>
      <c r="K43" s="555"/>
      <c r="L43" s="556"/>
      <c r="M43" s="556"/>
      <c r="N43" s="557"/>
      <c r="O43" s="556"/>
      <c r="P43" s="558"/>
      <c r="Q43" s="556"/>
    </row>
    <row r="44" spans="1:17" ht="23.25" x14ac:dyDescent="0.25">
      <c r="A44" s="221"/>
      <c r="B44" s="88"/>
      <c r="C44" s="220"/>
      <c r="D44" s="536"/>
      <c r="E44" s="560"/>
      <c r="F44" s="553"/>
      <c r="G44" s="554"/>
      <c r="H44" s="554"/>
      <c r="I44" s="555"/>
      <c r="J44" s="674" t="e">
        <f t="shared" si="0"/>
        <v>#DIV/0!</v>
      </c>
      <c r="K44" s="555"/>
      <c r="L44" s="556"/>
      <c r="M44" s="556"/>
      <c r="N44" s="557"/>
      <c r="O44" s="556"/>
      <c r="P44" s="558"/>
      <c r="Q44" s="556"/>
    </row>
    <row r="45" spans="1:17" ht="23.25" x14ac:dyDescent="0.25">
      <c r="A45" s="221"/>
      <c r="B45" s="88"/>
      <c r="C45" s="220"/>
      <c r="D45" s="536"/>
      <c r="E45" s="560"/>
      <c r="F45" s="553"/>
      <c r="G45" s="554"/>
      <c r="H45" s="554"/>
      <c r="I45" s="555"/>
      <c r="J45" s="674" t="e">
        <f t="shared" si="0"/>
        <v>#DIV/0!</v>
      </c>
      <c r="K45" s="555"/>
      <c r="L45" s="556"/>
      <c r="M45" s="556"/>
      <c r="N45" s="557"/>
      <c r="O45" s="556"/>
      <c r="P45" s="558"/>
      <c r="Q45" s="556"/>
    </row>
    <row r="46" spans="1:17" x14ac:dyDescent="0.25">
      <c r="E46" s="567"/>
      <c r="F46" s="568"/>
      <c r="G46" s="567"/>
      <c r="H46" s="567"/>
      <c r="I46" s="567"/>
      <c r="J46" s="674" t="e">
        <f t="shared" si="0"/>
        <v>#DIV/0!</v>
      </c>
      <c r="K46" s="564"/>
      <c r="L46" s="567"/>
      <c r="M46" s="567"/>
      <c r="N46" s="569"/>
      <c r="O46" s="567"/>
      <c r="P46" s="567"/>
      <c r="Q46" s="567"/>
    </row>
    <row r="47" spans="1:17" x14ac:dyDescent="0.25">
      <c r="E47" s="567"/>
      <c r="F47" s="568"/>
      <c r="G47" s="567"/>
      <c r="H47" s="567"/>
      <c r="I47" s="567"/>
      <c r="J47" s="674" t="e">
        <f t="shared" si="0"/>
        <v>#DIV/0!</v>
      </c>
      <c r="K47" s="564"/>
      <c r="L47" s="567"/>
      <c r="M47" s="567"/>
      <c r="N47" s="569"/>
      <c r="O47" s="567"/>
      <c r="P47" s="567"/>
      <c r="Q47" s="567"/>
    </row>
    <row r="48" spans="1:17" x14ac:dyDescent="0.25">
      <c r="E48" s="567"/>
      <c r="F48" s="568"/>
      <c r="G48" s="567"/>
      <c r="H48" s="567"/>
      <c r="I48" s="567"/>
      <c r="J48" s="674" t="e">
        <f t="shared" si="0"/>
        <v>#DIV/0!</v>
      </c>
      <c r="K48" s="564"/>
      <c r="L48" s="567"/>
      <c r="M48" s="567"/>
      <c r="N48" s="569"/>
      <c r="O48" s="567"/>
      <c r="P48" s="567"/>
      <c r="Q48" s="567"/>
    </row>
    <row r="49" spans="5:17" s="295" customFormat="1" x14ac:dyDescent="0.25">
      <c r="E49" s="567"/>
      <c r="F49" s="570"/>
      <c r="G49" s="567"/>
      <c r="H49" s="567"/>
      <c r="I49" s="567"/>
      <c r="J49" s="674" t="e">
        <f t="shared" si="0"/>
        <v>#DIV/0!</v>
      </c>
      <c r="K49" s="564"/>
      <c r="L49" s="567"/>
      <c r="M49" s="567"/>
      <c r="N49" s="569"/>
      <c r="O49" s="567"/>
      <c r="P49" s="567"/>
      <c r="Q49" s="567"/>
    </row>
    <row r="50" spans="5:17" s="295" customFormat="1" x14ac:dyDescent="0.25">
      <c r="E50" s="567"/>
      <c r="F50" s="570"/>
      <c r="G50" s="567"/>
      <c r="H50" s="567"/>
      <c r="I50" s="567"/>
      <c r="J50" s="674" t="e">
        <f t="shared" si="0"/>
        <v>#DIV/0!</v>
      </c>
      <c r="K50" s="564"/>
      <c r="L50" s="567"/>
      <c r="M50" s="567"/>
      <c r="N50" s="569"/>
      <c r="O50" s="567"/>
      <c r="P50" s="567"/>
      <c r="Q50" s="567"/>
    </row>
    <row r="51" spans="5:17" s="295" customFormat="1" x14ac:dyDescent="0.25">
      <c r="E51" s="567"/>
      <c r="F51" s="570"/>
      <c r="G51" s="567"/>
      <c r="H51" s="567"/>
      <c r="I51" s="567"/>
      <c r="J51" s="674" t="e">
        <f t="shared" si="0"/>
        <v>#DIV/0!</v>
      </c>
      <c r="K51" s="564"/>
      <c r="L51" s="567"/>
      <c r="M51" s="567"/>
      <c r="N51" s="569"/>
      <c r="O51" s="567"/>
      <c r="P51" s="567"/>
      <c r="Q51" s="567"/>
    </row>
    <row r="52" spans="5:17" s="295" customFormat="1" x14ac:dyDescent="0.25">
      <c r="E52" s="567"/>
      <c r="F52" s="570"/>
      <c r="G52" s="567"/>
      <c r="H52" s="567"/>
      <c r="I52" s="567"/>
      <c r="J52" s="674" t="e">
        <f t="shared" si="0"/>
        <v>#DIV/0!</v>
      </c>
      <c r="K52" s="564"/>
      <c r="L52" s="567"/>
      <c r="M52" s="567"/>
      <c r="N52" s="569"/>
      <c r="O52" s="567"/>
      <c r="P52" s="567"/>
      <c r="Q52" s="567"/>
    </row>
    <row r="53" spans="5:17" s="295" customFormat="1" x14ac:dyDescent="0.25">
      <c r="E53" s="567"/>
      <c r="F53" s="570"/>
      <c r="G53" s="567"/>
      <c r="H53" s="567"/>
      <c r="I53" s="567"/>
      <c r="J53" s="674" t="e">
        <f t="shared" si="0"/>
        <v>#DIV/0!</v>
      </c>
      <c r="K53" s="564"/>
      <c r="L53" s="567"/>
      <c r="M53" s="567"/>
      <c r="N53" s="569"/>
      <c r="O53" s="567"/>
      <c r="P53" s="567"/>
      <c r="Q53" s="567"/>
    </row>
    <row r="54" spans="5:17" s="295" customFormat="1" x14ac:dyDescent="0.25">
      <c r="E54" s="567"/>
      <c r="F54" s="570"/>
      <c r="G54" s="567"/>
      <c r="H54" s="567"/>
      <c r="I54" s="567"/>
      <c r="J54" s="674" t="e">
        <f t="shared" si="0"/>
        <v>#DIV/0!</v>
      </c>
      <c r="K54" s="564"/>
      <c r="L54" s="567"/>
      <c r="M54" s="567"/>
      <c r="N54" s="569"/>
      <c r="O54" s="567"/>
      <c r="P54" s="567"/>
      <c r="Q54" s="567"/>
    </row>
    <row r="55" spans="5:17" s="295" customFormat="1" x14ac:dyDescent="0.25">
      <c r="E55" s="567"/>
      <c r="F55" s="570"/>
      <c r="G55" s="567"/>
      <c r="H55" s="567"/>
      <c r="I55" s="567"/>
      <c r="J55" s="674" t="e">
        <f t="shared" si="0"/>
        <v>#DIV/0!</v>
      </c>
      <c r="K55" s="564"/>
      <c r="L55" s="567"/>
      <c r="M55" s="567"/>
      <c r="N55" s="569"/>
      <c r="O55" s="567"/>
      <c r="P55" s="567"/>
      <c r="Q55" s="567"/>
    </row>
    <row r="56" spans="5:17" s="295" customFormat="1" x14ac:dyDescent="0.25">
      <c r="E56" s="567"/>
      <c r="F56" s="570"/>
      <c r="G56" s="567"/>
      <c r="H56" s="567"/>
      <c r="I56" s="567"/>
      <c r="J56" s="674" t="e">
        <f t="shared" si="0"/>
        <v>#DIV/0!</v>
      </c>
      <c r="K56" s="564"/>
      <c r="L56" s="567"/>
      <c r="M56" s="567"/>
      <c r="N56" s="569"/>
      <c r="O56" s="567"/>
      <c r="P56" s="567"/>
      <c r="Q56" s="567"/>
    </row>
    <row r="57" spans="5:17" s="295" customFormat="1" x14ac:dyDescent="0.25">
      <c r="E57" s="567"/>
      <c r="F57" s="570"/>
      <c r="G57" s="567"/>
      <c r="H57" s="567"/>
      <c r="I57" s="567"/>
      <c r="J57" s="674" t="e">
        <f t="shared" si="0"/>
        <v>#DIV/0!</v>
      </c>
      <c r="K57" s="564"/>
      <c r="L57" s="567"/>
      <c r="M57" s="567"/>
      <c r="N57" s="569"/>
      <c r="O57" s="567"/>
      <c r="P57" s="567"/>
      <c r="Q57" s="567"/>
    </row>
    <row r="58" spans="5:17" s="295" customFormat="1" x14ac:dyDescent="0.25">
      <c r="E58" s="567"/>
      <c r="F58" s="570"/>
      <c r="G58" s="567"/>
      <c r="H58" s="567"/>
      <c r="I58" s="567"/>
      <c r="J58" s="674" t="e">
        <f t="shared" si="0"/>
        <v>#DIV/0!</v>
      </c>
      <c r="K58" s="564"/>
      <c r="L58" s="567"/>
      <c r="M58" s="567"/>
      <c r="N58" s="569"/>
      <c r="O58" s="567"/>
      <c r="P58" s="567"/>
      <c r="Q58" s="567"/>
    </row>
    <row r="59" spans="5:17" s="295" customFormat="1" x14ac:dyDescent="0.25">
      <c r="E59" s="567"/>
      <c r="F59" s="570"/>
      <c r="G59" s="567"/>
      <c r="H59" s="567"/>
      <c r="I59" s="567"/>
      <c r="J59" s="674" t="e">
        <f t="shared" si="0"/>
        <v>#DIV/0!</v>
      </c>
      <c r="K59" s="564"/>
      <c r="L59" s="567"/>
      <c r="M59" s="567"/>
      <c r="N59" s="569"/>
      <c r="O59" s="567"/>
      <c r="P59" s="567"/>
      <c r="Q59" s="567"/>
    </row>
    <row r="60" spans="5:17" s="295" customFormat="1" x14ac:dyDescent="0.25">
      <c r="E60" s="567"/>
      <c r="F60" s="570"/>
      <c r="G60" s="567"/>
      <c r="H60" s="567"/>
      <c r="I60" s="567"/>
      <c r="J60" s="674" t="e">
        <f t="shared" si="0"/>
        <v>#DIV/0!</v>
      </c>
      <c r="K60" s="564"/>
      <c r="L60" s="567"/>
      <c r="M60" s="567"/>
      <c r="N60" s="569"/>
      <c r="O60" s="567"/>
      <c r="P60" s="567"/>
      <c r="Q60" s="567"/>
    </row>
    <row r="61" spans="5:17" s="295" customFormat="1" x14ac:dyDescent="0.25">
      <c r="E61" s="567"/>
      <c r="F61" s="570"/>
      <c r="G61" s="567"/>
      <c r="H61" s="567"/>
      <c r="I61" s="567"/>
      <c r="J61" s="674" t="e">
        <f t="shared" si="0"/>
        <v>#DIV/0!</v>
      </c>
      <c r="K61" s="564"/>
      <c r="L61" s="567"/>
      <c r="M61" s="567"/>
      <c r="N61" s="569"/>
      <c r="O61" s="567"/>
      <c r="P61" s="567"/>
      <c r="Q61" s="567"/>
    </row>
    <row r="62" spans="5:17" s="295" customFormat="1" x14ac:dyDescent="0.25">
      <c r="E62" s="567"/>
      <c r="F62" s="570"/>
      <c r="G62" s="567"/>
      <c r="H62" s="567"/>
      <c r="I62" s="567"/>
      <c r="J62" s="674" t="e">
        <f t="shared" si="0"/>
        <v>#DIV/0!</v>
      </c>
      <c r="K62" s="564"/>
      <c r="L62" s="567"/>
      <c r="M62" s="567"/>
      <c r="N62" s="569"/>
      <c r="O62" s="567"/>
      <c r="P62" s="567"/>
      <c r="Q62" s="567"/>
    </row>
    <row r="63" spans="5:17" s="295" customFormat="1" x14ac:dyDescent="0.25">
      <c r="E63" s="567"/>
      <c r="F63" s="570"/>
      <c r="G63" s="567"/>
      <c r="H63" s="567"/>
      <c r="I63" s="567"/>
      <c r="J63" s="674" t="e">
        <f t="shared" si="0"/>
        <v>#DIV/0!</v>
      </c>
      <c r="K63" s="564"/>
      <c r="L63" s="567"/>
      <c r="M63" s="567"/>
      <c r="N63" s="569"/>
      <c r="O63" s="567"/>
      <c r="P63" s="567"/>
      <c r="Q63" s="567"/>
    </row>
    <row r="64" spans="5:17" s="295" customFormat="1" x14ac:dyDescent="0.25">
      <c r="E64" s="567"/>
      <c r="F64" s="570"/>
      <c r="G64" s="567"/>
      <c r="H64" s="567"/>
      <c r="I64" s="567"/>
      <c r="J64" s="674" t="e">
        <f t="shared" si="0"/>
        <v>#DIV/0!</v>
      </c>
      <c r="K64" s="564"/>
      <c r="L64" s="567"/>
      <c r="M64" s="567"/>
      <c r="N64" s="569"/>
      <c r="O64" s="567"/>
      <c r="P64" s="567"/>
      <c r="Q64" s="567"/>
    </row>
    <row r="65" spans="5:17" s="295" customFormat="1" x14ac:dyDescent="0.25">
      <c r="E65" s="567"/>
      <c r="F65" s="570"/>
      <c r="G65" s="567"/>
      <c r="H65" s="567"/>
      <c r="I65" s="567"/>
      <c r="J65" s="674" t="e">
        <f t="shared" si="0"/>
        <v>#DIV/0!</v>
      </c>
      <c r="K65" s="564"/>
      <c r="L65" s="567"/>
      <c r="M65" s="567"/>
      <c r="N65" s="569"/>
      <c r="O65" s="567"/>
      <c r="P65" s="567"/>
      <c r="Q65" s="567"/>
    </row>
    <row r="66" spans="5:17" s="295" customFormat="1" x14ac:dyDescent="0.25">
      <c r="E66" s="567"/>
      <c r="F66" s="570"/>
      <c r="G66" s="567"/>
      <c r="H66" s="567"/>
      <c r="I66" s="567"/>
      <c r="J66" s="674" t="e">
        <f t="shared" si="0"/>
        <v>#DIV/0!</v>
      </c>
      <c r="K66" s="564"/>
      <c r="L66" s="567"/>
      <c r="M66" s="567"/>
      <c r="N66" s="569"/>
      <c r="O66" s="567"/>
      <c r="P66" s="567"/>
      <c r="Q66" s="567"/>
    </row>
    <row r="67" spans="5:17" s="295" customFormat="1" x14ac:dyDescent="0.25">
      <c r="E67" s="567"/>
      <c r="F67" s="570"/>
      <c r="G67" s="567"/>
      <c r="H67" s="567"/>
      <c r="I67" s="567"/>
      <c r="J67" s="674" t="e">
        <f t="shared" si="0"/>
        <v>#DIV/0!</v>
      </c>
      <c r="K67" s="564"/>
      <c r="L67" s="567"/>
      <c r="M67" s="567"/>
      <c r="N67" s="569"/>
      <c r="O67" s="567"/>
      <c r="P67" s="567"/>
      <c r="Q67" s="567"/>
    </row>
    <row r="68" spans="5:17" s="295" customFormat="1" x14ac:dyDescent="0.25">
      <c r="E68" s="567"/>
      <c r="F68" s="570"/>
      <c r="G68" s="567"/>
      <c r="H68" s="567"/>
      <c r="I68" s="567"/>
      <c r="J68" s="674" t="e">
        <f t="shared" si="0"/>
        <v>#DIV/0!</v>
      </c>
      <c r="K68" s="564"/>
      <c r="L68" s="567"/>
      <c r="M68" s="567"/>
      <c r="N68" s="569"/>
      <c r="O68" s="567"/>
      <c r="P68" s="567"/>
      <c r="Q68" s="567"/>
    </row>
    <row r="69" spans="5:17" s="295" customFormat="1" x14ac:dyDescent="0.25">
      <c r="E69" s="567"/>
      <c r="F69" s="570"/>
      <c r="G69" s="567"/>
      <c r="H69" s="567"/>
      <c r="I69" s="567"/>
      <c r="J69" s="674" t="e">
        <f t="shared" ref="J69:J132" si="1">(I69*K69/100)/(H69*G69)*1000</f>
        <v>#DIV/0!</v>
      </c>
      <c r="K69" s="564"/>
      <c r="L69" s="567"/>
      <c r="M69" s="567"/>
      <c r="N69" s="569"/>
      <c r="O69" s="567"/>
      <c r="P69" s="567"/>
      <c r="Q69" s="567"/>
    </row>
    <row r="70" spans="5:17" s="295" customFormat="1" x14ac:dyDescent="0.25">
      <c r="E70" s="567"/>
      <c r="F70" s="570"/>
      <c r="G70" s="567"/>
      <c r="H70" s="567"/>
      <c r="I70" s="567"/>
      <c r="J70" s="674" t="e">
        <f t="shared" si="1"/>
        <v>#DIV/0!</v>
      </c>
      <c r="K70" s="564"/>
      <c r="L70" s="567"/>
      <c r="M70" s="567"/>
      <c r="N70" s="569"/>
      <c r="O70" s="567"/>
      <c r="P70" s="567"/>
      <c r="Q70" s="567"/>
    </row>
    <row r="71" spans="5:17" s="295" customFormat="1" x14ac:dyDescent="0.25">
      <c r="E71" s="567"/>
      <c r="F71" s="570"/>
      <c r="G71" s="567"/>
      <c r="H71" s="567"/>
      <c r="I71" s="567"/>
      <c r="J71" s="674" t="e">
        <f t="shared" si="1"/>
        <v>#DIV/0!</v>
      </c>
      <c r="K71" s="564"/>
      <c r="L71" s="567"/>
      <c r="M71" s="567"/>
      <c r="N71" s="569"/>
      <c r="O71" s="567"/>
      <c r="P71" s="567"/>
      <c r="Q71" s="567"/>
    </row>
    <row r="72" spans="5:17" s="295" customFormat="1" x14ac:dyDescent="0.25">
      <c r="E72" s="567"/>
      <c r="F72" s="570"/>
      <c r="G72" s="567"/>
      <c r="H72" s="567"/>
      <c r="I72" s="567"/>
      <c r="J72" s="674" t="e">
        <f t="shared" si="1"/>
        <v>#DIV/0!</v>
      </c>
      <c r="K72" s="564"/>
      <c r="L72" s="567"/>
      <c r="M72" s="567"/>
      <c r="N72" s="569"/>
      <c r="O72" s="567"/>
      <c r="P72" s="567"/>
      <c r="Q72" s="567"/>
    </row>
    <row r="73" spans="5:17" s="295" customFormat="1" x14ac:dyDescent="0.25">
      <c r="E73" s="567"/>
      <c r="F73" s="570"/>
      <c r="G73" s="567"/>
      <c r="H73" s="567"/>
      <c r="I73" s="567"/>
      <c r="J73" s="674" t="e">
        <f t="shared" si="1"/>
        <v>#DIV/0!</v>
      </c>
      <c r="K73" s="564"/>
      <c r="L73" s="567"/>
      <c r="M73" s="567"/>
      <c r="N73" s="569"/>
      <c r="O73" s="567"/>
      <c r="P73" s="567"/>
      <c r="Q73" s="567"/>
    </row>
    <row r="74" spans="5:17" s="295" customFormat="1" x14ac:dyDescent="0.25">
      <c r="E74" s="567"/>
      <c r="F74" s="570"/>
      <c r="G74" s="567"/>
      <c r="H74" s="567"/>
      <c r="I74" s="567"/>
      <c r="J74" s="674" t="e">
        <f t="shared" si="1"/>
        <v>#DIV/0!</v>
      </c>
      <c r="K74" s="564"/>
      <c r="L74" s="567"/>
      <c r="M74" s="567"/>
      <c r="N74" s="569"/>
      <c r="O74" s="567"/>
      <c r="P74" s="567"/>
      <c r="Q74" s="567"/>
    </row>
    <row r="75" spans="5:17" s="295" customFormat="1" x14ac:dyDescent="0.25">
      <c r="E75" s="567"/>
      <c r="F75" s="570"/>
      <c r="G75" s="567"/>
      <c r="H75" s="567"/>
      <c r="I75" s="567"/>
      <c r="J75" s="674" t="e">
        <f t="shared" si="1"/>
        <v>#DIV/0!</v>
      </c>
      <c r="K75" s="564"/>
      <c r="L75" s="567"/>
      <c r="M75" s="567"/>
      <c r="N75" s="569"/>
      <c r="O75" s="567"/>
      <c r="P75" s="567"/>
      <c r="Q75" s="567"/>
    </row>
    <row r="76" spans="5:17" s="295" customFormat="1" x14ac:dyDescent="0.25">
      <c r="E76" s="567"/>
      <c r="F76" s="570"/>
      <c r="G76" s="567"/>
      <c r="H76" s="567"/>
      <c r="I76" s="567"/>
      <c r="J76" s="674" t="e">
        <f t="shared" si="1"/>
        <v>#DIV/0!</v>
      </c>
      <c r="K76" s="564"/>
      <c r="L76" s="567"/>
      <c r="M76" s="567"/>
      <c r="N76" s="569"/>
      <c r="O76" s="567"/>
      <c r="P76" s="567"/>
      <c r="Q76" s="567"/>
    </row>
    <row r="77" spans="5:17" s="295" customFormat="1" x14ac:dyDescent="0.25">
      <c r="E77" s="567"/>
      <c r="F77" s="570"/>
      <c r="G77" s="567"/>
      <c r="H77" s="567"/>
      <c r="I77" s="567"/>
      <c r="J77" s="674" t="e">
        <f t="shared" si="1"/>
        <v>#DIV/0!</v>
      </c>
      <c r="K77" s="564"/>
      <c r="L77" s="567"/>
      <c r="M77" s="567"/>
      <c r="N77" s="569"/>
      <c r="O77" s="567"/>
      <c r="P77" s="567"/>
      <c r="Q77" s="567"/>
    </row>
    <row r="78" spans="5:17" s="295" customFormat="1" x14ac:dyDescent="0.25">
      <c r="E78" s="567"/>
      <c r="F78" s="570"/>
      <c r="G78" s="567"/>
      <c r="H78" s="567"/>
      <c r="I78" s="567"/>
      <c r="J78" s="674" t="e">
        <f t="shared" si="1"/>
        <v>#DIV/0!</v>
      </c>
      <c r="K78" s="564"/>
      <c r="L78" s="567"/>
      <c r="M78" s="567"/>
      <c r="N78" s="569"/>
      <c r="O78" s="567"/>
      <c r="P78" s="567"/>
      <c r="Q78" s="567"/>
    </row>
    <row r="79" spans="5:17" s="295" customFormat="1" x14ac:dyDescent="0.25">
      <c r="E79" s="567"/>
      <c r="F79" s="570"/>
      <c r="G79" s="567"/>
      <c r="H79" s="567"/>
      <c r="I79" s="567"/>
      <c r="J79" s="674" t="e">
        <f t="shared" si="1"/>
        <v>#DIV/0!</v>
      </c>
      <c r="K79" s="564"/>
      <c r="L79" s="567"/>
      <c r="M79" s="567"/>
      <c r="N79" s="569"/>
      <c r="O79" s="567"/>
      <c r="P79" s="567"/>
      <c r="Q79" s="567"/>
    </row>
    <row r="80" spans="5:17" s="295" customFormat="1" x14ac:dyDescent="0.25">
      <c r="E80" s="567"/>
      <c r="F80" s="570"/>
      <c r="G80" s="567"/>
      <c r="H80" s="567"/>
      <c r="I80" s="567"/>
      <c r="J80" s="674" t="e">
        <f t="shared" si="1"/>
        <v>#DIV/0!</v>
      </c>
      <c r="K80" s="564"/>
      <c r="L80" s="567"/>
      <c r="M80" s="567"/>
      <c r="N80" s="569"/>
      <c r="O80" s="567"/>
      <c r="P80" s="567"/>
      <c r="Q80" s="567"/>
    </row>
    <row r="81" spans="5:17" s="295" customFormat="1" x14ac:dyDescent="0.25">
      <c r="E81" s="567"/>
      <c r="F81" s="570"/>
      <c r="G81" s="567"/>
      <c r="H81" s="567"/>
      <c r="I81" s="567"/>
      <c r="J81" s="674" t="e">
        <f t="shared" si="1"/>
        <v>#DIV/0!</v>
      </c>
      <c r="K81" s="564"/>
      <c r="L81" s="567"/>
      <c r="M81" s="567"/>
      <c r="N81" s="569"/>
      <c r="O81" s="567"/>
      <c r="P81" s="567"/>
      <c r="Q81" s="567"/>
    </row>
    <row r="82" spans="5:17" s="295" customFormat="1" x14ac:dyDescent="0.25">
      <c r="E82" s="567"/>
      <c r="F82" s="570"/>
      <c r="G82" s="567"/>
      <c r="H82" s="567"/>
      <c r="I82" s="567"/>
      <c r="J82" s="674" t="e">
        <f t="shared" si="1"/>
        <v>#DIV/0!</v>
      </c>
      <c r="K82" s="564"/>
      <c r="L82" s="567"/>
      <c r="M82" s="567"/>
      <c r="N82" s="569"/>
      <c r="O82" s="567"/>
      <c r="P82" s="567"/>
      <c r="Q82" s="567"/>
    </row>
    <row r="83" spans="5:17" s="295" customFormat="1" x14ac:dyDescent="0.25">
      <c r="E83" s="567"/>
      <c r="F83" s="570"/>
      <c r="G83" s="567"/>
      <c r="H83" s="567"/>
      <c r="I83" s="567"/>
      <c r="J83" s="674" t="e">
        <f t="shared" si="1"/>
        <v>#DIV/0!</v>
      </c>
      <c r="K83" s="564"/>
      <c r="L83" s="567"/>
      <c r="M83" s="567"/>
      <c r="N83" s="569"/>
      <c r="O83" s="567"/>
      <c r="P83" s="567"/>
      <c r="Q83" s="567"/>
    </row>
    <row r="84" spans="5:17" s="295" customFormat="1" x14ac:dyDescent="0.25">
      <c r="E84" s="567"/>
      <c r="F84" s="570"/>
      <c r="G84" s="567"/>
      <c r="H84" s="567"/>
      <c r="I84" s="567"/>
      <c r="J84" s="674" t="e">
        <f t="shared" si="1"/>
        <v>#DIV/0!</v>
      </c>
      <c r="K84" s="564"/>
      <c r="L84" s="567"/>
      <c r="M84" s="567"/>
      <c r="N84" s="569"/>
      <c r="O84" s="567"/>
      <c r="P84" s="567"/>
      <c r="Q84" s="567"/>
    </row>
    <row r="85" spans="5:17" s="295" customFormat="1" x14ac:dyDescent="0.25">
      <c r="E85" s="567"/>
      <c r="F85" s="570"/>
      <c r="G85" s="567"/>
      <c r="H85" s="567"/>
      <c r="I85" s="567"/>
      <c r="J85" s="674" t="e">
        <f t="shared" si="1"/>
        <v>#DIV/0!</v>
      </c>
      <c r="K85" s="564"/>
      <c r="L85" s="567"/>
      <c r="M85" s="567"/>
      <c r="N85" s="569"/>
      <c r="O85" s="567"/>
      <c r="P85" s="567"/>
      <c r="Q85" s="567"/>
    </row>
    <row r="86" spans="5:17" s="295" customFormat="1" x14ac:dyDescent="0.25">
      <c r="E86" s="567"/>
      <c r="F86" s="570"/>
      <c r="G86" s="567"/>
      <c r="H86" s="567"/>
      <c r="I86" s="567"/>
      <c r="J86" s="674" t="e">
        <f t="shared" si="1"/>
        <v>#DIV/0!</v>
      </c>
      <c r="K86" s="564"/>
      <c r="L86" s="567"/>
      <c r="M86" s="567"/>
      <c r="N86" s="569"/>
      <c r="O86" s="567"/>
      <c r="P86" s="567"/>
      <c r="Q86" s="567"/>
    </row>
    <row r="87" spans="5:17" s="295" customFormat="1" x14ac:dyDescent="0.25">
      <c r="E87" s="567"/>
      <c r="F87" s="570"/>
      <c r="G87" s="567"/>
      <c r="H87" s="567"/>
      <c r="I87" s="567"/>
      <c r="J87" s="674" t="e">
        <f t="shared" si="1"/>
        <v>#DIV/0!</v>
      </c>
      <c r="K87" s="564"/>
      <c r="L87" s="567"/>
      <c r="M87" s="567"/>
      <c r="N87" s="569"/>
      <c r="O87" s="567"/>
      <c r="P87" s="567"/>
      <c r="Q87" s="567"/>
    </row>
    <row r="88" spans="5:17" s="295" customFormat="1" x14ac:dyDescent="0.25">
      <c r="E88" s="567"/>
      <c r="F88" s="570"/>
      <c r="G88" s="567"/>
      <c r="H88" s="567"/>
      <c r="I88" s="567"/>
      <c r="J88" s="674" t="e">
        <f t="shared" si="1"/>
        <v>#DIV/0!</v>
      </c>
      <c r="K88" s="564"/>
      <c r="L88" s="567"/>
      <c r="M88" s="567"/>
      <c r="N88" s="569"/>
      <c r="O88" s="567"/>
      <c r="P88" s="567"/>
      <c r="Q88" s="567"/>
    </row>
    <row r="89" spans="5:17" s="295" customFormat="1" x14ac:dyDescent="0.25">
      <c r="E89" s="567"/>
      <c r="F89" s="570"/>
      <c r="G89" s="567"/>
      <c r="H89" s="567"/>
      <c r="I89" s="567"/>
      <c r="J89" s="674" t="e">
        <f t="shared" si="1"/>
        <v>#DIV/0!</v>
      </c>
      <c r="K89" s="564"/>
      <c r="L89" s="567"/>
      <c r="M89" s="567"/>
      <c r="N89" s="569"/>
      <c r="O89" s="567"/>
      <c r="P89" s="567"/>
      <c r="Q89" s="567"/>
    </row>
    <row r="90" spans="5:17" s="295" customFormat="1" x14ac:dyDescent="0.25">
      <c r="E90" s="567"/>
      <c r="F90" s="570"/>
      <c r="G90" s="567"/>
      <c r="H90" s="567"/>
      <c r="I90" s="567"/>
      <c r="J90" s="674" t="e">
        <f t="shared" si="1"/>
        <v>#DIV/0!</v>
      </c>
      <c r="K90" s="564"/>
      <c r="L90" s="567"/>
      <c r="M90" s="567"/>
      <c r="N90" s="569"/>
      <c r="O90" s="567"/>
      <c r="P90" s="567"/>
      <c r="Q90" s="567"/>
    </row>
    <row r="91" spans="5:17" s="295" customFormat="1" x14ac:dyDescent="0.25">
      <c r="E91" s="567"/>
      <c r="F91" s="570"/>
      <c r="G91" s="567"/>
      <c r="H91" s="567"/>
      <c r="I91" s="567"/>
      <c r="J91" s="674" t="e">
        <f t="shared" si="1"/>
        <v>#DIV/0!</v>
      </c>
      <c r="K91" s="564"/>
      <c r="L91" s="567"/>
      <c r="M91" s="567"/>
      <c r="N91" s="569"/>
      <c r="O91" s="567"/>
      <c r="P91" s="567"/>
      <c r="Q91" s="567"/>
    </row>
    <row r="92" spans="5:17" s="295" customFormat="1" x14ac:dyDescent="0.25">
      <c r="E92" s="567"/>
      <c r="F92" s="570"/>
      <c r="G92" s="567"/>
      <c r="H92" s="567"/>
      <c r="I92" s="567"/>
      <c r="J92" s="674" t="e">
        <f t="shared" si="1"/>
        <v>#DIV/0!</v>
      </c>
      <c r="K92" s="564"/>
      <c r="L92" s="567"/>
      <c r="M92" s="567"/>
      <c r="N92" s="569"/>
      <c r="O92" s="567"/>
      <c r="P92" s="567"/>
      <c r="Q92" s="567"/>
    </row>
    <row r="93" spans="5:17" s="295" customFormat="1" x14ac:dyDescent="0.25">
      <c r="E93" s="567"/>
      <c r="F93" s="570"/>
      <c r="G93" s="567"/>
      <c r="H93" s="567"/>
      <c r="I93" s="567"/>
      <c r="J93" s="674" t="e">
        <f t="shared" si="1"/>
        <v>#DIV/0!</v>
      </c>
      <c r="K93" s="564"/>
      <c r="L93" s="567"/>
      <c r="M93" s="567"/>
      <c r="N93" s="569"/>
      <c r="O93" s="567"/>
      <c r="P93" s="567"/>
      <c r="Q93" s="567"/>
    </row>
    <row r="94" spans="5:17" s="295" customFormat="1" x14ac:dyDescent="0.25">
      <c r="E94" s="567"/>
      <c r="F94" s="570"/>
      <c r="G94" s="567"/>
      <c r="H94" s="567"/>
      <c r="I94" s="567"/>
      <c r="J94" s="674" t="e">
        <f t="shared" si="1"/>
        <v>#DIV/0!</v>
      </c>
      <c r="K94" s="564"/>
      <c r="L94" s="567"/>
      <c r="M94" s="567"/>
      <c r="N94" s="569"/>
      <c r="O94" s="567"/>
      <c r="P94" s="567"/>
      <c r="Q94" s="567"/>
    </row>
    <row r="95" spans="5:17" s="295" customFormat="1" x14ac:dyDescent="0.25">
      <c r="E95" s="567"/>
      <c r="F95" s="570"/>
      <c r="G95" s="567"/>
      <c r="H95" s="567"/>
      <c r="I95" s="567"/>
      <c r="J95" s="674" t="e">
        <f t="shared" si="1"/>
        <v>#DIV/0!</v>
      </c>
      <c r="K95" s="564"/>
      <c r="L95" s="567"/>
      <c r="M95" s="567"/>
      <c r="N95" s="569"/>
      <c r="O95" s="567"/>
      <c r="P95" s="567"/>
      <c r="Q95" s="567"/>
    </row>
    <row r="96" spans="5:17" s="295" customFormat="1" x14ac:dyDescent="0.25">
      <c r="E96" s="567"/>
      <c r="F96" s="570"/>
      <c r="G96" s="567"/>
      <c r="H96" s="567"/>
      <c r="I96" s="567"/>
      <c r="J96" s="674" t="e">
        <f t="shared" si="1"/>
        <v>#DIV/0!</v>
      </c>
      <c r="K96" s="564"/>
      <c r="L96" s="567"/>
      <c r="M96" s="567"/>
      <c r="N96" s="569"/>
      <c r="O96" s="567"/>
      <c r="P96" s="567"/>
      <c r="Q96" s="567"/>
    </row>
    <row r="97" spans="5:17" s="295" customFormat="1" x14ac:dyDescent="0.25">
      <c r="E97" s="567"/>
      <c r="F97" s="570"/>
      <c r="G97" s="567"/>
      <c r="H97" s="567"/>
      <c r="I97" s="567"/>
      <c r="J97" s="674" t="e">
        <f t="shared" si="1"/>
        <v>#DIV/0!</v>
      </c>
      <c r="K97" s="564"/>
      <c r="L97" s="567"/>
      <c r="M97" s="567"/>
      <c r="N97" s="569"/>
      <c r="O97" s="567"/>
      <c r="P97" s="567"/>
      <c r="Q97" s="567"/>
    </row>
    <row r="98" spans="5:17" s="295" customFormat="1" x14ac:dyDescent="0.25">
      <c r="E98" s="567"/>
      <c r="F98" s="570"/>
      <c r="G98" s="567"/>
      <c r="H98" s="567"/>
      <c r="I98" s="567"/>
      <c r="J98" s="674" t="e">
        <f t="shared" si="1"/>
        <v>#DIV/0!</v>
      </c>
      <c r="K98" s="564"/>
      <c r="L98" s="567"/>
      <c r="M98" s="567"/>
      <c r="N98" s="569"/>
      <c r="O98" s="567"/>
      <c r="P98" s="567"/>
      <c r="Q98" s="567"/>
    </row>
    <row r="99" spans="5:17" s="295" customFormat="1" x14ac:dyDescent="0.25">
      <c r="E99" s="567"/>
      <c r="F99" s="570"/>
      <c r="G99" s="567"/>
      <c r="H99" s="567"/>
      <c r="I99" s="567"/>
      <c r="J99" s="674" t="e">
        <f t="shared" si="1"/>
        <v>#DIV/0!</v>
      </c>
      <c r="K99" s="564"/>
      <c r="L99" s="567"/>
      <c r="M99" s="567"/>
      <c r="N99" s="569"/>
      <c r="O99" s="567"/>
      <c r="P99" s="567"/>
      <c r="Q99" s="567"/>
    </row>
    <row r="100" spans="5:17" s="295" customFormat="1" x14ac:dyDescent="0.25">
      <c r="E100" s="567"/>
      <c r="F100" s="570"/>
      <c r="G100" s="567"/>
      <c r="H100" s="567"/>
      <c r="I100" s="567"/>
      <c r="J100" s="674" t="e">
        <f t="shared" si="1"/>
        <v>#DIV/0!</v>
      </c>
      <c r="K100" s="564"/>
      <c r="L100" s="567"/>
      <c r="M100" s="567"/>
      <c r="N100" s="569"/>
      <c r="O100" s="567"/>
      <c r="P100" s="567"/>
      <c r="Q100" s="567"/>
    </row>
    <row r="101" spans="5:17" s="295" customFormat="1" x14ac:dyDescent="0.25">
      <c r="E101" s="567"/>
      <c r="F101" s="570"/>
      <c r="G101" s="567"/>
      <c r="H101" s="567"/>
      <c r="I101" s="567"/>
      <c r="J101" s="674" t="e">
        <f t="shared" si="1"/>
        <v>#DIV/0!</v>
      </c>
      <c r="K101" s="564"/>
      <c r="L101" s="567"/>
      <c r="M101" s="567"/>
      <c r="N101" s="569"/>
      <c r="O101" s="567"/>
      <c r="P101" s="567"/>
      <c r="Q101" s="567"/>
    </row>
    <row r="102" spans="5:17" s="295" customFormat="1" x14ac:dyDescent="0.25">
      <c r="E102" s="567"/>
      <c r="F102" s="570"/>
      <c r="G102" s="567"/>
      <c r="H102" s="567"/>
      <c r="I102" s="567"/>
      <c r="J102" s="674" t="e">
        <f t="shared" si="1"/>
        <v>#DIV/0!</v>
      </c>
      <c r="K102" s="564"/>
      <c r="L102" s="567"/>
      <c r="M102" s="567"/>
      <c r="N102" s="569"/>
      <c r="O102" s="567"/>
      <c r="P102" s="567"/>
      <c r="Q102" s="567"/>
    </row>
    <row r="103" spans="5:17" s="295" customFormat="1" x14ac:dyDescent="0.25">
      <c r="E103" s="567"/>
      <c r="F103" s="570"/>
      <c r="G103" s="567"/>
      <c r="H103" s="567"/>
      <c r="I103" s="567"/>
      <c r="J103" s="674" t="e">
        <f t="shared" si="1"/>
        <v>#DIV/0!</v>
      </c>
      <c r="K103" s="564"/>
      <c r="L103" s="567"/>
      <c r="M103" s="567"/>
      <c r="N103" s="569"/>
      <c r="O103" s="567"/>
      <c r="P103" s="567"/>
      <c r="Q103" s="567"/>
    </row>
    <row r="104" spans="5:17" s="295" customFormat="1" x14ac:dyDescent="0.25">
      <c r="E104" s="567"/>
      <c r="F104" s="570"/>
      <c r="G104" s="567"/>
      <c r="H104" s="567"/>
      <c r="I104" s="567"/>
      <c r="J104" s="674" t="e">
        <f t="shared" si="1"/>
        <v>#DIV/0!</v>
      </c>
      <c r="K104" s="564"/>
      <c r="L104" s="567"/>
      <c r="M104" s="567"/>
      <c r="N104" s="569"/>
      <c r="O104" s="567"/>
      <c r="P104" s="567"/>
      <c r="Q104" s="567"/>
    </row>
    <row r="105" spans="5:17" s="295" customFormat="1" x14ac:dyDescent="0.25">
      <c r="E105" s="567"/>
      <c r="F105" s="570"/>
      <c r="G105" s="567"/>
      <c r="H105" s="567"/>
      <c r="I105" s="567"/>
      <c r="J105" s="674" t="e">
        <f t="shared" si="1"/>
        <v>#DIV/0!</v>
      </c>
      <c r="K105" s="564"/>
      <c r="L105" s="567"/>
      <c r="M105" s="567"/>
      <c r="N105" s="569"/>
      <c r="O105" s="567"/>
      <c r="P105" s="567"/>
      <c r="Q105" s="567"/>
    </row>
    <row r="106" spans="5:17" s="295" customFormat="1" x14ac:dyDescent="0.25">
      <c r="E106" s="567"/>
      <c r="F106" s="570"/>
      <c r="G106" s="567"/>
      <c r="H106" s="567"/>
      <c r="I106" s="567"/>
      <c r="J106" s="674" t="e">
        <f t="shared" si="1"/>
        <v>#DIV/0!</v>
      </c>
      <c r="K106" s="564"/>
      <c r="L106" s="567"/>
      <c r="M106" s="567"/>
      <c r="N106" s="569"/>
      <c r="O106" s="567"/>
      <c r="P106" s="567"/>
      <c r="Q106" s="567"/>
    </row>
    <row r="107" spans="5:17" s="295" customFormat="1" x14ac:dyDescent="0.25">
      <c r="E107" s="567"/>
      <c r="F107" s="570"/>
      <c r="G107" s="567"/>
      <c r="H107" s="567"/>
      <c r="I107" s="567"/>
      <c r="J107" s="674" t="e">
        <f t="shared" si="1"/>
        <v>#DIV/0!</v>
      </c>
      <c r="K107" s="564"/>
      <c r="L107" s="567"/>
      <c r="M107" s="567"/>
      <c r="N107" s="569"/>
      <c r="O107" s="567"/>
      <c r="P107" s="567"/>
      <c r="Q107" s="567"/>
    </row>
    <row r="108" spans="5:17" s="295" customFormat="1" x14ac:dyDescent="0.25">
      <c r="E108" s="567"/>
      <c r="F108" s="570"/>
      <c r="G108" s="567"/>
      <c r="H108" s="567"/>
      <c r="I108" s="567"/>
      <c r="J108" s="674" t="e">
        <f t="shared" si="1"/>
        <v>#DIV/0!</v>
      </c>
      <c r="K108" s="564"/>
      <c r="L108" s="567"/>
      <c r="M108" s="567"/>
      <c r="N108" s="569"/>
      <c r="O108" s="567"/>
      <c r="P108" s="567"/>
      <c r="Q108" s="567"/>
    </row>
    <row r="109" spans="5:17" s="295" customFormat="1" x14ac:dyDescent="0.25">
      <c r="E109" s="567"/>
      <c r="F109" s="570"/>
      <c r="G109" s="567"/>
      <c r="H109" s="567"/>
      <c r="I109" s="567"/>
      <c r="J109" s="674" t="e">
        <f t="shared" si="1"/>
        <v>#DIV/0!</v>
      </c>
      <c r="K109" s="564"/>
      <c r="L109" s="567"/>
      <c r="M109" s="567"/>
      <c r="N109" s="569"/>
      <c r="O109" s="567"/>
      <c r="P109" s="567"/>
      <c r="Q109" s="567"/>
    </row>
    <row r="110" spans="5:17" s="295" customFormat="1" x14ac:dyDescent="0.25">
      <c r="E110" s="567"/>
      <c r="F110" s="570"/>
      <c r="G110" s="567"/>
      <c r="H110" s="567"/>
      <c r="I110" s="567"/>
      <c r="J110" s="674" t="e">
        <f t="shared" si="1"/>
        <v>#DIV/0!</v>
      </c>
      <c r="K110" s="564"/>
      <c r="L110" s="567"/>
      <c r="M110" s="567"/>
      <c r="N110" s="569"/>
      <c r="O110" s="567"/>
      <c r="P110" s="567"/>
      <c r="Q110" s="567"/>
    </row>
    <row r="111" spans="5:17" s="295" customFormat="1" x14ac:dyDescent="0.25">
      <c r="E111" s="567"/>
      <c r="F111" s="570"/>
      <c r="G111" s="567"/>
      <c r="H111" s="567"/>
      <c r="I111" s="567"/>
      <c r="J111" s="674" t="e">
        <f t="shared" si="1"/>
        <v>#DIV/0!</v>
      </c>
      <c r="K111" s="564"/>
      <c r="L111" s="567"/>
      <c r="M111" s="567"/>
      <c r="N111" s="569"/>
      <c r="O111" s="567"/>
      <c r="P111" s="567"/>
      <c r="Q111" s="567"/>
    </row>
    <row r="112" spans="5:17" s="295" customFormat="1" x14ac:dyDescent="0.25">
      <c r="E112" s="567"/>
      <c r="F112" s="570"/>
      <c r="G112" s="567"/>
      <c r="H112" s="567"/>
      <c r="I112" s="567"/>
      <c r="J112" s="674" t="e">
        <f t="shared" si="1"/>
        <v>#DIV/0!</v>
      </c>
      <c r="K112" s="564"/>
      <c r="L112" s="567"/>
      <c r="M112" s="567"/>
      <c r="N112" s="569"/>
      <c r="O112" s="567"/>
      <c r="P112" s="567"/>
      <c r="Q112" s="567"/>
    </row>
    <row r="113" spans="5:17" s="295" customFormat="1" x14ac:dyDescent="0.25">
      <c r="E113" s="567"/>
      <c r="F113" s="570"/>
      <c r="G113" s="567"/>
      <c r="H113" s="567"/>
      <c r="I113" s="567"/>
      <c r="J113" s="674" t="e">
        <f t="shared" si="1"/>
        <v>#DIV/0!</v>
      </c>
      <c r="K113" s="564"/>
      <c r="L113" s="567"/>
      <c r="M113" s="567"/>
      <c r="N113" s="569"/>
      <c r="O113" s="567"/>
      <c r="P113" s="567"/>
      <c r="Q113" s="567"/>
    </row>
    <row r="114" spans="5:17" s="295" customFormat="1" x14ac:dyDescent="0.25">
      <c r="E114" s="567"/>
      <c r="F114" s="570"/>
      <c r="G114" s="567"/>
      <c r="H114" s="567"/>
      <c r="I114" s="567"/>
      <c r="J114" s="674" t="e">
        <f t="shared" si="1"/>
        <v>#DIV/0!</v>
      </c>
      <c r="K114" s="564"/>
      <c r="L114" s="567"/>
      <c r="M114" s="567"/>
      <c r="N114" s="569"/>
      <c r="O114" s="567"/>
      <c r="P114" s="567"/>
      <c r="Q114" s="567"/>
    </row>
    <row r="115" spans="5:17" s="295" customFormat="1" x14ac:dyDescent="0.25">
      <c r="E115" s="567"/>
      <c r="F115" s="570"/>
      <c r="G115" s="567"/>
      <c r="H115" s="567"/>
      <c r="I115" s="567"/>
      <c r="J115" s="674" t="e">
        <f t="shared" si="1"/>
        <v>#DIV/0!</v>
      </c>
      <c r="K115" s="564"/>
      <c r="L115" s="567"/>
      <c r="M115" s="567"/>
      <c r="N115" s="569"/>
      <c r="O115" s="567"/>
      <c r="P115" s="567"/>
      <c r="Q115" s="567"/>
    </row>
    <row r="116" spans="5:17" s="295" customFormat="1" x14ac:dyDescent="0.25">
      <c r="E116" s="567"/>
      <c r="F116" s="570"/>
      <c r="G116" s="567"/>
      <c r="H116" s="567"/>
      <c r="I116" s="567"/>
      <c r="J116" s="674" t="e">
        <f t="shared" si="1"/>
        <v>#DIV/0!</v>
      </c>
      <c r="K116" s="564"/>
      <c r="L116" s="567"/>
      <c r="M116" s="567"/>
      <c r="N116" s="569"/>
      <c r="O116" s="567"/>
      <c r="P116" s="567"/>
      <c r="Q116" s="567"/>
    </row>
    <row r="117" spans="5:17" s="295" customFormat="1" x14ac:dyDescent="0.25">
      <c r="E117" s="567"/>
      <c r="F117" s="570"/>
      <c r="G117" s="567"/>
      <c r="H117" s="567"/>
      <c r="I117" s="567"/>
      <c r="J117" s="674" t="e">
        <f t="shared" si="1"/>
        <v>#DIV/0!</v>
      </c>
      <c r="K117" s="564"/>
      <c r="L117" s="567"/>
      <c r="M117" s="567"/>
      <c r="N117" s="569"/>
      <c r="O117" s="567"/>
      <c r="P117" s="567"/>
      <c r="Q117" s="567"/>
    </row>
    <row r="118" spans="5:17" s="295" customFormat="1" x14ac:dyDescent="0.25">
      <c r="E118" s="567"/>
      <c r="F118" s="570"/>
      <c r="G118" s="567"/>
      <c r="H118" s="567"/>
      <c r="I118" s="567"/>
      <c r="J118" s="674" t="e">
        <f t="shared" si="1"/>
        <v>#DIV/0!</v>
      </c>
      <c r="K118" s="564"/>
      <c r="L118" s="567"/>
      <c r="M118" s="567"/>
      <c r="N118" s="569"/>
      <c r="O118" s="567"/>
      <c r="P118" s="567"/>
      <c r="Q118" s="567"/>
    </row>
    <row r="119" spans="5:17" s="295" customFormat="1" x14ac:dyDescent="0.25">
      <c r="E119" s="567"/>
      <c r="F119" s="570"/>
      <c r="G119" s="567"/>
      <c r="H119" s="567"/>
      <c r="I119" s="567"/>
      <c r="J119" s="674" t="e">
        <f t="shared" si="1"/>
        <v>#DIV/0!</v>
      </c>
      <c r="K119" s="564"/>
      <c r="L119" s="567"/>
      <c r="M119" s="567"/>
      <c r="N119" s="569"/>
      <c r="O119" s="567"/>
      <c r="P119" s="567"/>
      <c r="Q119" s="567"/>
    </row>
    <row r="120" spans="5:17" s="295" customFormat="1" x14ac:dyDescent="0.25">
      <c r="E120" s="567"/>
      <c r="F120" s="570"/>
      <c r="G120" s="567"/>
      <c r="H120" s="567"/>
      <c r="I120" s="567"/>
      <c r="J120" s="674" t="e">
        <f t="shared" si="1"/>
        <v>#DIV/0!</v>
      </c>
      <c r="K120" s="564"/>
      <c r="L120" s="567"/>
      <c r="M120" s="567"/>
      <c r="N120" s="569"/>
      <c r="O120" s="567"/>
      <c r="P120" s="567"/>
      <c r="Q120" s="567"/>
    </row>
    <row r="121" spans="5:17" s="295" customFormat="1" x14ac:dyDescent="0.25">
      <c r="E121" s="567"/>
      <c r="F121" s="570"/>
      <c r="G121" s="567"/>
      <c r="H121" s="567"/>
      <c r="I121" s="567"/>
      <c r="J121" s="674" t="e">
        <f t="shared" si="1"/>
        <v>#DIV/0!</v>
      </c>
      <c r="K121" s="564"/>
      <c r="L121" s="567"/>
      <c r="M121" s="567"/>
      <c r="N121" s="569"/>
      <c r="O121" s="567"/>
      <c r="P121" s="567"/>
      <c r="Q121" s="567"/>
    </row>
    <row r="122" spans="5:17" s="295" customFormat="1" x14ac:dyDescent="0.25">
      <c r="E122" s="567"/>
      <c r="F122" s="570"/>
      <c r="G122" s="567"/>
      <c r="H122" s="567"/>
      <c r="I122" s="567"/>
      <c r="J122" s="674" t="e">
        <f t="shared" si="1"/>
        <v>#DIV/0!</v>
      </c>
      <c r="K122" s="564"/>
      <c r="L122" s="567"/>
      <c r="M122" s="567"/>
      <c r="N122" s="569"/>
      <c r="O122" s="567"/>
      <c r="P122" s="567"/>
      <c r="Q122" s="567"/>
    </row>
    <row r="123" spans="5:17" s="295" customFormat="1" x14ac:dyDescent="0.25">
      <c r="E123" s="567"/>
      <c r="F123" s="570"/>
      <c r="G123" s="567"/>
      <c r="H123" s="567"/>
      <c r="I123" s="567"/>
      <c r="J123" s="674" t="e">
        <f t="shared" si="1"/>
        <v>#DIV/0!</v>
      </c>
      <c r="K123" s="564"/>
      <c r="L123" s="567"/>
      <c r="M123" s="567"/>
      <c r="N123" s="569"/>
      <c r="O123" s="567"/>
      <c r="P123" s="567"/>
      <c r="Q123" s="567"/>
    </row>
    <row r="124" spans="5:17" s="295" customFormat="1" x14ac:dyDescent="0.25">
      <c r="E124" s="567"/>
      <c r="F124" s="570"/>
      <c r="G124" s="567"/>
      <c r="H124" s="567"/>
      <c r="I124" s="567"/>
      <c r="J124" s="674" t="e">
        <f t="shared" si="1"/>
        <v>#DIV/0!</v>
      </c>
      <c r="K124" s="564"/>
      <c r="L124" s="567"/>
      <c r="M124" s="567"/>
      <c r="N124" s="569"/>
      <c r="O124" s="567"/>
      <c r="P124" s="567"/>
      <c r="Q124" s="567"/>
    </row>
    <row r="125" spans="5:17" s="295" customFormat="1" x14ac:dyDescent="0.25">
      <c r="E125" s="567"/>
      <c r="F125" s="570"/>
      <c r="G125" s="567"/>
      <c r="H125" s="567"/>
      <c r="I125" s="567"/>
      <c r="J125" s="674" t="e">
        <f t="shared" si="1"/>
        <v>#DIV/0!</v>
      </c>
      <c r="K125" s="564"/>
      <c r="L125" s="567"/>
      <c r="M125" s="567"/>
      <c r="N125" s="569"/>
      <c r="O125" s="567"/>
      <c r="P125" s="567"/>
      <c r="Q125" s="567"/>
    </row>
    <row r="126" spans="5:17" s="295" customFormat="1" x14ac:dyDescent="0.25">
      <c r="E126" s="567"/>
      <c r="F126" s="570"/>
      <c r="G126" s="567"/>
      <c r="H126" s="567"/>
      <c r="I126" s="567"/>
      <c r="J126" s="674" t="e">
        <f t="shared" si="1"/>
        <v>#DIV/0!</v>
      </c>
      <c r="K126" s="564"/>
      <c r="L126" s="567"/>
      <c r="M126" s="567"/>
      <c r="N126" s="569"/>
      <c r="O126" s="567"/>
      <c r="P126" s="567"/>
      <c r="Q126" s="567"/>
    </row>
    <row r="127" spans="5:17" s="295" customFormat="1" x14ac:dyDescent="0.25">
      <c r="E127" s="567"/>
      <c r="F127" s="570"/>
      <c r="G127" s="567"/>
      <c r="H127" s="567"/>
      <c r="I127" s="567"/>
      <c r="J127" s="674" t="e">
        <f t="shared" si="1"/>
        <v>#DIV/0!</v>
      </c>
      <c r="K127" s="564"/>
      <c r="L127" s="567"/>
      <c r="M127" s="567"/>
      <c r="N127" s="569"/>
      <c r="O127" s="567"/>
      <c r="P127" s="567"/>
      <c r="Q127" s="567"/>
    </row>
    <row r="128" spans="5:17" s="295" customFormat="1" x14ac:dyDescent="0.25">
      <c r="E128" s="567"/>
      <c r="F128" s="570"/>
      <c r="G128" s="567"/>
      <c r="H128" s="567"/>
      <c r="I128" s="567"/>
      <c r="J128" s="674" t="e">
        <f t="shared" si="1"/>
        <v>#DIV/0!</v>
      </c>
      <c r="K128" s="564"/>
      <c r="L128" s="567"/>
      <c r="M128" s="567"/>
      <c r="N128" s="569"/>
      <c r="O128" s="567"/>
      <c r="P128" s="567"/>
      <c r="Q128" s="567"/>
    </row>
    <row r="129" spans="5:17" s="295" customFormat="1" x14ac:dyDescent="0.25">
      <c r="E129" s="567"/>
      <c r="F129" s="570"/>
      <c r="G129" s="567"/>
      <c r="H129" s="567"/>
      <c r="I129" s="567"/>
      <c r="J129" s="674" t="e">
        <f t="shared" si="1"/>
        <v>#DIV/0!</v>
      </c>
      <c r="K129" s="564"/>
      <c r="L129" s="567"/>
      <c r="M129" s="567"/>
      <c r="N129" s="569"/>
      <c r="O129" s="567"/>
      <c r="P129" s="567"/>
      <c r="Q129" s="567"/>
    </row>
    <row r="130" spans="5:17" s="295" customFormat="1" x14ac:dyDescent="0.25">
      <c r="E130" s="567"/>
      <c r="F130" s="570"/>
      <c r="G130" s="567"/>
      <c r="H130" s="567"/>
      <c r="I130" s="567"/>
      <c r="J130" s="674" t="e">
        <f t="shared" si="1"/>
        <v>#DIV/0!</v>
      </c>
      <c r="K130" s="564"/>
      <c r="L130" s="567"/>
      <c r="M130" s="567"/>
      <c r="N130" s="569"/>
      <c r="O130" s="567"/>
      <c r="P130" s="567"/>
      <c r="Q130" s="567"/>
    </row>
    <row r="131" spans="5:17" s="295" customFormat="1" x14ac:dyDescent="0.25">
      <c r="E131" s="567"/>
      <c r="F131" s="570"/>
      <c r="G131" s="567"/>
      <c r="H131" s="567"/>
      <c r="I131" s="567"/>
      <c r="J131" s="674" t="e">
        <f t="shared" si="1"/>
        <v>#DIV/0!</v>
      </c>
      <c r="K131" s="564"/>
      <c r="L131" s="567"/>
      <c r="M131" s="567"/>
      <c r="N131" s="569"/>
      <c r="O131" s="567"/>
      <c r="P131" s="567"/>
      <c r="Q131" s="567"/>
    </row>
    <row r="132" spans="5:17" s="295" customFormat="1" x14ac:dyDescent="0.25">
      <c r="E132" s="567"/>
      <c r="F132" s="570"/>
      <c r="G132" s="567"/>
      <c r="H132" s="567"/>
      <c r="I132" s="567"/>
      <c r="J132" s="674" t="e">
        <f t="shared" si="1"/>
        <v>#DIV/0!</v>
      </c>
      <c r="K132" s="564"/>
      <c r="L132" s="567"/>
      <c r="M132" s="567"/>
      <c r="N132" s="569"/>
      <c r="O132" s="567"/>
      <c r="P132" s="567"/>
      <c r="Q132" s="567"/>
    </row>
    <row r="133" spans="5:17" s="295" customFormat="1" x14ac:dyDescent="0.25">
      <c r="E133" s="567"/>
      <c r="F133" s="570"/>
      <c r="G133" s="567"/>
      <c r="H133" s="567"/>
      <c r="I133" s="567"/>
      <c r="J133" s="674" t="e">
        <f t="shared" ref="J133:J196" si="2">(I133*K133/100)/(H133*G133)*1000</f>
        <v>#DIV/0!</v>
      </c>
      <c r="K133" s="564"/>
      <c r="L133" s="567"/>
      <c r="M133" s="567"/>
      <c r="N133" s="569"/>
      <c r="O133" s="567"/>
      <c r="P133" s="567"/>
      <c r="Q133" s="567"/>
    </row>
    <row r="134" spans="5:17" s="295" customFormat="1" x14ac:dyDescent="0.25">
      <c r="E134" s="567"/>
      <c r="F134" s="570"/>
      <c r="G134" s="567"/>
      <c r="H134" s="567"/>
      <c r="I134" s="567"/>
      <c r="J134" s="674" t="e">
        <f t="shared" si="2"/>
        <v>#DIV/0!</v>
      </c>
      <c r="K134" s="564"/>
      <c r="L134" s="567"/>
      <c r="M134" s="567"/>
      <c r="N134" s="569"/>
      <c r="O134" s="567"/>
      <c r="P134" s="567"/>
      <c r="Q134" s="567"/>
    </row>
    <row r="135" spans="5:17" s="295" customFormat="1" x14ac:dyDescent="0.25">
      <c r="E135" s="567"/>
      <c r="F135" s="570"/>
      <c r="G135" s="567"/>
      <c r="H135" s="567"/>
      <c r="I135" s="567"/>
      <c r="J135" s="674" t="e">
        <f t="shared" si="2"/>
        <v>#DIV/0!</v>
      </c>
      <c r="K135" s="564"/>
      <c r="L135" s="567"/>
      <c r="M135" s="567"/>
      <c r="N135" s="569"/>
      <c r="O135" s="567"/>
      <c r="P135" s="567"/>
      <c r="Q135" s="567"/>
    </row>
    <row r="136" spans="5:17" s="295" customFormat="1" x14ac:dyDescent="0.25">
      <c r="E136" s="567"/>
      <c r="F136" s="570"/>
      <c r="G136" s="567"/>
      <c r="H136" s="567"/>
      <c r="I136" s="567"/>
      <c r="J136" s="674" t="e">
        <f t="shared" si="2"/>
        <v>#DIV/0!</v>
      </c>
      <c r="K136" s="564"/>
      <c r="L136" s="567"/>
      <c r="M136" s="567"/>
      <c r="N136" s="569"/>
      <c r="O136" s="567"/>
      <c r="P136" s="567"/>
      <c r="Q136" s="567"/>
    </row>
    <row r="137" spans="5:17" s="295" customFormat="1" x14ac:dyDescent="0.25">
      <c r="E137" s="567"/>
      <c r="F137" s="570"/>
      <c r="G137" s="567"/>
      <c r="H137" s="567"/>
      <c r="I137" s="567"/>
      <c r="J137" s="674" t="e">
        <f t="shared" si="2"/>
        <v>#DIV/0!</v>
      </c>
      <c r="K137" s="564"/>
      <c r="L137" s="567"/>
      <c r="M137" s="567"/>
      <c r="N137" s="569"/>
      <c r="O137" s="567"/>
      <c r="P137" s="567"/>
      <c r="Q137" s="567"/>
    </row>
    <row r="138" spans="5:17" s="295" customFormat="1" x14ac:dyDescent="0.25">
      <c r="E138" s="567"/>
      <c r="F138" s="570"/>
      <c r="G138" s="567"/>
      <c r="H138" s="567"/>
      <c r="I138" s="567"/>
      <c r="J138" s="674" t="e">
        <f t="shared" si="2"/>
        <v>#DIV/0!</v>
      </c>
      <c r="K138" s="564"/>
      <c r="L138" s="567"/>
      <c r="M138" s="567"/>
      <c r="N138" s="569"/>
      <c r="O138" s="567"/>
      <c r="P138" s="567"/>
      <c r="Q138" s="567"/>
    </row>
    <row r="139" spans="5:17" s="295" customFormat="1" x14ac:dyDescent="0.25">
      <c r="E139" s="567"/>
      <c r="F139" s="570"/>
      <c r="G139" s="567"/>
      <c r="H139" s="567"/>
      <c r="I139" s="567"/>
      <c r="J139" s="674" t="e">
        <f t="shared" si="2"/>
        <v>#DIV/0!</v>
      </c>
      <c r="K139" s="564"/>
      <c r="L139" s="567"/>
      <c r="M139" s="567"/>
      <c r="N139" s="569"/>
      <c r="O139" s="567"/>
      <c r="P139" s="567"/>
      <c r="Q139" s="567"/>
    </row>
    <row r="140" spans="5:17" s="295" customFormat="1" x14ac:dyDescent="0.25">
      <c r="E140" s="567"/>
      <c r="F140" s="570"/>
      <c r="G140" s="567"/>
      <c r="H140" s="567"/>
      <c r="I140" s="567"/>
      <c r="J140" s="674" t="e">
        <f t="shared" si="2"/>
        <v>#DIV/0!</v>
      </c>
      <c r="K140" s="564"/>
      <c r="L140" s="567"/>
      <c r="M140" s="567"/>
      <c r="N140" s="569"/>
      <c r="O140" s="567"/>
      <c r="P140" s="567"/>
      <c r="Q140" s="567"/>
    </row>
    <row r="141" spans="5:17" s="295" customFormat="1" x14ac:dyDescent="0.25">
      <c r="E141" s="567"/>
      <c r="F141" s="570"/>
      <c r="G141" s="567"/>
      <c r="H141" s="567"/>
      <c r="I141" s="567"/>
      <c r="J141" s="674" t="e">
        <f t="shared" si="2"/>
        <v>#DIV/0!</v>
      </c>
      <c r="K141" s="564"/>
      <c r="L141" s="567"/>
      <c r="M141" s="567"/>
      <c r="N141" s="569"/>
      <c r="O141" s="567"/>
      <c r="P141" s="567"/>
      <c r="Q141" s="567"/>
    </row>
    <row r="142" spans="5:17" s="295" customFormat="1" x14ac:dyDescent="0.25">
      <c r="E142" s="567"/>
      <c r="F142" s="570"/>
      <c r="G142" s="567"/>
      <c r="H142" s="567"/>
      <c r="I142" s="567"/>
      <c r="J142" s="674" t="e">
        <f t="shared" si="2"/>
        <v>#DIV/0!</v>
      </c>
      <c r="K142" s="564"/>
      <c r="L142" s="567"/>
      <c r="M142" s="567"/>
      <c r="N142" s="569"/>
      <c r="O142" s="567"/>
      <c r="P142" s="567"/>
      <c r="Q142" s="567"/>
    </row>
    <row r="143" spans="5:17" s="295" customFormat="1" x14ac:dyDescent="0.25">
      <c r="E143" s="567"/>
      <c r="F143" s="570"/>
      <c r="G143" s="567"/>
      <c r="H143" s="567"/>
      <c r="I143" s="567"/>
      <c r="J143" s="674" t="e">
        <f t="shared" si="2"/>
        <v>#DIV/0!</v>
      </c>
      <c r="K143" s="564"/>
      <c r="L143" s="567"/>
      <c r="M143" s="567"/>
      <c r="N143" s="569"/>
      <c r="O143" s="567"/>
      <c r="P143" s="567"/>
      <c r="Q143" s="567"/>
    </row>
    <row r="144" spans="5:17" s="295" customFormat="1" x14ac:dyDescent="0.25">
      <c r="E144" s="567"/>
      <c r="F144" s="570"/>
      <c r="G144" s="567"/>
      <c r="H144" s="567"/>
      <c r="I144" s="567"/>
      <c r="J144" s="674" t="e">
        <f t="shared" si="2"/>
        <v>#DIV/0!</v>
      </c>
      <c r="K144" s="564"/>
      <c r="L144" s="567"/>
      <c r="M144" s="567"/>
      <c r="N144" s="569"/>
      <c r="O144" s="567"/>
      <c r="P144" s="567"/>
      <c r="Q144" s="567"/>
    </row>
    <row r="145" spans="5:17" s="295" customFormat="1" x14ac:dyDescent="0.25">
      <c r="E145" s="567"/>
      <c r="F145" s="570"/>
      <c r="G145" s="567"/>
      <c r="H145" s="567"/>
      <c r="I145" s="567"/>
      <c r="J145" s="674" t="e">
        <f t="shared" si="2"/>
        <v>#DIV/0!</v>
      </c>
      <c r="K145" s="564"/>
      <c r="L145" s="567"/>
      <c r="M145" s="567"/>
      <c r="N145" s="569"/>
      <c r="O145" s="567"/>
      <c r="P145" s="567"/>
      <c r="Q145" s="567"/>
    </row>
    <row r="146" spans="5:17" s="295" customFormat="1" x14ac:dyDescent="0.25">
      <c r="E146" s="567"/>
      <c r="F146" s="570"/>
      <c r="G146" s="567"/>
      <c r="H146" s="567"/>
      <c r="I146" s="567"/>
      <c r="J146" s="674" t="e">
        <f t="shared" si="2"/>
        <v>#DIV/0!</v>
      </c>
      <c r="K146" s="564"/>
      <c r="L146" s="567"/>
      <c r="M146" s="567"/>
      <c r="N146" s="569"/>
      <c r="O146" s="567"/>
      <c r="P146" s="567"/>
      <c r="Q146" s="567"/>
    </row>
    <row r="147" spans="5:17" s="295" customFormat="1" x14ac:dyDescent="0.25">
      <c r="E147" s="567"/>
      <c r="F147" s="570"/>
      <c r="G147" s="567"/>
      <c r="H147" s="567"/>
      <c r="I147" s="567"/>
      <c r="J147" s="674" t="e">
        <f t="shared" si="2"/>
        <v>#DIV/0!</v>
      </c>
      <c r="K147" s="564"/>
      <c r="L147" s="567"/>
      <c r="M147" s="567"/>
      <c r="N147" s="569"/>
      <c r="O147" s="567"/>
      <c r="P147" s="567"/>
      <c r="Q147" s="567"/>
    </row>
    <row r="148" spans="5:17" s="295" customFormat="1" x14ac:dyDescent="0.25">
      <c r="E148" s="567"/>
      <c r="F148" s="570"/>
      <c r="G148" s="567"/>
      <c r="H148" s="567"/>
      <c r="I148" s="567"/>
      <c r="J148" s="674" t="e">
        <f t="shared" si="2"/>
        <v>#DIV/0!</v>
      </c>
      <c r="K148" s="564"/>
      <c r="L148" s="567"/>
      <c r="M148" s="567"/>
      <c r="N148" s="569"/>
      <c r="O148" s="567"/>
      <c r="P148" s="567"/>
      <c r="Q148" s="567"/>
    </row>
    <row r="149" spans="5:17" s="295" customFormat="1" x14ac:dyDescent="0.25">
      <c r="E149" s="567"/>
      <c r="F149" s="570"/>
      <c r="G149" s="567"/>
      <c r="H149" s="567"/>
      <c r="I149" s="567"/>
      <c r="J149" s="674" t="e">
        <f t="shared" si="2"/>
        <v>#DIV/0!</v>
      </c>
      <c r="K149" s="564"/>
      <c r="L149" s="567"/>
      <c r="M149" s="567"/>
      <c r="N149" s="569"/>
      <c r="O149" s="567"/>
      <c r="P149" s="567"/>
      <c r="Q149" s="567"/>
    </row>
    <row r="150" spans="5:17" s="295" customFormat="1" x14ac:dyDescent="0.25">
      <c r="E150" s="567"/>
      <c r="F150" s="570"/>
      <c r="G150" s="567"/>
      <c r="H150" s="567"/>
      <c r="I150" s="567"/>
      <c r="J150" s="674" t="e">
        <f t="shared" si="2"/>
        <v>#DIV/0!</v>
      </c>
      <c r="K150" s="564"/>
      <c r="L150" s="567"/>
      <c r="M150" s="567"/>
      <c r="N150" s="569"/>
      <c r="O150" s="567"/>
      <c r="P150" s="567"/>
      <c r="Q150" s="567"/>
    </row>
    <row r="151" spans="5:17" s="295" customFormat="1" x14ac:dyDescent="0.25">
      <c r="E151" s="567"/>
      <c r="F151" s="570"/>
      <c r="G151" s="567"/>
      <c r="H151" s="567"/>
      <c r="I151" s="567"/>
      <c r="J151" s="674" t="e">
        <f t="shared" si="2"/>
        <v>#DIV/0!</v>
      </c>
      <c r="K151" s="564"/>
      <c r="L151" s="567"/>
      <c r="M151" s="567"/>
      <c r="N151" s="569"/>
      <c r="O151" s="567"/>
      <c r="P151" s="567"/>
      <c r="Q151" s="567"/>
    </row>
    <row r="152" spans="5:17" s="295" customFormat="1" x14ac:dyDescent="0.25">
      <c r="E152" s="567"/>
      <c r="F152" s="570"/>
      <c r="G152" s="567"/>
      <c r="H152" s="567"/>
      <c r="I152" s="567"/>
      <c r="J152" s="674" t="e">
        <f t="shared" si="2"/>
        <v>#DIV/0!</v>
      </c>
      <c r="K152" s="564"/>
      <c r="L152" s="567"/>
      <c r="M152" s="567"/>
      <c r="N152" s="569"/>
      <c r="O152" s="567"/>
      <c r="P152" s="567"/>
      <c r="Q152" s="567"/>
    </row>
    <row r="153" spans="5:17" s="295" customFormat="1" x14ac:dyDescent="0.25">
      <c r="E153" s="567"/>
      <c r="F153" s="570"/>
      <c r="G153" s="567"/>
      <c r="H153" s="567"/>
      <c r="I153" s="567"/>
      <c r="J153" s="674" t="e">
        <f t="shared" si="2"/>
        <v>#DIV/0!</v>
      </c>
      <c r="K153" s="564"/>
      <c r="L153" s="567"/>
      <c r="M153" s="567"/>
      <c r="N153" s="569"/>
      <c r="O153" s="567"/>
      <c r="P153" s="567"/>
      <c r="Q153" s="567"/>
    </row>
    <row r="154" spans="5:17" s="295" customFormat="1" x14ac:dyDescent="0.25">
      <c r="E154" s="567"/>
      <c r="F154" s="570"/>
      <c r="G154" s="567"/>
      <c r="H154" s="567"/>
      <c r="I154" s="567"/>
      <c r="J154" s="674" t="e">
        <f t="shared" si="2"/>
        <v>#DIV/0!</v>
      </c>
      <c r="K154" s="564"/>
      <c r="L154" s="567"/>
      <c r="M154" s="567"/>
      <c r="N154" s="569"/>
      <c r="O154" s="567"/>
      <c r="P154" s="567"/>
      <c r="Q154" s="567"/>
    </row>
    <row r="155" spans="5:17" s="295" customFormat="1" x14ac:dyDescent="0.25">
      <c r="E155" s="567"/>
      <c r="F155" s="570"/>
      <c r="G155" s="567"/>
      <c r="H155" s="567"/>
      <c r="I155" s="567"/>
      <c r="J155" s="674" t="e">
        <f t="shared" si="2"/>
        <v>#DIV/0!</v>
      </c>
      <c r="K155" s="564"/>
      <c r="L155" s="567"/>
      <c r="M155" s="567"/>
      <c r="N155" s="569"/>
      <c r="O155" s="567"/>
      <c r="P155" s="567"/>
      <c r="Q155" s="567"/>
    </row>
    <row r="156" spans="5:17" s="295" customFormat="1" x14ac:dyDescent="0.25">
      <c r="E156" s="567"/>
      <c r="F156" s="570"/>
      <c r="G156" s="567"/>
      <c r="H156" s="567"/>
      <c r="I156" s="567"/>
      <c r="J156" s="674" t="e">
        <f t="shared" si="2"/>
        <v>#DIV/0!</v>
      </c>
      <c r="K156" s="564"/>
      <c r="L156" s="567"/>
      <c r="M156" s="567"/>
      <c r="N156" s="569"/>
      <c r="O156" s="567"/>
      <c r="P156" s="567"/>
      <c r="Q156" s="567"/>
    </row>
    <row r="157" spans="5:17" s="295" customFormat="1" x14ac:dyDescent="0.25">
      <c r="E157" s="567"/>
      <c r="F157" s="570"/>
      <c r="G157" s="567"/>
      <c r="H157" s="567"/>
      <c r="I157" s="567"/>
      <c r="J157" s="674" t="e">
        <f t="shared" si="2"/>
        <v>#DIV/0!</v>
      </c>
      <c r="K157" s="564"/>
      <c r="L157" s="567"/>
      <c r="M157" s="567"/>
      <c r="N157" s="569"/>
      <c r="O157" s="567"/>
      <c r="P157" s="567"/>
      <c r="Q157" s="567"/>
    </row>
    <row r="158" spans="5:17" s="295" customFormat="1" x14ac:dyDescent="0.25">
      <c r="E158" s="567"/>
      <c r="F158" s="570"/>
      <c r="G158" s="567"/>
      <c r="H158" s="567"/>
      <c r="I158" s="567"/>
      <c r="J158" s="674" t="e">
        <f t="shared" si="2"/>
        <v>#DIV/0!</v>
      </c>
      <c r="K158" s="564"/>
      <c r="L158" s="567"/>
      <c r="M158" s="567"/>
      <c r="N158" s="569"/>
      <c r="O158" s="567"/>
      <c r="P158" s="567"/>
      <c r="Q158" s="567"/>
    </row>
    <row r="159" spans="5:17" s="295" customFormat="1" x14ac:dyDescent="0.25">
      <c r="E159" s="567"/>
      <c r="F159" s="570"/>
      <c r="G159" s="567"/>
      <c r="H159" s="567"/>
      <c r="I159" s="567"/>
      <c r="J159" s="674" t="e">
        <f t="shared" si="2"/>
        <v>#DIV/0!</v>
      </c>
      <c r="K159" s="564"/>
      <c r="L159" s="567"/>
      <c r="M159" s="567"/>
      <c r="N159" s="569"/>
      <c r="O159" s="567"/>
      <c r="P159" s="567"/>
      <c r="Q159" s="567"/>
    </row>
    <row r="160" spans="5:17" s="295" customFormat="1" x14ac:dyDescent="0.25">
      <c r="E160" s="567"/>
      <c r="F160" s="570"/>
      <c r="G160" s="567"/>
      <c r="H160" s="567"/>
      <c r="I160" s="567"/>
      <c r="J160" s="674" t="e">
        <f t="shared" si="2"/>
        <v>#DIV/0!</v>
      </c>
      <c r="K160" s="564"/>
      <c r="L160" s="567"/>
      <c r="M160" s="567"/>
      <c r="N160" s="569"/>
      <c r="O160" s="567"/>
      <c r="P160" s="567"/>
      <c r="Q160" s="567"/>
    </row>
    <row r="161" spans="5:17" s="295" customFormat="1" x14ac:dyDescent="0.25">
      <c r="E161" s="567"/>
      <c r="F161" s="570"/>
      <c r="G161" s="567"/>
      <c r="H161" s="567"/>
      <c r="I161" s="567"/>
      <c r="J161" s="674" t="e">
        <f t="shared" si="2"/>
        <v>#DIV/0!</v>
      </c>
      <c r="K161" s="564"/>
      <c r="L161" s="567"/>
      <c r="M161" s="567"/>
      <c r="N161" s="569"/>
      <c r="O161" s="567"/>
      <c r="P161" s="567"/>
      <c r="Q161" s="567"/>
    </row>
    <row r="162" spans="5:17" s="295" customFormat="1" x14ac:dyDescent="0.25">
      <c r="E162" s="567"/>
      <c r="F162" s="570"/>
      <c r="G162" s="567"/>
      <c r="H162" s="567"/>
      <c r="I162" s="567"/>
      <c r="J162" s="674" t="e">
        <f t="shared" si="2"/>
        <v>#DIV/0!</v>
      </c>
      <c r="K162" s="564"/>
      <c r="L162" s="567"/>
      <c r="M162" s="567"/>
      <c r="N162" s="569"/>
      <c r="O162" s="567"/>
      <c r="P162" s="567"/>
      <c r="Q162" s="567"/>
    </row>
    <row r="163" spans="5:17" s="295" customFormat="1" x14ac:dyDescent="0.25">
      <c r="E163" s="567"/>
      <c r="F163" s="570"/>
      <c r="G163" s="567"/>
      <c r="H163" s="567"/>
      <c r="I163" s="567"/>
      <c r="J163" s="674" t="e">
        <f t="shared" si="2"/>
        <v>#DIV/0!</v>
      </c>
      <c r="K163" s="564"/>
      <c r="L163" s="567"/>
      <c r="M163" s="567"/>
      <c r="N163" s="569"/>
      <c r="O163" s="567"/>
      <c r="P163" s="567"/>
      <c r="Q163" s="567"/>
    </row>
    <row r="164" spans="5:17" s="295" customFormat="1" x14ac:dyDescent="0.25">
      <c r="E164" s="567"/>
      <c r="F164" s="570"/>
      <c r="G164" s="567"/>
      <c r="H164" s="567"/>
      <c r="I164" s="567"/>
      <c r="J164" s="674" t="e">
        <f t="shared" si="2"/>
        <v>#DIV/0!</v>
      </c>
      <c r="K164" s="564"/>
      <c r="L164" s="567"/>
      <c r="M164" s="567"/>
      <c r="N164" s="569"/>
      <c r="O164" s="567"/>
      <c r="P164" s="567"/>
      <c r="Q164" s="567"/>
    </row>
    <row r="165" spans="5:17" s="295" customFormat="1" x14ac:dyDescent="0.25">
      <c r="E165" s="567"/>
      <c r="F165" s="570"/>
      <c r="G165" s="567"/>
      <c r="H165" s="567"/>
      <c r="I165" s="567"/>
      <c r="J165" s="674" t="e">
        <f t="shared" si="2"/>
        <v>#DIV/0!</v>
      </c>
      <c r="K165" s="564"/>
      <c r="L165" s="567"/>
      <c r="M165" s="567"/>
      <c r="N165" s="569"/>
      <c r="O165" s="567"/>
      <c r="P165" s="567"/>
      <c r="Q165" s="567"/>
    </row>
    <row r="166" spans="5:17" s="295" customFormat="1" x14ac:dyDescent="0.25">
      <c r="E166" s="567"/>
      <c r="F166" s="570"/>
      <c r="G166" s="567"/>
      <c r="H166" s="567"/>
      <c r="I166" s="567"/>
      <c r="J166" s="674" t="e">
        <f t="shared" si="2"/>
        <v>#DIV/0!</v>
      </c>
      <c r="K166" s="564"/>
      <c r="L166" s="567"/>
      <c r="M166" s="567"/>
      <c r="N166" s="569"/>
      <c r="O166" s="567"/>
      <c r="P166" s="567"/>
      <c r="Q166" s="567"/>
    </row>
    <row r="167" spans="5:17" s="295" customFormat="1" x14ac:dyDescent="0.25">
      <c r="E167" s="567"/>
      <c r="F167" s="570"/>
      <c r="G167" s="567"/>
      <c r="H167" s="567"/>
      <c r="I167" s="567"/>
      <c r="J167" s="674" t="e">
        <f t="shared" si="2"/>
        <v>#DIV/0!</v>
      </c>
      <c r="K167" s="564"/>
      <c r="L167" s="567"/>
      <c r="M167" s="567"/>
      <c r="N167" s="569"/>
      <c r="O167" s="567"/>
      <c r="P167" s="567"/>
      <c r="Q167" s="567"/>
    </row>
    <row r="168" spans="5:17" s="295" customFormat="1" x14ac:dyDescent="0.25">
      <c r="E168" s="567"/>
      <c r="F168" s="570"/>
      <c r="G168" s="567"/>
      <c r="H168" s="567"/>
      <c r="I168" s="567"/>
      <c r="J168" s="674" t="e">
        <f t="shared" si="2"/>
        <v>#DIV/0!</v>
      </c>
      <c r="K168" s="564"/>
      <c r="L168" s="567"/>
      <c r="M168" s="567"/>
      <c r="N168" s="569"/>
      <c r="O168" s="567"/>
      <c r="P168" s="567"/>
      <c r="Q168" s="567"/>
    </row>
    <row r="169" spans="5:17" s="295" customFormat="1" x14ac:dyDescent="0.25">
      <c r="E169" s="567"/>
      <c r="F169" s="570"/>
      <c r="G169" s="567"/>
      <c r="H169" s="567"/>
      <c r="I169" s="567"/>
      <c r="J169" s="674" t="e">
        <f t="shared" si="2"/>
        <v>#DIV/0!</v>
      </c>
      <c r="K169" s="564"/>
      <c r="L169" s="567"/>
      <c r="M169" s="567"/>
      <c r="N169" s="569"/>
      <c r="O169" s="567"/>
      <c r="P169" s="567"/>
      <c r="Q169" s="567"/>
    </row>
    <row r="170" spans="5:17" s="295" customFormat="1" x14ac:dyDescent="0.25">
      <c r="E170" s="567"/>
      <c r="F170" s="570"/>
      <c r="G170" s="567"/>
      <c r="H170" s="567"/>
      <c r="I170" s="567"/>
      <c r="J170" s="674" t="e">
        <f t="shared" si="2"/>
        <v>#DIV/0!</v>
      </c>
      <c r="K170" s="564"/>
      <c r="L170" s="567"/>
      <c r="M170" s="567"/>
      <c r="N170" s="569"/>
      <c r="O170" s="567"/>
      <c r="P170" s="567"/>
      <c r="Q170" s="567"/>
    </row>
    <row r="171" spans="5:17" s="295" customFormat="1" x14ac:dyDescent="0.25">
      <c r="E171" s="567"/>
      <c r="F171" s="570"/>
      <c r="G171" s="567"/>
      <c r="H171" s="567"/>
      <c r="I171" s="567"/>
      <c r="J171" s="674" t="e">
        <f t="shared" si="2"/>
        <v>#DIV/0!</v>
      </c>
      <c r="K171" s="564"/>
      <c r="L171" s="567"/>
      <c r="M171" s="567"/>
      <c r="N171" s="569"/>
      <c r="O171" s="567"/>
      <c r="P171" s="567"/>
      <c r="Q171" s="567"/>
    </row>
    <row r="172" spans="5:17" s="295" customFormat="1" x14ac:dyDescent="0.25">
      <c r="E172" s="567"/>
      <c r="F172" s="570"/>
      <c r="G172" s="567"/>
      <c r="H172" s="567"/>
      <c r="I172" s="567"/>
      <c r="J172" s="674" t="e">
        <f t="shared" si="2"/>
        <v>#DIV/0!</v>
      </c>
      <c r="K172" s="564"/>
      <c r="L172" s="567"/>
      <c r="M172" s="567"/>
      <c r="N172" s="569"/>
      <c r="O172" s="567"/>
      <c r="P172" s="567"/>
      <c r="Q172" s="567"/>
    </row>
    <row r="173" spans="5:17" s="295" customFormat="1" x14ac:dyDescent="0.25">
      <c r="E173" s="567"/>
      <c r="F173" s="570"/>
      <c r="G173" s="567"/>
      <c r="H173" s="567"/>
      <c r="I173" s="567"/>
      <c r="J173" s="674" t="e">
        <f t="shared" si="2"/>
        <v>#DIV/0!</v>
      </c>
      <c r="K173" s="564"/>
      <c r="L173" s="567"/>
      <c r="M173" s="567"/>
      <c r="N173" s="569"/>
      <c r="O173" s="567"/>
      <c r="P173" s="567"/>
      <c r="Q173" s="567"/>
    </row>
    <row r="174" spans="5:17" s="295" customFormat="1" x14ac:dyDescent="0.25">
      <c r="E174" s="567"/>
      <c r="F174" s="570"/>
      <c r="G174" s="567"/>
      <c r="H174" s="567"/>
      <c r="I174" s="567"/>
      <c r="J174" s="674" t="e">
        <f t="shared" si="2"/>
        <v>#DIV/0!</v>
      </c>
      <c r="K174" s="564"/>
      <c r="L174" s="567"/>
      <c r="M174" s="567"/>
      <c r="N174" s="569"/>
      <c r="O174" s="567"/>
      <c r="P174" s="567"/>
      <c r="Q174" s="567"/>
    </row>
    <row r="175" spans="5:17" s="295" customFormat="1" x14ac:dyDescent="0.25">
      <c r="E175" s="567"/>
      <c r="F175" s="570"/>
      <c r="G175" s="567"/>
      <c r="H175" s="567"/>
      <c r="I175" s="567"/>
      <c r="J175" s="674" t="e">
        <f t="shared" si="2"/>
        <v>#DIV/0!</v>
      </c>
      <c r="K175" s="564"/>
      <c r="L175" s="567"/>
      <c r="M175" s="567"/>
      <c r="N175" s="569"/>
      <c r="O175" s="567"/>
      <c r="P175" s="567"/>
      <c r="Q175" s="567"/>
    </row>
    <row r="176" spans="5:17" s="295" customFormat="1" x14ac:dyDescent="0.25">
      <c r="E176" s="567"/>
      <c r="F176" s="570"/>
      <c r="G176" s="567"/>
      <c r="H176" s="567"/>
      <c r="I176" s="567"/>
      <c r="J176" s="674" t="e">
        <f t="shared" si="2"/>
        <v>#DIV/0!</v>
      </c>
      <c r="K176" s="564"/>
      <c r="L176" s="567"/>
      <c r="M176" s="567"/>
      <c r="N176" s="569"/>
      <c r="O176" s="567"/>
      <c r="P176" s="567"/>
      <c r="Q176" s="567"/>
    </row>
    <row r="177" spans="5:17" s="295" customFormat="1" x14ac:dyDescent="0.25">
      <c r="E177" s="567"/>
      <c r="F177" s="570"/>
      <c r="G177" s="567"/>
      <c r="H177" s="567"/>
      <c r="I177" s="567"/>
      <c r="J177" s="674" t="e">
        <f t="shared" si="2"/>
        <v>#DIV/0!</v>
      </c>
      <c r="K177" s="564"/>
      <c r="L177" s="567"/>
      <c r="M177" s="567"/>
      <c r="N177" s="569"/>
      <c r="O177" s="567"/>
      <c r="P177" s="567"/>
      <c r="Q177" s="567"/>
    </row>
    <row r="178" spans="5:17" s="295" customFormat="1" x14ac:dyDescent="0.25">
      <c r="E178" s="567"/>
      <c r="F178" s="570"/>
      <c r="G178" s="567"/>
      <c r="H178" s="567"/>
      <c r="I178" s="567"/>
      <c r="J178" s="674" t="e">
        <f t="shared" si="2"/>
        <v>#DIV/0!</v>
      </c>
      <c r="K178" s="564"/>
      <c r="L178" s="567"/>
      <c r="M178" s="567"/>
      <c r="N178" s="569"/>
      <c r="O178" s="567"/>
      <c r="P178" s="567"/>
      <c r="Q178" s="567"/>
    </row>
    <row r="179" spans="5:17" s="295" customFormat="1" x14ac:dyDescent="0.25">
      <c r="E179" s="567"/>
      <c r="F179" s="570"/>
      <c r="G179" s="567"/>
      <c r="H179" s="567"/>
      <c r="I179" s="567"/>
      <c r="J179" s="674" t="e">
        <f t="shared" si="2"/>
        <v>#DIV/0!</v>
      </c>
      <c r="K179" s="564"/>
      <c r="L179" s="567"/>
      <c r="M179" s="567"/>
      <c r="N179" s="569"/>
      <c r="O179" s="567"/>
      <c r="P179" s="567"/>
      <c r="Q179" s="567"/>
    </row>
    <row r="180" spans="5:17" s="295" customFormat="1" x14ac:dyDescent="0.25">
      <c r="E180" s="567"/>
      <c r="F180" s="570"/>
      <c r="G180" s="567"/>
      <c r="H180" s="567"/>
      <c r="I180" s="567"/>
      <c r="J180" s="674" t="e">
        <f t="shared" si="2"/>
        <v>#DIV/0!</v>
      </c>
      <c r="K180" s="564"/>
      <c r="L180" s="567"/>
      <c r="M180" s="567"/>
      <c r="N180" s="569"/>
      <c r="O180" s="567"/>
      <c r="P180" s="567"/>
      <c r="Q180" s="567"/>
    </row>
    <row r="181" spans="5:17" s="295" customFormat="1" x14ac:dyDescent="0.25">
      <c r="E181" s="567"/>
      <c r="F181" s="570"/>
      <c r="G181" s="567"/>
      <c r="H181" s="567"/>
      <c r="I181" s="567"/>
      <c r="J181" s="674" t="e">
        <f t="shared" si="2"/>
        <v>#DIV/0!</v>
      </c>
      <c r="K181" s="564"/>
      <c r="L181" s="567"/>
      <c r="M181" s="567"/>
      <c r="N181" s="569"/>
      <c r="O181" s="567"/>
      <c r="P181" s="567"/>
      <c r="Q181" s="567"/>
    </row>
    <row r="182" spans="5:17" s="295" customFormat="1" x14ac:dyDescent="0.25">
      <c r="E182" s="567"/>
      <c r="F182" s="570"/>
      <c r="G182" s="567"/>
      <c r="H182" s="567"/>
      <c r="I182" s="567"/>
      <c r="J182" s="674" t="e">
        <f t="shared" si="2"/>
        <v>#DIV/0!</v>
      </c>
      <c r="K182" s="564"/>
      <c r="L182" s="567"/>
      <c r="M182" s="567"/>
      <c r="N182" s="569"/>
      <c r="O182" s="567"/>
      <c r="P182" s="567"/>
      <c r="Q182" s="567"/>
    </row>
    <row r="183" spans="5:17" s="295" customFormat="1" x14ac:dyDescent="0.25">
      <c r="E183" s="567"/>
      <c r="F183" s="570"/>
      <c r="G183" s="567"/>
      <c r="H183" s="567"/>
      <c r="I183" s="567"/>
      <c r="J183" s="674" t="e">
        <f t="shared" si="2"/>
        <v>#DIV/0!</v>
      </c>
      <c r="K183" s="564"/>
      <c r="L183" s="567"/>
      <c r="M183" s="567"/>
      <c r="N183" s="569"/>
      <c r="O183" s="567"/>
      <c r="P183" s="567"/>
      <c r="Q183" s="567"/>
    </row>
    <row r="184" spans="5:17" s="295" customFormat="1" x14ac:dyDescent="0.25">
      <c r="E184" s="567"/>
      <c r="F184" s="570"/>
      <c r="G184" s="567"/>
      <c r="H184" s="567"/>
      <c r="I184" s="567"/>
      <c r="J184" s="674" t="e">
        <f t="shared" si="2"/>
        <v>#DIV/0!</v>
      </c>
      <c r="K184" s="564"/>
      <c r="L184" s="567"/>
      <c r="M184" s="567"/>
      <c r="N184" s="569"/>
      <c r="O184" s="567"/>
      <c r="P184" s="567"/>
      <c r="Q184" s="567"/>
    </row>
    <row r="185" spans="5:17" s="295" customFormat="1" x14ac:dyDescent="0.25">
      <c r="E185" s="567"/>
      <c r="F185" s="570"/>
      <c r="G185" s="567"/>
      <c r="H185" s="567"/>
      <c r="I185" s="567"/>
      <c r="J185" s="674" t="e">
        <f t="shared" si="2"/>
        <v>#DIV/0!</v>
      </c>
      <c r="K185" s="564"/>
      <c r="L185" s="567"/>
      <c r="M185" s="567"/>
      <c r="N185" s="569"/>
      <c r="O185" s="567"/>
      <c r="P185" s="567"/>
      <c r="Q185" s="567"/>
    </row>
    <row r="186" spans="5:17" s="295" customFormat="1" x14ac:dyDescent="0.25">
      <c r="E186" s="567"/>
      <c r="F186" s="570"/>
      <c r="G186" s="567"/>
      <c r="H186" s="567"/>
      <c r="I186" s="567"/>
      <c r="J186" s="674" t="e">
        <f t="shared" si="2"/>
        <v>#DIV/0!</v>
      </c>
      <c r="K186" s="564"/>
      <c r="L186" s="567"/>
      <c r="M186" s="567"/>
      <c r="N186" s="569"/>
      <c r="O186" s="567"/>
      <c r="P186" s="567"/>
      <c r="Q186" s="567"/>
    </row>
    <row r="187" spans="5:17" s="295" customFormat="1" x14ac:dyDescent="0.25">
      <c r="E187" s="567"/>
      <c r="F187" s="570"/>
      <c r="G187" s="567"/>
      <c r="H187" s="567"/>
      <c r="I187" s="567"/>
      <c r="J187" s="674" t="e">
        <f t="shared" si="2"/>
        <v>#DIV/0!</v>
      </c>
      <c r="K187" s="564"/>
      <c r="L187" s="567"/>
      <c r="M187" s="567"/>
      <c r="N187" s="569"/>
      <c r="O187" s="567"/>
      <c r="P187" s="567"/>
      <c r="Q187" s="567"/>
    </row>
    <row r="188" spans="5:17" s="295" customFormat="1" x14ac:dyDescent="0.25">
      <c r="E188" s="567"/>
      <c r="F188" s="570"/>
      <c r="G188" s="567"/>
      <c r="H188" s="567"/>
      <c r="I188" s="567"/>
      <c r="J188" s="674" t="e">
        <f t="shared" si="2"/>
        <v>#DIV/0!</v>
      </c>
      <c r="K188" s="564"/>
      <c r="L188" s="567"/>
      <c r="M188" s="567"/>
      <c r="N188" s="569"/>
      <c r="O188" s="567"/>
      <c r="P188" s="567"/>
      <c r="Q188" s="567"/>
    </row>
    <row r="189" spans="5:17" s="295" customFormat="1" x14ac:dyDescent="0.25">
      <c r="E189" s="567"/>
      <c r="F189" s="570"/>
      <c r="G189" s="567"/>
      <c r="H189" s="567"/>
      <c r="I189" s="567"/>
      <c r="J189" s="674" t="e">
        <f t="shared" si="2"/>
        <v>#DIV/0!</v>
      </c>
      <c r="K189" s="564"/>
      <c r="L189" s="567"/>
      <c r="M189" s="567"/>
      <c r="N189" s="569"/>
      <c r="O189" s="567"/>
      <c r="P189" s="567"/>
      <c r="Q189" s="567"/>
    </row>
    <row r="190" spans="5:17" s="295" customFormat="1" x14ac:dyDescent="0.25">
      <c r="E190" s="567"/>
      <c r="F190" s="570"/>
      <c r="G190" s="567"/>
      <c r="H190" s="567"/>
      <c r="I190" s="567"/>
      <c r="J190" s="674" t="e">
        <f t="shared" si="2"/>
        <v>#DIV/0!</v>
      </c>
      <c r="K190" s="564"/>
      <c r="L190" s="567"/>
      <c r="M190" s="567"/>
      <c r="N190" s="569"/>
      <c r="O190" s="567"/>
      <c r="P190" s="567"/>
      <c r="Q190" s="567"/>
    </row>
    <row r="191" spans="5:17" s="295" customFormat="1" x14ac:dyDescent="0.25">
      <c r="E191" s="567"/>
      <c r="F191" s="570"/>
      <c r="G191" s="567"/>
      <c r="H191" s="567"/>
      <c r="I191" s="567"/>
      <c r="J191" s="674" t="e">
        <f t="shared" si="2"/>
        <v>#DIV/0!</v>
      </c>
      <c r="K191" s="564"/>
      <c r="L191" s="567"/>
      <c r="M191" s="567"/>
      <c r="N191" s="569"/>
      <c r="O191" s="567"/>
      <c r="P191" s="567"/>
      <c r="Q191" s="567"/>
    </row>
    <row r="192" spans="5:17" s="295" customFormat="1" x14ac:dyDescent="0.25">
      <c r="E192" s="567"/>
      <c r="F192" s="570"/>
      <c r="G192" s="567"/>
      <c r="H192" s="567"/>
      <c r="I192" s="567"/>
      <c r="J192" s="674" t="e">
        <f t="shared" si="2"/>
        <v>#DIV/0!</v>
      </c>
      <c r="K192" s="564"/>
      <c r="L192" s="567"/>
      <c r="M192" s="567"/>
      <c r="N192" s="569"/>
      <c r="O192" s="567"/>
      <c r="P192" s="567"/>
      <c r="Q192" s="567"/>
    </row>
    <row r="193" spans="5:17" s="295" customFormat="1" x14ac:dyDescent="0.25">
      <c r="E193" s="567"/>
      <c r="F193" s="570"/>
      <c r="G193" s="567"/>
      <c r="H193" s="567"/>
      <c r="I193" s="567"/>
      <c r="J193" s="674" t="e">
        <f t="shared" si="2"/>
        <v>#DIV/0!</v>
      </c>
      <c r="K193" s="564"/>
      <c r="L193" s="567"/>
      <c r="M193" s="567"/>
      <c r="N193" s="569"/>
      <c r="O193" s="567"/>
      <c r="P193" s="567"/>
      <c r="Q193" s="567"/>
    </row>
    <row r="194" spans="5:17" s="295" customFormat="1" x14ac:dyDescent="0.25">
      <c r="E194" s="567"/>
      <c r="F194" s="570"/>
      <c r="G194" s="567"/>
      <c r="H194" s="567"/>
      <c r="I194" s="567"/>
      <c r="J194" s="674" t="e">
        <f t="shared" si="2"/>
        <v>#DIV/0!</v>
      </c>
      <c r="K194" s="564"/>
      <c r="L194" s="567"/>
      <c r="M194" s="567"/>
      <c r="N194" s="569"/>
      <c r="O194" s="567"/>
      <c r="P194" s="567"/>
      <c r="Q194" s="567"/>
    </row>
    <row r="195" spans="5:17" s="295" customFormat="1" x14ac:dyDescent="0.25">
      <c r="E195" s="567"/>
      <c r="F195" s="570"/>
      <c r="G195" s="567"/>
      <c r="H195" s="567"/>
      <c r="I195" s="567"/>
      <c r="J195" s="674" t="e">
        <f t="shared" si="2"/>
        <v>#DIV/0!</v>
      </c>
      <c r="K195" s="564"/>
      <c r="L195" s="567"/>
      <c r="M195" s="567"/>
      <c r="N195" s="569"/>
      <c r="O195" s="567"/>
      <c r="P195" s="567"/>
      <c r="Q195" s="567"/>
    </row>
    <row r="196" spans="5:17" s="295" customFormat="1" x14ac:dyDescent="0.25">
      <c r="E196" s="567"/>
      <c r="F196" s="570"/>
      <c r="G196" s="567"/>
      <c r="H196" s="567"/>
      <c r="I196" s="567"/>
      <c r="J196" s="674" t="e">
        <f t="shared" si="2"/>
        <v>#DIV/0!</v>
      </c>
      <c r="K196" s="564"/>
      <c r="L196" s="567"/>
      <c r="M196" s="567"/>
      <c r="N196" s="569"/>
      <c r="O196" s="567"/>
      <c r="P196" s="567"/>
      <c r="Q196" s="567"/>
    </row>
    <row r="197" spans="5:17" s="295" customFormat="1" x14ac:dyDescent="0.25">
      <c r="E197" s="567"/>
      <c r="F197" s="570"/>
      <c r="G197" s="567"/>
      <c r="H197" s="567"/>
      <c r="I197" s="567"/>
      <c r="J197" s="674" t="e">
        <f t="shared" ref="J197:J260" si="3">(I197*K197/100)/(H197*G197)*1000</f>
        <v>#DIV/0!</v>
      </c>
      <c r="K197" s="564"/>
      <c r="L197" s="567"/>
      <c r="M197" s="567"/>
      <c r="N197" s="569"/>
      <c r="O197" s="567"/>
      <c r="P197" s="567"/>
      <c r="Q197" s="567"/>
    </row>
    <row r="198" spans="5:17" s="295" customFormat="1" x14ac:dyDescent="0.25">
      <c r="E198" s="567"/>
      <c r="F198" s="570"/>
      <c r="G198" s="567"/>
      <c r="H198" s="567"/>
      <c r="I198" s="567"/>
      <c r="J198" s="674" t="e">
        <f t="shared" si="3"/>
        <v>#DIV/0!</v>
      </c>
      <c r="K198" s="564"/>
      <c r="L198" s="567"/>
      <c r="M198" s="567"/>
      <c r="N198" s="569"/>
      <c r="O198" s="567"/>
      <c r="P198" s="567"/>
      <c r="Q198" s="567"/>
    </row>
    <row r="199" spans="5:17" s="295" customFormat="1" x14ac:dyDescent="0.25">
      <c r="E199" s="567"/>
      <c r="F199" s="570"/>
      <c r="G199" s="567"/>
      <c r="H199" s="567"/>
      <c r="I199" s="567"/>
      <c r="J199" s="674" t="e">
        <f t="shared" si="3"/>
        <v>#DIV/0!</v>
      </c>
      <c r="K199" s="564"/>
      <c r="L199" s="567"/>
      <c r="M199" s="567"/>
      <c r="N199" s="569"/>
      <c r="O199" s="567"/>
      <c r="P199" s="567"/>
      <c r="Q199" s="567"/>
    </row>
    <row r="200" spans="5:17" s="295" customFormat="1" x14ac:dyDescent="0.25">
      <c r="E200" s="567"/>
      <c r="F200" s="570"/>
      <c r="G200" s="567"/>
      <c r="H200" s="567"/>
      <c r="I200" s="567"/>
      <c r="J200" s="674" t="e">
        <f t="shared" si="3"/>
        <v>#DIV/0!</v>
      </c>
      <c r="K200" s="564"/>
      <c r="L200" s="567"/>
      <c r="M200" s="567"/>
      <c r="N200" s="569"/>
      <c r="O200" s="567"/>
      <c r="P200" s="567"/>
      <c r="Q200" s="567"/>
    </row>
    <row r="201" spans="5:17" s="295" customFormat="1" x14ac:dyDescent="0.25">
      <c r="E201" s="567"/>
      <c r="F201" s="570"/>
      <c r="G201" s="567"/>
      <c r="H201" s="567"/>
      <c r="I201" s="567"/>
      <c r="J201" s="674" t="e">
        <f t="shared" si="3"/>
        <v>#DIV/0!</v>
      </c>
      <c r="K201" s="564"/>
      <c r="L201" s="567"/>
      <c r="M201" s="567"/>
      <c r="N201" s="569"/>
      <c r="O201" s="567"/>
      <c r="P201" s="567"/>
      <c r="Q201" s="567"/>
    </row>
    <row r="202" spans="5:17" s="295" customFormat="1" x14ac:dyDescent="0.25">
      <c r="E202" s="567"/>
      <c r="F202" s="570"/>
      <c r="G202" s="567"/>
      <c r="H202" s="567"/>
      <c r="I202" s="567"/>
      <c r="J202" s="674" t="e">
        <f t="shared" si="3"/>
        <v>#DIV/0!</v>
      </c>
      <c r="K202" s="564"/>
      <c r="L202" s="567"/>
      <c r="M202" s="567"/>
      <c r="N202" s="569"/>
      <c r="O202" s="567"/>
      <c r="P202" s="567"/>
      <c r="Q202" s="567"/>
    </row>
    <row r="203" spans="5:17" s="295" customFormat="1" x14ac:dyDescent="0.25">
      <c r="E203" s="567"/>
      <c r="F203" s="570"/>
      <c r="G203" s="567"/>
      <c r="H203" s="567"/>
      <c r="I203" s="567"/>
      <c r="J203" s="674" t="e">
        <f t="shared" si="3"/>
        <v>#DIV/0!</v>
      </c>
      <c r="K203" s="564"/>
      <c r="L203" s="567"/>
      <c r="M203" s="567"/>
      <c r="N203" s="569"/>
      <c r="O203" s="567"/>
      <c r="P203" s="567"/>
      <c r="Q203" s="567"/>
    </row>
    <row r="204" spans="5:17" s="295" customFormat="1" x14ac:dyDescent="0.25">
      <c r="E204" s="567"/>
      <c r="F204" s="570"/>
      <c r="G204" s="567"/>
      <c r="H204" s="567"/>
      <c r="I204" s="567"/>
      <c r="J204" s="674" t="e">
        <f t="shared" si="3"/>
        <v>#DIV/0!</v>
      </c>
      <c r="K204" s="564"/>
      <c r="L204" s="567"/>
      <c r="M204" s="567"/>
      <c r="N204" s="569"/>
      <c r="O204" s="567"/>
      <c r="P204" s="567"/>
      <c r="Q204" s="567"/>
    </row>
    <row r="205" spans="5:17" s="295" customFormat="1" x14ac:dyDescent="0.25">
      <c r="E205" s="567"/>
      <c r="F205" s="570"/>
      <c r="G205" s="567"/>
      <c r="H205" s="567"/>
      <c r="I205" s="567"/>
      <c r="J205" s="674" t="e">
        <f t="shared" si="3"/>
        <v>#DIV/0!</v>
      </c>
      <c r="K205" s="564"/>
      <c r="L205" s="567"/>
      <c r="M205" s="567"/>
      <c r="N205" s="569"/>
      <c r="O205" s="567"/>
      <c r="P205" s="567"/>
      <c r="Q205" s="567"/>
    </row>
    <row r="206" spans="5:17" s="295" customFormat="1" x14ac:dyDescent="0.25">
      <c r="E206" s="567"/>
      <c r="F206" s="570"/>
      <c r="G206" s="567"/>
      <c r="H206" s="567"/>
      <c r="I206" s="567"/>
      <c r="J206" s="674" t="e">
        <f t="shared" si="3"/>
        <v>#DIV/0!</v>
      </c>
      <c r="K206" s="564"/>
      <c r="L206" s="567"/>
      <c r="M206" s="567"/>
      <c r="N206" s="569"/>
      <c r="O206" s="567"/>
      <c r="P206" s="567"/>
      <c r="Q206" s="567"/>
    </row>
    <row r="207" spans="5:17" s="295" customFormat="1" x14ac:dyDescent="0.25">
      <c r="E207" s="567"/>
      <c r="F207" s="570"/>
      <c r="G207" s="567"/>
      <c r="H207" s="567"/>
      <c r="I207" s="567"/>
      <c r="J207" s="674" t="e">
        <f t="shared" si="3"/>
        <v>#DIV/0!</v>
      </c>
      <c r="K207" s="564"/>
      <c r="L207" s="567"/>
      <c r="M207" s="567"/>
      <c r="N207" s="569"/>
      <c r="O207" s="567"/>
      <c r="P207" s="567"/>
      <c r="Q207" s="567"/>
    </row>
    <row r="208" spans="5:17" s="295" customFormat="1" x14ac:dyDescent="0.25">
      <c r="E208" s="567"/>
      <c r="F208" s="570"/>
      <c r="G208" s="567"/>
      <c r="H208" s="567"/>
      <c r="I208" s="567"/>
      <c r="J208" s="674" t="e">
        <f t="shared" si="3"/>
        <v>#DIV/0!</v>
      </c>
      <c r="K208" s="564"/>
      <c r="L208" s="567"/>
      <c r="M208" s="567"/>
      <c r="N208" s="569"/>
      <c r="O208" s="567"/>
      <c r="P208" s="567"/>
      <c r="Q208" s="567"/>
    </row>
    <row r="209" spans="5:17" s="295" customFormat="1" x14ac:dyDescent="0.25">
      <c r="E209" s="567"/>
      <c r="F209" s="570"/>
      <c r="G209" s="567"/>
      <c r="H209" s="567"/>
      <c r="I209" s="567"/>
      <c r="J209" s="674" t="e">
        <f t="shared" si="3"/>
        <v>#DIV/0!</v>
      </c>
      <c r="K209" s="564"/>
      <c r="L209" s="567"/>
      <c r="M209" s="567"/>
      <c r="N209" s="569"/>
      <c r="O209" s="567"/>
      <c r="P209" s="567"/>
      <c r="Q209" s="567"/>
    </row>
    <row r="210" spans="5:17" s="295" customFormat="1" x14ac:dyDescent="0.25">
      <c r="E210" s="567"/>
      <c r="F210" s="570"/>
      <c r="G210" s="567"/>
      <c r="H210" s="567"/>
      <c r="I210" s="567"/>
      <c r="J210" s="674" t="e">
        <f t="shared" si="3"/>
        <v>#DIV/0!</v>
      </c>
      <c r="K210" s="564"/>
      <c r="L210" s="567"/>
      <c r="M210" s="567"/>
      <c r="N210" s="569"/>
      <c r="O210" s="567"/>
      <c r="P210" s="567"/>
      <c r="Q210" s="567"/>
    </row>
    <row r="211" spans="5:17" s="295" customFormat="1" x14ac:dyDescent="0.25">
      <c r="E211" s="567"/>
      <c r="F211" s="570"/>
      <c r="G211" s="567"/>
      <c r="H211" s="567"/>
      <c r="I211" s="567"/>
      <c r="J211" s="674" t="e">
        <f t="shared" si="3"/>
        <v>#DIV/0!</v>
      </c>
      <c r="K211" s="564"/>
      <c r="L211" s="567"/>
      <c r="M211" s="567"/>
      <c r="N211" s="569"/>
      <c r="O211" s="567"/>
      <c r="P211" s="567"/>
      <c r="Q211" s="567"/>
    </row>
    <row r="212" spans="5:17" s="295" customFormat="1" x14ac:dyDescent="0.25">
      <c r="E212" s="567"/>
      <c r="F212" s="570"/>
      <c r="G212" s="567"/>
      <c r="H212" s="567"/>
      <c r="I212" s="567"/>
      <c r="J212" s="674" t="e">
        <f t="shared" si="3"/>
        <v>#DIV/0!</v>
      </c>
      <c r="K212" s="564"/>
      <c r="L212" s="567"/>
      <c r="M212" s="567"/>
      <c r="N212" s="569"/>
      <c r="O212" s="567"/>
      <c r="P212" s="567"/>
      <c r="Q212" s="567"/>
    </row>
    <row r="213" spans="5:17" s="295" customFormat="1" x14ac:dyDescent="0.25">
      <c r="E213" s="567"/>
      <c r="F213" s="570"/>
      <c r="G213" s="567"/>
      <c r="H213" s="567"/>
      <c r="I213" s="567"/>
      <c r="J213" s="674" t="e">
        <f t="shared" si="3"/>
        <v>#DIV/0!</v>
      </c>
      <c r="K213" s="564"/>
      <c r="L213" s="567"/>
      <c r="M213" s="567"/>
      <c r="N213" s="569"/>
      <c r="O213" s="567"/>
      <c r="P213" s="567"/>
      <c r="Q213" s="567"/>
    </row>
    <row r="214" spans="5:17" s="295" customFormat="1" x14ac:dyDescent="0.25">
      <c r="E214" s="567"/>
      <c r="F214" s="570"/>
      <c r="G214" s="567"/>
      <c r="H214" s="567"/>
      <c r="I214" s="567"/>
      <c r="J214" s="674" t="e">
        <f t="shared" si="3"/>
        <v>#DIV/0!</v>
      </c>
      <c r="K214" s="564"/>
      <c r="L214" s="567"/>
      <c r="M214" s="567"/>
      <c r="N214" s="569"/>
      <c r="O214" s="567"/>
      <c r="P214" s="567"/>
      <c r="Q214" s="567"/>
    </row>
    <row r="215" spans="5:17" s="295" customFormat="1" x14ac:dyDescent="0.25">
      <c r="E215" s="567"/>
      <c r="F215" s="570"/>
      <c r="G215" s="567"/>
      <c r="H215" s="567"/>
      <c r="I215" s="567"/>
      <c r="J215" s="674" t="e">
        <f t="shared" si="3"/>
        <v>#DIV/0!</v>
      </c>
      <c r="K215" s="564"/>
      <c r="L215" s="567"/>
      <c r="M215" s="567"/>
      <c r="N215" s="569"/>
      <c r="O215" s="567"/>
      <c r="P215" s="567"/>
      <c r="Q215" s="567"/>
    </row>
    <row r="216" spans="5:17" s="295" customFormat="1" x14ac:dyDescent="0.25">
      <c r="E216" s="567"/>
      <c r="F216" s="570"/>
      <c r="G216" s="567"/>
      <c r="H216" s="567"/>
      <c r="I216" s="567"/>
      <c r="J216" s="674" t="e">
        <f t="shared" si="3"/>
        <v>#DIV/0!</v>
      </c>
      <c r="K216" s="564"/>
      <c r="L216" s="567"/>
      <c r="M216" s="567"/>
      <c r="N216" s="569"/>
      <c r="O216" s="567"/>
      <c r="P216" s="567"/>
      <c r="Q216" s="567"/>
    </row>
    <row r="217" spans="5:17" s="295" customFormat="1" x14ac:dyDescent="0.25">
      <c r="E217" s="567"/>
      <c r="F217" s="570"/>
      <c r="G217" s="567"/>
      <c r="H217" s="567"/>
      <c r="I217" s="567"/>
      <c r="J217" s="674" t="e">
        <f t="shared" si="3"/>
        <v>#DIV/0!</v>
      </c>
      <c r="K217" s="564"/>
      <c r="L217" s="567"/>
      <c r="M217" s="567"/>
      <c r="N217" s="569"/>
      <c r="O217" s="567"/>
      <c r="P217" s="567"/>
      <c r="Q217" s="567"/>
    </row>
    <row r="218" spans="5:17" s="295" customFormat="1" x14ac:dyDescent="0.25">
      <c r="E218" s="567"/>
      <c r="F218" s="570"/>
      <c r="G218" s="567"/>
      <c r="H218" s="567"/>
      <c r="I218" s="567"/>
      <c r="J218" s="674" t="e">
        <f t="shared" si="3"/>
        <v>#DIV/0!</v>
      </c>
      <c r="K218" s="564"/>
      <c r="L218" s="567"/>
      <c r="M218" s="567"/>
      <c r="N218" s="569"/>
      <c r="O218" s="567"/>
      <c r="P218" s="567"/>
      <c r="Q218" s="567"/>
    </row>
    <row r="219" spans="5:17" s="295" customFormat="1" x14ac:dyDescent="0.25">
      <c r="E219" s="567"/>
      <c r="F219" s="570"/>
      <c r="G219" s="567"/>
      <c r="H219" s="567"/>
      <c r="I219" s="567"/>
      <c r="J219" s="674" t="e">
        <f t="shared" si="3"/>
        <v>#DIV/0!</v>
      </c>
      <c r="K219" s="564"/>
      <c r="L219" s="567"/>
      <c r="M219" s="567"/>
      <c r="N219" s="569"/>
      <c r="O219" s="567"/>
      <c r="P219" s="567"/>
      <c r="Q219" s="567"/>
    </row>
    <row r="220" spans="5:17" s="295" customFormat="1" x14ac:dyDescent="0.25">
      <c r="E220" s="571"/>
      <c r="F220" s="572"/>
      <c r="G220" s="571"/>
      <c r="H220" s="571"/>
      <c r="I220" s="571"/>
      <c r="J220" s="675" t="e">
        <f t="shared" si="3"/>
        <v>#DIV/0!</v>
      </c>
      <c r="K220" s="573"/>
      <c r="L220" s="571"/>
      <c r="M220" s="571"/>
      <c r="N220" s="574"/>
      <c r="O220" s="571"/>
      <c r="P220" s="571"/>
      <c r="Q220" s="571"/>
    </row>
    <row r="221" spans="5:17" s="295" customFormat="1" x14ac:dyDescent="0.25">
      <c r="F221" s="224"/>
      <c r="J221" s="676" t="e">
        <f t="shared" si="3"/>
        <v>#DIV/0!</v>
      </c>
      <c r="K221" s="389"/>
      <c r="N221" s="533"/>
    </row>
    <row r="222" spans="5:17" s="295" customFormat="1" x14ac:dyDescent="0.25">
      <c r="F222" s="224"/>
      <c r="J222" s="676" t="e">
        <f t="shared" si="3"/>
        <v>#DIV/0!</v>
      </c>
      <c r="K222" s="389"/>
      <c r="N222" s="533"/>
    </row>
    <row r="223" spans="5:17" s="295" customFormat="1" x14ac:dyDescent="0.25">
      <c r="F223" s="224"/>
      <c r="J223" s="676" t="e">
        <f t="shared" si="3"/>
        <v>#DIV/0!</v>
      </c>
      <c r="K223" s="389"/>
      <c r="N223" s="533"/>
    </row>
    <row r="224" spans="5:17" s="295" customFormat="1" x14ac:dyDescent="0.25">
      <c r="F224" s="224"/>
      <c r="J224" s="676" t="e">
        <f t="shared" si="3"/>
        <v>#DIV/0!</v>
      </c>
      <c r="K224" s="389"/>
      <c r="N224" s="533"/>
    </row>
    <row r="225" spans="10:10" s="295" customFormat="1" x14ac:dyDescent="0.25">
      <c r="J225" s="676" t="e">
        <f t="shared" si="3"/>
        <v>#DIV/0!</v>
      </c>
    </row>
    <row r="226" spans="10:10" s="295" customFormat="1" x14ac:dyDescent="0.25">
      <c r="J226" s="676" t="e">
        <f t="shared" si="3"/>
        <v>#DIV/0!</v>
      </c>
    </row>
    <row r="227" spans="10:10" s="295" customFormat="1" x14ac:dyDescent="0.25">
      <c r="J227" s="676" t="e">
        <f t="shared" si="3"/>
        <v>#DIV/0!</v>
      </c>
    </row>
    <row r="228" spans="10:10" s="295" customFormat="1" x14ac:dyDescent="0.25">
      <c r="J228" s="676" t="e">
        <f t="shared" si="3"/>
        <v>#DIV/0!</v>
      </c>
    </row>
    <row r="229" spans="10:10" s="295" customFormat="1" x14ac:dyDescent="0.25">
      <c r="J229" s="676" t="e">
        <f t="shared" si="3"/>
        <v>#DIV/0!</v>
      </c>
    </row>
    <row r="230" spans="10:10" s="295" customFormat="1" x14ac:dyDescent="0.25">
      <c r="J230" s="676" t="e">
        <f t="shared" si="3"/>
        <v>#DIV/0!</v>
      </c>
    </row>
    <row r="231" spans="10:10" s="295" customFormat="1" x14ac:dyDescent="0.25">
      <c r="J231" s="676" t="e">
        <f t="shared" si="3"/>
        <v>#DIV/0!</v>
      </c>
    </row>
    <row r="232" spans="10:10" s="295" customFormat="1" x14ac:dyDescent="0.25">
      <c r="J232" s="676" t="e">
        <f t="shared" si="3"/>
        <v>#DIV/0!</v>
      </c>
    </row>
    <row r="233" spans="10:10" s="295" customFormat="1" x14ac:dyDescent="0.25">
      <c r="J233" s="676" t="e">
        <f t="shared" si="3"/>
        <v>#DIV/0!</v>
      </c>
    </row>
    <row r="234" spans="10:10" s="295" customFormat="1" x14ac:dyDescent="0.25">
      <c r="J234" s="676" t="e">
        <f t="shared" si="3"/>
        <v>#DIV/0!</v>
      </c>
    </row>
    <row r="235" spans="10:10" s="295" customFormat="1" x14ac:dyDescent="0.25">
      <c r="J235" s="676" t="e">
        <f t="shared" si="3"/>
        <v>#DIV/0!</v>
      </c>
    </row>
    <row r="236" spans="10:10" s="295" customFormat="1" x14ac:dyDescent="0.25">
      <c r="J236" s="676" t="e">
        <f t="shared" si="3"/>
        <v>#DIV/0!</v>
      </c>
    </row>
    <row r="237" spans="10:10" s="295" customFormat="1" x14ac:dyDescent="0.25">
      <c r="J237" s="676" t="e">
        <f t="shared" si="3"/>
        <v>#DIV/0!</v>
      </c>
    </row>
    <row r="238" spans="10:10" s="295" customFormat="1" x14ac:dyDescent="0.25">
      <c r="J238" s="676" t="e">
        <f t="shared" si="3"/>
        <v>#DIV/0!</v>
      </c>
    </row>
    <row r="239" spans="10:10" s="295" customFormat="1" x14ac:dyDescent="0.25">
      <c r="J239" s="676" t="e">
        <f t="shared" si="3"/>
        <v>#DIV/0!</v>
      </c>
    </row>
    <row r="240" spans="10:10" s="295" customFormat="1" x14ac:dyDescent="0.25">
      <c r="J240" s="676" t="e">
        <f t="shared" si="3"/>
        <v>#DIV/0!</v>
      </c>
    </row>
    <row r="241" spans="10:10" s="295" customFormat="1" x14ac:dyDescent="0.25">
      <c r="J241" s="676" t="e">
        <f t="shared" si="3"/>
        <v>#DIV/0!</v>
      </c>
    </row>
    <row r="242" spans="10:10" s="295" customFormat="1" x14ac:dyDescent="0.25">
      <c r="J242" s="676" t="e">
        <f t="shared" si="3"/>
        <v>#DIV/0!</v>
      </c>
    </row>
    <row r="243" spans="10:10" s="295" customFormat="1" x14ac:dyDescent="0.25">
      <c r="J243" s="676" t="e">
        <f t="shared" si="3"/>
        <v>#DIV/0!</v>
      </c>
    </row>
    <row r="244" spans="10:10" s="295" customFormat="1" x14ac:dyDescent="0.25">
      <c r="J244" s="676" t="e">
        <f t="shared" si="3"/>
        <v>#DIV/0!</v>
      </c>
    </row>
    <row r="245" spans="10:10" s="295" customFormat="1" x14ac:dyDescent="0.25">
      <c r="J245" s="676" t="e">
        <f t="shared" si="3"/>
        <v>#DIV/0!</v>
      </c>
    </row>
    <row r="246" spans="10:10" s="295" customFormat="1" x14ac:dyDescent="0.25">
      <c r="J246" s="676" t="e">
        <f t="shared" si="3"/>
        <v>#DIV/0!</v>
      </c>
    </row>
    <row r="247" spans="10:10" s="295" customFormat="1" x14ac:dyDescent="0.25">
      <c r="J247" s="676" t="e">
        <f t="shared" si="3"/>
        <v>#DIV/0!</v>
      </c>
    </row>
    <row r="248" spans="10:10" s="295" customFormat="1" x14ac:dyDescent="0.25">
      <c r="J248" s="676" t="e">
        <f t="shared" si="3"/>
        <v>#DIV/0!</v>
      </c>
    </row>
    <row r="249" spans="10:10" s="295" customFormat="1" x14ac:dyDescent="0.25">
      <c r="J249" s="676" t="e">
        <f t="shared" si="3"/>
        <v>#DIV/0!</v>
      </c>
    </row>
    <row r="250" spans="10:10" s="295" customFormat="1" x14ac:dyDescent="0.25">
      <c r="J250" s="676" t="e">
        <f t="shared" si="3"/>
        <v>#DIV/0!</v>
      </c>
    </row>
    <row r="251" spans="10:10" s="295" customFormat="1" x14ac:dyDescent="0.25">
      <c r="J251" s="676" t="e">
        <f t="shared" si="3"/>
        <v>#DIV/0!</v>
      </c>
    </row>
    <row r="252" spans="10:10" s="295" customFormat="1" x14ac:dyDescent="0.25">
      <c r="J252" s="676" t="e">
        <f t="shared" si="3"/>
        <v>#DIV/0!</v>
      </c>
    </row>
    <row r="253" spans="10:10" s="295" customFormat="1" x14ac:dyDescent="0.25">
      <c r="J253" s="676" t="e">
        <f t="shared" si="3"/>
        <v>#DIV/0!</v>
      </c>
    </row>
    <row r="254" spans="10:10" s="295" customFormat="1" x14ac:dyDescent="0.25">
      <c r="J254" s="676" t="e">
        <f t="shared" si="3"/>
        <v>#DIV/0!</v>
      </c>
    </row>
    <row r="255" spans="10:10" s="295" customFormat="1" x14ac:dyDescent="0.25">
      <c r="J255" s="676" t="e">
        <f t="shared" si="3"/>
        <v>#DIV/0!</v>
      </c>
    </row>
    <row r="256" spans="10:10" s="295" customFormat="1" x14ac:dyDescent="0.25">
      <c r="J256" s="676" t="e">
        <f t="shared" si="3"/>
        <v>#DIV/0!</v>
      </c>
    </row>
    <row r="257" spans="10:10" s="295" customFormat="1" x14ac:dyDescent="0.25">
      <c r="J257" s="676" t="e">
        <f t="shared" si="3"/>
        <v>#DIV/0!</v>
      </c>
    </row>
    <row r="258" spans="10:10" s="295" customFormat="1" x14ac:dyDescent="0.25">
      <c r="J258" s="676" t="e">
        <f t="shared" si="3"/>
        <v>#DIV/0!</v>
      </c>
    </row>
    <row r="259" spans="10:10" s="295" customFormat="1" x14ac:dyDescent="0.25">
      <c r="J259" s="676" t="e">
        <f t="shared" si="3"/>
        <v>#DIV/0!</v>
      </c>
    </row>
    <row r="260" spans="10:10" s="295" customFormat="1" x14ac:dyDescent="0.25">
      <c r="J260" s="676" t="e">
        <f t="shared" si="3"/>
        <v>#DIV/0!</v>
      </c>
    </row>
    <row r="261" spans="10:10" s="295" customFormat="1" x14ac:dyDescent="0.25">
      <c r="J261" s="676" t="e">
        <f t="shared" ref="J261:J324" si="4">(I261*K261/100)/(H261*G261)*1000</f>
        <v>#DIV/0!</v>
      </c>
    </row>
    <row r="262" spans="10:10" s="295" customFormat="1" x14ac:dyDescent="0.25">
      <c r="J262" s="676" t="e">
        <f t="shared" si="4"/>
        <v>#DIV/0!</v>
      </c>
    </row>
    <row r="263" spans="10:10" s="295" customFormat="1" x14ac:dyDescent="0.25">
      <c r="J263" s="676" t="e">
        <f t="shared" si="4"/>
        <v>#DIV/0!</v>
      </c>
    </row>
    <row r="264" spans="10:10" s="295" customFormat="1" x14ac:dyDescent="0.25">
      <c r="J264" s="676" t="e">
        <f t="shared" si="4"/>
        <v>#DIV/0!</v>
      </c>
    </row>
    <row r="265" spans="10:10" s="295" customFormat="1" x14ac:dyDescent="0.25">
      <c r="J265" s="676" t="e">
        <f t="shared" si="4"/>
        <v>#DIV/0!</v>
      </c>
    </row>
    <row r="266" spans="10:10" s="295" customFormat="1" x14ac:dyDescent="0.25">
      <c r="J266" s="676" t="e">
        <f t="shared" si="4"/>
        <v>#DIV/0!</v>
      </c>
    </row>
    <row r="267" spans="10:10" s="295" customFormat="1" x14ac:dyDescent="0.25">
      <c r="J267" s="676" t="e">
        <f t="shared" si="4"/>
        <v>#DIV/0!</v>
      </c>
    </row>
    <row r="268" spans="10:10" s="295" customFormat="1" x14ac:dyDescent="0.25">
      <c r="J268" s="676" t="e">
        <f t="shared" si="4"/>
        <v>#DIV/0!</v>
      </c>
    </row>
    <row r="269" spans="10:10" s="295" customFormat="1" x14ac:dyDescent="0.25">
      <c r="J269" s="676" t="e">
        <f t="shared" si="4"/>
        <v>#DIV/0!</v>
      </c>
    </row>
    <row r="270" spans="10:10" s="295" customFormat="1" x14ac:dyDescent="0.25">
      <c r="J270" s="676" t="e">
        <f t="shared" si="4"/>
        <v>#DIV/0!</v>
      </c>
    </row>
    <row r="271" spans="10:10" s="295" customFormat="1" x14ac:dyDescent="0.25">
      <c r="J271" s="676" t="e">
        <f t="shared" si="4"/>
        <v>#DIV/0!</v>
      </c>
    </row>
    <row r="272" spans="10:10" s="295" customFormat="1" x14ac:dyDescent="0.25">
      <c r="J272" s="676" t="e">
        <f t="shared" si="4"/>
        <v>#DIV/0!</v>
      </c>
    </row>
    <row r="273" spans="10:10" s="295" customFormat="1" x14ac:dyDescent="0.25">
      <c r="J273" s="676" t="e">
        <f t="shared" si="4"/>
        <v>#DIV/0!</v>
      </c>
    </row>
    <row r="274" spans="10:10" s="295" customFormat="1" x14ac:dyDescent="0.25">
      <c r="J274" s="676" t="e">
        <f t="shared" si="4"/>
        <v>#DIV/0!</v>
      </c>
    </row>
    <row r="275" spans="10:10" s="295" customFormat="1" x14ac:dyDescent="0.25">
      <c r="J275" s="676" t="e">
        <f t="shared" si="4"/>
        <v>#DIV/0!</v>
      </c>
    </row>
    <row r="276" spans="10:10" s="295" customFormat="1" x14ac:dyDescent="0.25">
      <c r="J276" s="676" t="e">
        <f t="shared" si="4"/>
        <v>#DIV/0!</v>
      </c>
    </row>
    <row r="277" spans="10:10" s="295" customFormat="1" x14ac:dyDescent="0.25">
      <c r="J277" s="676" t="e">
        <f t="shared" si="4"/>
        <v>#DIV/0!</v>
      </c>
    </row>
    <row r="278" spans="10:10" s="295" customFormat="1" x14ac:dyDescent="0.25">
      <c r="J278" s="676" t="e">
        <f t="shared" si="4"/>
        <v>#DIV/0!</v>
      </c>
    </row>
    <row r="279" spans="10:10" s="295" customFormat="1" x14ac:dyDescent="0.25">
      <c r="J279" s="676" t="e">
        <f t="shared" si="4"/>
        <v>#DIV/0!</v>
      </c>
    </row>
    <row r="280" spans="10:10" s="295" customFormat="1" x14ac:dyDescent="0.25">
      <c r="J280" s="676" t="e">
        <f t="shared" si="4"/>
        <v>#DIV/0!</v>
      </c>
    </row>
    <row r="281" spans="10:10" s="295" customFormat="1" x14ac:dyDescent="0.25">
      <c r="J281" s="676" t="e">
        <f t="shared" si="4"/>
        <v>#DIV/0!</v>
      </c>
    </row>
    <row r="282" spans="10:10" s="295" customFormat="1" x14ac:dyDescent="0.25">
      <c r="J282" s="676" t="e">
        <f t="shared" si="4"/>
        <v>#DIV/0!</v>
      </c>
    </row>
    <row r="283" spans="10:10" s="295" customFormat="1" x14ac:dyDescent="0.25">
      <c r="J283" s="676" t="e">
        <f t="shared" si="4"/>
        <v>#DIV/0!</v>
      </c>
    </row>
    <row r="284" spans="10:10" s="295" customFormat="1" x14ac:dyDescent="0.25">
      <c r="J284" s="676" t="e">
        <f t="shared" si="4"/>
        <v>#DIV/0!</v>
      </c>
    </row>
    <row r="285" spans="10:10" s="295" customFormat="1" x14ac:dyDescent="0.25">
      <c r="J285" s="676" t="e">
        <f t="shared" si="4"/>
        <v>#DIV/0!</v>
      </c>
    </row>
    <row r="286" spans="10:10" s="295" customFormat="1" x14ac:dyDescent="0.25">
      <c r="J286" s="676" t="e">
        <f t="shared" si="4"/>
        <v>#DIV/0!</v>
      </c>
    </row>
    <row r="287" spans="10:10" s="295" customFormat="1" x14ac:dyDescent="0.25">
      <c r="J287" s="676" t="e">
        <f t="shared" si="4"/>
        <v>#DIV/0!</v>
      </c>
    </row>
    <row r="288" spans="10:10" s="295" customFormat="1" x14ac:dyDescent="0.25">
      <c r="J288" s="676" t="e">
        <f t="shared" si="4"/>
        <v>#DIV/0!</v>
      </c>
    </row>
    <row r="289" spans="10:10" s="295" customFormat="1" x14ac:dyDescent="0.25">
      <c r="J289" s="676" t="e">
        <f t="shared" si="4"/>
        <v>#DIV/0!</v>
      </c>
    </row>
    <row r="290" spans="10:10" s="295" customFormat="1" x14ac:dyDescent="0.25">
      <c r="J290" s="676" t="e">
        <f t="shared" si="4"/>
        <v>#DIV/0!</v>
      </c>
    </row>
    <row r="291" spans="10:10" s="295" customFormat="1" x14ac:dyDescent="0.25">
      <c r="J291" s="676" t="e">
        <f t="shared" si="4"/>
        <v>#DIV/0!</v>
      </c>
    </row>
    <row r="292" spans="10:10" s="295" customFormat="1" x14ac:dyDescent="0.25">
      <c r="J292" s="676" t="e">
        <f t="shared" si="4"/>
        <v>#DIV/0!</v>
      </c>
    </row>
    <row r="293" spans="10:10" s="295" customFormat="1" x14ac:dyDescent="0.25">
      <c r="J293" s="676" t="e">
        <f t="shared" si="4"/>
        <v>#DIV/0!</v>
      </c>
    </row>
    <row r="294" spans="10:10" s="295" customFormat="1" x14ac:dyDescent="0.25">
      <c r="J294" s="676" t="e">
        <f t="shared" si="4"/>
        <v>#DIV/0!</v>
      </c>
    </row>
    <row r="295" spans="10:10" s="295" customFormat="1" x14ac:dyDescent="0.25">
      <c r="J295" s="676" t="e">
        <f t="shared" si="4"/>
        <v>#DIV/0!</v>
      </c>
    </row>
    <row r="296" spans="10:10" s="295" customFormat="1" x14ac:dyDescent="0.25">
      <c r="J296" s="676" t="e">
        <f t="shared" si="4"/>
        <v>#DIV/0!</v>
      </c>
    </row>
    <row r="297" spans="10:10" s="295" customFormat="1" x14ac:dyDescent="0.25">
      <c r="J297" s="676" t="e">
        <f t="shared" si="4"/>
        <v>#DIV/0!</v>
      </c>
    </row>
    <row r="298" spans="10:10" s="295" customFormat="1" x14ac:dyDescent="0.25">
      <c r="J298" s="676" t="e">
        <f t="shared" si="4"/>
        <v>#DIV/0!</v>
      </c>
    </row>
    <row r="299" spans="10:10" s="295" customFormat="1" x14ac:dyDescent="0.25">
      <c r="J299" s="676" t="e">
        <f t="shared" si="4"/>
        <v>#DIV/0!</v>
      </c>
    </row>
    <row r="300" spans="10:10" s="295" customFormat="1" x14ac:dyDescent="0.25">
      <c r="J300" s="676" t="e">
        <f t="shared" si="4"/>
        <v>#DIV/0!</v>
      </c>
    </row>
    <row r="301" spans="10:10" s="295" customFormat="1" x14ac:dyDescent="0.25">
      <c r="J301" s="676" t="e">
        <f t="shared" si="4"/>
        <v>#DIV/0!</v>
      </c>
    </row>
    <row r="302" spans="10:10" s="295" customFormat="1" x14ac:dyDescent="0.25">
      <c r="J302" s="676" t="e">
        <f t="shared" si="4"/>
        <v>#DIV/0!</v>
      </c>
    </row>
    <row r="303" spans="10:10" s="295" customFormat="1" x14ac:dyDescent="0.25">
      <c r="J303" s="676" t="e">
        <f t="shared" si="4"/>
        <v>#DIV/0!</v>
      </c>
    </row>
    <row r="304" spans="10:10" s="295" customFormat="1" x14ac:dyDescent="0.25">
      <c r="J304" s="676" t="e">
        <f t="shared" si="4"/>
        <v>#DIV/0!</v>
      </c>
    </row>
    <row r="305" spans="10:10" s="295" customFormat="1" x14ac:dyDescent="0.25">
      <c r="J305" s="676" t="e">
        <f t="shared" si="4"/>
        <v>#DIV/0!</v>
      </c>
    </row>
    <row r="306" spans="10:10" s="295" customFormat="1" x14ac:dyDescent="0.25">
      <c r="J306" s="676" t="e">
        <f t="shared" si="4"/>
        <v>#DIV/0!</v>
      </c>
    </row>
    <row r="307" spans="10:10" s="295" customFormat="1" x14ac:dyDescent="0.25">
      <c r="J307" s="676" t="e">
        <f t="shared" si="4"/>
        <v>#DIV/0!</v>
      </c>
    </row>
    <row r="308" spans="10:10" s="295" customFormat="1" x14ac:dyDescent="0.25">
      <c r="J308" s="676" t="e">
        <f t="shared" si="4"/>
        <v>#DIV/0!</v>
      </c>
    </row>
    <row r="309" spans="10:10" s="295" customFormat="1" x14ac:dyDescent="0.25">
      <c r="J309" s="676" t="e">
        <f t="shared" si="4"/>
        <v>#DIV/0!</v>
      </c>
    </row>
    <row r="310" spans="10:10" s="295" customFormat="1" x14ac:dyDescent="0.25">
      <c r="J310" s="676" t="e">
        <f t="shared" si="4"/>
        <v>#DIV/0!</v>
      </c>
    </row>
    <row r="311" spans="10:10" s="295" customFormat="1" x14ac:dyDescent="0.25">
      <c r="J311" s="676" t="e">
        <f t="shared" si="4"/>
        <v>#DIV/0!</v>
      </c>
    </row>
    <row r="312" spans="10:10" s="295" customFormat="1" x14ac:dyDescent="0.25">
      <c r="J312" s="676" t="e">
        <f t="shared" si="4"/>
        <v>#DIV/0!</v>
      </c>
    </row>
    <row r="313" spans="10:10" s="295" customFormat="1" x14ac:dyDescent="0.25">
      <c r="J313" s="676" t="e">
        <f t="shared" si="4"/>
        <v>#DIV/0!</v>
      </c>
    </row>
    <row r="314" spans="10:10" s="295" customFormat="1" x14ac:dyDescent="0.25">
      <c r="J314" s="676" t="e">
        <f t="shared" si="4"/>
        <v>#DIV/0!</v>
      </c>
    </row>
    <row r="315" spans="10:10" s="295" customFormat="1" x14ac:dyDescent="0.25">
      <c r="J315" s="676" t="e">
        <f t="shared" si="4"/>
        <v>#DIV/0!</v>
      </c>
    </row>
    <row r="316" spans="10:10" s="295" customFormat="1" x14ac:dyDescent="0.25">
      <c r="J316" s="676" t="e">
        <f t="shared" si="4"/>
        <v>#DIV/0!</v>
      </c>
    </row>
    <row r="317" spans="10:10" s="295" customFormat="1" x14ac:dyDescent="0.25">
      <c r="J317" s="676" t="e">
        <f t="shared" si="4"/>
        <v>#DIV/0!</v>
      </c>
    </row>
    <row r="318" spans="10:10" s="295" customFormat="1" x14ac:dyDescent="0.25">
      <c r="J318" s="676" t="e">
        <f t="shared" si="4"/>
        <v>#DIV/0!</v>
      </c>
    </row>
    <row r="319" spans="10:10" s="295" customFormat="1" x14ac:dyDescent="0.25">
      <c r="J319" s="676" t="e">
        <f t="shared" si="4"/>
        <v>#DIV/0!</v>
      </c>
    </row>
    <row r="320" spans="10:10" s="295" customFormat="1" x14ac:dyDescent="0.25">
      <c r="J320" s="676" t="e">
        <f t="shared" si="4"/>
        <v>#DIV/0!</v>
      </c>
    </row>
    <row r="321" spans="10:10" s="295" customFormat="1" x14ac:dyDescent="0.25">
      <c r="J321" s="676" t="e">
        <f t="shared" si="4"/>
        <v>#DIV/0!</v>
      </c>
    </row>
    <row r="322" spans="10:10" s="295" customFormat="1" x14ac:dyDescent="0.25">
      <c r="J322" s="676" t="e">
        <f t="shared" si="4"/>
        <v>#DIV/0!</v>
      </c>
    </row>
    <row r="323" spans="10:10" s="295" customFormat="1" x14ac:dyDescent="0.25">
      <c r="J323" s="676" t="e">
        <f t="shared" si="4"/>
        <v>#DIV/0!</v>
      </c>
    </row>
    <row r="324" spans="10:10" s="295" customFormat="1" x14ac:dyDescent="0.25">
      <c r="J324" s="676" t="e">
        <f t="shared" si="4"/>
        <v>#DIV/0!</v>
      </c>
    </row>
    <row r="325" spans="10:10" s="295" customFormat="1" x14ac:dyDescent="0.25">
      <c r="J325" s="676" t="e">
        <f t="shared" ref="J325:J388" si="5">(I325*K325/100)/(H325*G325)*1000</f>
        <v>#DIV/0!</v>
      </c>
    </row>
    <row r="326" spans="10:10" s="295" customFormat="1" x14ac:dyDescent="0.25">
      <c r="J326" s="676" t="e">
        <f t="shared" si="5"/>
        <v>#DIV/0!</v>
      </c>
    </row>
    <row r="327" spans="10:10" s="295" customFormat="1" x14ac:dyDescent="0.25">
      <c r="J327" s="676" t="e">
        <f t="shared" si="5"/>
        <v>#DIV/0!</v>
      </c>
    </row>
    <row r="328" spans="10:10" s="295" customFormat="1" x14ac:dyDescent="0.25">
      <c r="J328" s="676" t="e">
        <f t="shared" si="5"/>
        <v>#DIV/0!</v>
      </c>
    </row>
    <row r="329" spans="10:10" s="295" customFormat="1" x14ac:dyDescent="0.25">
      <c r="J329" s="676" t="e">
        <f t="shared" si="5"/>
        <v>#DIV/0!</v>
      </c>
    </row>
    <row r="330" spans="10:10" s="295" customFormat="1" x14ac:dyDescent="0.25">
      <c r="J330" s="676" t="e">
        <f t="shared" si="5"/>
        <v>#DIV/0!</v>
      </c>
    </row>
    <row r="331" spans="10:10" s="295" customFormat="1" x14ac:dyDescent="0.25">
      <c r="J331" s="676" t="e">
        <f t="shared" si="5"/>
        <v>#DIV/0!</v>
      </c>
    </row>
    <row r="332" spans="10:10" s="295" customFormat="1" x14ac:dyDescent="0.25">
      <c r="J332" s="676" t="e">
        <f t="shared" si="5"/>
        <v>#DIV/0!</v>
      </c>
    </row>
    <row r="333" spans="10:10" s="295" customFormat="1" x14ac:dyDescent="0.25">
      <c r="J333" s="676" t="e">
        <f t="shared" si="5"/>
        <v>#DIV/0!</v>
      </c>
    </row>
    <row r="334" spans="10:10" s="295" customFormat="1" x14ac:dyDescent="0.25">
      <c r="J334" s="676" t="e">
        <f t="shared" si="5"/>
        <v>#DIV/0!</v>
      </c>
    </row>
    <row r="335" spans="10:10" s="295" customFormat="1" x14ac:dyDescent="0.25">
      <c r="J335" s="676" t="e">
        <f t="shared" si="5"/>
        <v>#DIV/0!</v>
      </c>
    </row>
    <row r="336" spans="10:10" s="295" customFormat="1" x14ac:dyDescent="0.25">
      <c r="J336" s="676" t="e">
        <f t="shared" si="5"/>
        <v>#DIV/0!</v>
      </c>
    </row>
    <row r="337" spans="10:10" s="295" customFormat="1" x14ac:dyDescent="0.25">
      <c r="J337" s="676" t="e">
        <f t="shared" si="5"/>
        <v>#DIV/0!</v>
      </c>
    </row>
    <row r="338" spans="10:10" s="295" customFormat="1" x14ac:dyDescent="0.25">
      <c r="J338" s="676" t="e">
        <f t="shared" si="5"/>
        <v>#DIV/0!</v>
      </c>
    </row>
    <row r="339" spans="10:10" s="295" customFormat="1" x14ac:dyDescent="0.25">
      <c r="J339" s="676" t="e">
        <f t="shared" si="5"/>
        <v>#DIV/0!</v>
      </c>
    </row>
    <row r="340" spans="10:10" s="295" customFormat="1" x14ac:dyDescent="0.25">
      <c r="J340" s="676" t="e">
        <f t="shared" si="5"/>
        <v>#DIV/0!</v>
      </c>
    </row>
    <row r="341" spans="10:10" s="295" customFormat="1" x14ac:dyDescent="0.25">
      <c r="J341" s="676" t="e">
        <f t="shared" si="5"/>
        <v>#DIV/0!</v>
      </c>
    </row>
    <row r="342" spans="10:10" s="295" customFormat="1" x14ac:dyDescent="0.25">
      <c r="J342" s="676" t="e">
        <f t="shared" si="5"/>
        <v>#DIV/0!</v>
      </c>
    </row>
    <row r="343" spans="10:10" s="295" customFormat="1" x14ac:dyDescent="0.25">
      <c r="J343" s="676" t="e">
        <f t="shared" si="5"/>
        <v>#DIV/0!</v>
      </c>
    </row>
    <row r="344" spans="10:10" s="295" customFormat="1" x14ac:dyDescent="0.25">
      <c r="J344" s="676" t="e">
        <f t="shared" si="5"/>
        <v>#DIV/0!</v>
      </c>
    </row>
    <row r="345" spans="10:10" s="295" customFormat="1" x14ac:dyDescent="0.25">
      <c r="J345" s="676" t="e">
        <f t="shared" si="5"/>
        <v>#DIV/0!</v>
      </c>
    </row>
    <row r="346" spans="10:10" s="295" customFormat="1" x14ac:dyDescent="0.25">
      <c r="J346" s="676" t="e">
        <f t="shared" si="5"/>
        <v>#DIV/0!</v>
      </c>
    </row>
    <row r="347" spans="10:10" s="295" customFormat="1" x14ac:dyDescent="0.25">
      <c r="J347" s="676" t="e">
        <f t="shared" si="5"/>
        <v>#DIV/0!</v>
      </c>
    </row>
    <row r="348" spans="10:10" s="295" customFormat="1" x14ac:dyDescent="0.25">
      <c r="J348" s="676" t="e">
        <f t="shared" si="5"/>
        <v>#DIV/0!</v>
      </c>
    </row>
    <row r="349" spans="10:10" s="295" customFormat="1" x14ac:dyDescent="0.25">
      <c r="J349" s="676" t="e">
        <f t="shared" si="5"/>
        <v>#DIV/0!</v>
      </c>
    </row>
    <row r="350" spans="10:10" s="295" customFormat="1" x14ac:dyDescent="0.25">
      <c r="J350" s="676" t="e">
        <f t="shared" si="5"/>
        <v>#DIV/0!</v>
      </c>
    </row>
    <row r="351" spans="10:10" s="295" customFormat="1" x14ac:dyDescent="0.25">
      <c r="J351" s="676" t="e">
        <f t="shared" si="5"/>
        <v>#DIV/0!</v>
      </c>
    </row>
    <row r="352" spans="10:10" s="295" customFormat="1" x14ac:dyDescent="0.25">
      <c r="J352" s="676" t="e">
        <f t="shared" si="5"/>
        <v>#DIV/0!</v>
      </c>
    </row>
    <row r="353" spans="10:10" s="295" customFormat="1" x14ac:dyDescent="0.25">
      <c r="J353" s="676" t="e">
        <f t="shared" si="5"/>
        <v>#DIV/0!</v>
      </c>
    </row>
    <row r="354" spans="10:10" s="295" customFormat="1" x14ac:dyDescent="0.25">
      <c r="J354" s="676" t="e">
        <f t="shared" si="5"/>
        <v>#DIV/0!</v>
      </c>
    </row>
    <row r="355" spans="10:10" s="295" customFormat="1" x14ac:dyDescent="0.25">
      <c r="J355" s="676" t="e">
        <f t="shared" si="5"/>
        <v>#DIV/0!</v>
      </c>
    </row>
    <row r="356" spans="10:10" s="295" customFormat="1" x14ac:dyDescent="0.25">
      <c r="J356" s="676" t="e">
        <f t="shared" si="5"/>
        <v>#DIV/0!</v>
      </c>
    </row>
    <row r="357" spans="10:10" s="295" customFormat="1" x14ac:dyDescent="0.25">
      <c r="J357" s="676" t="e">
        <f t="shared" si="5"/>
        <v>#DIV/0!</v>
      </c>
    </row>
    <row r="358" spans="10:10" s="295" customFormat="1" x14ac:dyDescent="0.25">
      <c r="J358" s="676" t="e">
        <f t="shared" si="5"/>
        <v>#DIV/0!</v>
      </c>
    </row>
    <row r="359" spans="10:10" s="295" customFormat="1" x14ac:dyDescent="0.25">
      <c r="J359" s="676" t="e">
        <f t="shared" si="5"/>
        <v>#DIV/0!</v>
      </c>
    </row>
    <row r="360" spans="10:10" s="295" customFormat="1" x14ac:dyDescent="0.25">
      <c r="J360" s="676" t="e">
        <f t="shared" si="5"/>
        <v>#DIV/0!</v>
      </c>
    </row>
    <row r="361" spans="10:10" s="295" customFormat="1" x14ac:dyDescent="0.25">
      <c r="J361" s="676" t="e">
        <f t="shared" si="5"/>
        <v>#DIV/0!</v>
      </c>
    </row>
    <row r="362" spans="10:10" s="295" customFormat="1" x14ac:dyDescent="0.25">
      <c r="J362" s="676" t="e">
        <f t="shared" si="5"/>
        <v>#DIV/0!</v>
      </c>
    </row>
    <row r="363" spans="10:10" s="295" customFormat="1" x14ac:dyDescent="0.25">
      <c r="J363" s="676" t="e">
        <f t="shared" si="5"/>
        <v>#DIV/0!</v>
      </c>
    </row>
    <row r="364" spans="10:10" s="295" customFormat="1" x14ac:dyDescent="0.25">
      <c r="J364" s="676" t="e">
        <f t="shared" si="5"/>
        <v>#DIV/0!</v>
      </c>
    </row>
    <row r="365" spans="10:10" s="295" customFormat="1" x14ac:dyDescent="0.25">
      <c r="J365" s="676" t="e">
        <f t="shared" si="5"/>
        <v>#DIV/0!</v>
      </c>
    </row>
    <row r="366" spans="10:10" s="295" customFormat="1" x14ac:dyDescent="0.25">
      <c r="J366" s="676" t="e">
        <f t="shared" si="5"/>
        <v>#DIV/0!</v>
      </c>
    </row>
    <row r="367" spans="10:10" s="295" customFormat="1" x14ac:dyDescent="0.25">
      <c r="J367" s="676" t="e">
        <f t="shared" si="5"/>
        <v>#DIV/0!</v>
      </c>
    </row>
    <row r="368" spans="10:10" s="295" customFormat="1" x14ac:dyDescent="0.25">
      <c r="J368" s="676" t="e">
        <f t="shared" si="5"/>
        <v>#DIV/0!</v>
      </c>
    </row>
    <row r="369" spans="10:10" s="295" customFormat="1" x14ac:dyDescent="0.25">
      <c r="J369" s="676" t="e">
        <f t="shared" si="5"/>
        <v>#DIV/0!</v>
      </c>
    </row>
    <row r="370" spans="10:10" s="295" customFormat="1" x14ac:dyDescent="0.25">
      <c r="J370" s="676" t="e">
        <f t="shared" si="5"/>
        <v>#DIV/0!</v>
      </c>
    </row>
    <row r="371" spans="10:10" s="295" customFormat="1" x14ac:dyDescent="0.25">
      <c r="J371" s="676" t="e">
        <f t="shared" si="5"/>
        <v>#DIV/0!</v>
      </c>
    </row>
    <row r="372" spans="10:10" s="295" customFormat="1" x14ac:dyDescent="0.25">
      <c r="J372" s="676" t="e">
        <f t="shared" si="5"/>
        <v>#DIV/0!</v>
      </c>
    </row>
    <row r="373" spans="10:10" s="295" customFormat="1" x14ac:dyDescent="0.25">
      <c r="J373" s="676" t="e">
        <f t="shared" si="5"/>
        <v>#DIV/0!</v>
      </c>
    </row>
    <row r="374" spans="10:10" s="295" customFormat="1" x14ac:dyDescent="0.25">
      <c r="J374" s="676" t="e">
        <f t="shared" si="5"/>
        <v>#DIV/0!</v>
      </c>
    </row>
    <row r="375" spans="10:10" s="295" customFormat="1" x14ac:dyDescent="0.25">
      <c r="J375" s="676" t="e">
        <f t="shared" si="5"/>
        <v>#DIV/0!</v>
      </c>
    </row>
    <row r="376" spans="10:10" s="295" customFormat="1" x14ac:dyDescent="0.25">
      <c r="J376" s="676" t="e">
        <f t="shared" si="5"/>
        <v>#DIV/0!</v>
      </c>
    </row>
    <row r="377" spans="10:10" s="295" customFormat="1" x14ac:dyDescent="0.25">
      <c r="J377" s="676" t="e">
        <f t="shared" si="5"/>
        <v>#DIV/0!</v>
      </c>
    </row>
    <row r="378" spans="10:10" s="295" customFormat="1" x14ac:dyDescent="0.25">
      <c r="J378" s="676" t="e">
        <f t="shared" si="5"/>
        <v>#DIV/0!</v>
      </c>
    </row>
    <row r="379" spans="10:10" s="295" customFormat="1" x14ac:dyDescent="0.25">
      <c r="J379" s="676" t="e">
        <f t="shared" si="5"/>
        <v>#DIV/0!</v>
      </c>
    </row>
    <row r="380" spans="10:10" s="295" customFormat="1" x14ac:dyDescent="0.25">
      <c r="J380" s="676" t="e">
        <f t="shared" si="5"/>
        <v>#DIV/0!</v>
      </c>
    </row>
    <row r="381" spans="10:10" s="295" customFormat="1" x14ac:dyDescent="0.25">
      <c r="J381" s="676" t="e">
        <f t="shared" si="5"/>
        <v>#DIV/0!</v>
      </c>
    </row>
    <row r="382" spans="10:10" s="295" customFormat="1" x14ac:dyDescent="0.25">
      <c r="J382" s="676" t="e">
        <f t="shared" si="5"/>
        <v>#DIV/0!</v>
      </c>
    </row>
    <row r="383" spans="10:10" s="295" customFormat="1" x14ac:dyDescent="0.25">
      <c r="J383" s="676" t="e">
        <f t="shared" si="5"/>
        <v>#DIV/0!</v>
      </c>
    </row>
    <row r="384" spans="10:10" s="295" customFormat="1" x14ac:dyDescent="0.25">
      <c r="J384" s="676" t="e">
        <f t="shared" si="5"/>
        <v>#DIV/0!</v>
      </c>
    </row>
    <row r="385" spans="10:10" s="295" customFormat="1" x14ac:dyDescent="0.25">
      <c r="J385" s="676" t="e">
        <f t="shared" si="5"/>
        <v>#DIV/0!</v>
      </c>
    </row>
    <row r="386" spans="10:10" s="295" customFormat="1" x14ac:dyDescent="0.25">
      <c r="J386" s="676" t="e">
        <f t="shared" si="5"/>
        <v>#DIV/0!</v>
      </c>
    </row>
    <row r="387" spans="10:10" s="295" customFormat="1" x14ac:dyDescent="0.25">
      <c r="J387" s="676" t="e">
        <f t="shared" si="5"/>
        <v>#DIV/0!</v>
      </c>
    </row>
    <row r="388" spans="10:10" s="295" customFormat="1" x14ac:dyDescent="0.25">
      <c r="J388" s="676" t="e">
        <f t="shared" si="5"/>
        <v>#DIV/0!</v>
      </c>
    </row>
    <row r="389" spans="10:10" s="295" customFormat="1" x14ac:dyDescent="0.25">
      <c r="J389" s="676" t="e">
        <f t="shared" ref="J389:J452" si="6">(I389*K389/100)/(H389*G389)*1000</f>
        <v>#DIV/0!</v>
      </c>
    </row>
    <row r="390" spans="10:10" s="295" customFormat="1" x14ac:dyDescent="0.25">
      <c r="J390" s="676" t="e">
        <f t="shared" si="6"/>
        <v>#DIV/0!</v>
      </c>
    </row>
    <row r="391" spans="10:10" s="295" customFormat="1" x14ac:dyDescent="0.25">
      <c r="J391" s="676" t="e">
        <f t="shared" si="6"/>
        <v>#DIV/0!</v>
      </c>
    </row>
    <row r="392" spans="10:10" s="295" customFormat="1" x14ac:dyDescent="0.25">
      <c r="J392" s="676" t="e">
        <f t="shared" si="6"/>
        <v>#DIV/0!</v>
      </c>
    </row>
    <row r="393" spans="10:10" s="295" customFormat="1" x14ac:dyDescent="0.25">
      <c r="J393" s="676" t="e">
        <f t="shared" si="6"/>
        <v>#DIV/0!</v>
      </c>
    </row>
    <row r="394" spans="10:10" s="295" customFormat="1" x14ac:dyDescent="0.25">
      <c r="J394" s="676" t="e">
        <f t="shared" si="6"/>
        <v>#DIV/0!</v>
      </c>
    </row>
    <row r="395" spans="10:10" s="295" customFormat="1" x14ac:dyDescent="0.25">
      <c r="J395" s="676" t="e">
        <f t="shared" si="6"/>
        <v>#DIV/0!</v>
      </c>
    </row>
    <row r="396" spans="10:10" s="295" customFormat="1" x14ac:dyDescent="0.25">
      <c r="J396" s="676" t="e">
        <f t="shared" si="6"/>
        <v>#DIV/0!</v>
      </c>
    </row>
    <row r="397" spans="10:10" s="295" customFormat="1" x14ac:dyDescent="0.25">
      <c r="J397" s="676" t="e">
        <f t="shared" si="6"/>
        <v>#DIV/0!</v>
      </c>
    </row>
    <row r="398" spans="10:10" s="295" customFormat="1" x14ac:dyDescent="0.25">
      <c r="J398" s="676" t="e">
        <f t="shared" si="6"/>
        <v>#DIV/0!</v>
      </c>
    </row>
    <row r="399" spans="10:10" s="295" customFormat="1" x14ac:dyDescent="0.25">
      <c r="J399" s="676" t="e">
        <f t="shared" si="6"/>
        <v>#DIV/0!</v>
      </c>
    </row>
    <row r="400" spans="10:10" s="295" customFormat="1" x14ac:dyDescent="0.25">
      <c r="J400" s="676" t="e">
        <f t="shared" si="6"/>
        <v>#DIV/0!</v>
      </c>
    </row>
    <row r="401" spans="10:10" s="295" customFormat="1" x14ac:dyDescent="0.25">
      <c r="J401" s="676" t="e">
        <f t="shared" si="6"/>
        <v>#DIV/0!</v>
      </c>
    </row>
    <row r="402" spans="10:10" s="295" customFormat="1" x14ac:dyDescent="0.25">
      <c r="J402" s="676" t="e">
        <f t="shared" si="6"/>
        <v>#DIV/0!</v>
      </c>
    </row>
    <row r="403" spans="10:10" s="295" customFormat="1" x14ac:dyDescent="0.25">
      <c r="J403" s="676" t="e">
        <f t="shared" si="6"/>
        <v>#DIV/0!</v>
      </c>
    </row>
    <row r="404" spans="10:10" s="295" customFormat="1" x14ac:dyDescent="0.25">
      <c r="J404" s="676" t="e">
        <f t="shared" si="6"/>
        <v>#DIV/0!</v>
      </c>
    </row>
    <row r="405" spans="10:10" s="295" customFormat="1" x14ac:dyDescent="0.25">
      <c r="J405" s="676" t="e">
        <f t="shared" si="6"/>
        <v>#DIV/0!</v>
      </c>
    </row>
    <row r="406" spans="10:10" s="295" customFormat="1" x14ac:dyDescent="0.25">
      <c r="J406" s="676" t="e">
        <f t="shared" si="6"/>
        <v>#DIV/0!</v>
      </c>
    </row>
    <row r="407" spans="10:10" s="295" customFormat="1" x14ac:dyDescent="0.25">
      <c r="J407" s="676" t="e">
        <f t="shared" si="6"/>
        <v>#DIV/0!</v>
      </c>
    </row>
    <row r="408" spans="10:10" s="295" customFormat="1" x14ac:dyDescent="0.25">
      <c r="J408" s="676" t="e">
        <f t="shared" si="6"/>
        <v>#DIV/0!</v>
      </c>
    </row>
    <row r="409" spans="10:10" s="295" customFormat="1" x14ac:dyDescent="0.25">
      <c r="J409" s="676" t="e">
        <f t="shared" si="6"/>
        <v>#DIV/0!</v>
      </c>
    </row>
    <row r="410" spans="10:10" s="295" customFormat="1" x14ac:dyDescent="0.25">
      <c r="J410" s="676" t="e">
        <f t="shared" si="6"/>
        <v>#DIV/0!</v>
      </c>
    </row>
    <row r="411" spans="10:10" s="295" customFormat="1" x14ac:dyDescent="0.25">
      <c r="J411" s="676" t="e">
        <f t="shared" si="6"/>
        <v>#DIV/0!</v>
      </c>
    </row>
    <row r="412" spans="10:10" s="295" customFormat="1" x14ac:dyDescent="0.25">
      <c r="J412" s="676" t="e">
        <f t="shared" si="6"/>
        <v>#DIV/0!</v>
      </c>
    </row>
    <row r="413" spans="10:10" s="295" customFormat="1" x14ac:dyDescent="0.25">
      <c r="J413" s="676" t="e">
        <f t="shared" si="6"/>
        <v>#DIV/0!</v>
      </c>
    </row>
    <row r="414" spans="10:10" s="295" customFormat="1" x14ac:dyDescent="0.25">
      <c r="J414" s="676" t="e">
        <f t="shared" si="6"/>
        <v>#DIV/0!</v>
      </c>
    </row>
    <row r="415" spans="10:10" s="295" customFormat="1" x14ac:dyDescent="0.25">
      <c r="J415" s="676" t="e">
        <f t="shared" si="6"/>
        <v>#DIV/0!</v>
      </c>
    </row>
    <row r="416" spans="10:10" s="295" customFormat="1" x14ac:dyDescent="0.25">
      <c r="J416" s="676" t="e">
        <f t="shared" si="6"/>
        <v>#DIV/0!</v>
      </c>
    </row>
    <row r="417" spans="10:10" s="295" customFormat="1" x14ac:dyDescent="0.25">
      <c r="J417" s="676" t="e">
        <f t="shared" si="6"/>
        <v>#DIV/0!</v>
      </c>
    </row>
    <row r="418" spans="10:10" s="295" customFormat="1" x14ac:dyDescent="0.25">
      <c r="J418" s="676" t="e">
        <f t="shared" si="6"/>
        <v>#DIV/0!</v>
      </c>
    </row>
    <row r="419" spans="10:10" s="295" customFormat="1" x14ac:dyDescent="0.25">
      <c r="J419" s="676" t="e">
        <f t="shared" si="6"/>
        <v>#DIV/0!</v>
      </c>
    </row>
    <row r="420" spans="10:10" s="295" customFormat="1" x14ac:dyDescent="0.25">
      <c r="J420" s="676" t="e">
        <f t="shared" si="6"/>
        <v>#DIV/0!</v>
      </c>
    </row>
    <row r="421" spans="10:10" s="295" customFormat="1" x14ac:dyDescent="0.25">
      <c r="J421" s="676" t="e">
        <f t="shared" si="6"/>
        <v>#DIV/0!</v>
      </c>
    </row>
    <row r="422" spans="10:10" s="295" customFormat="1" x14ac:dyDescent="0.25">
      <c r="J422" s="676" t="e">
        <f t="shared" si="6"/>
        <v>#DIV/0!</v>
      </c>
    </row>
    <row r="423" spans="10:10" s="295" customFormat="1" x14ac:dyDescent="0.25">
      <c r="J423" s="676" t="e">
        <f t="shared" si="6"/>
        <v>#DIV/0!</v>
      </c>
    </row>
    <row r="424" spans="10:10" s="295" customFormat="1" x14ac:dyDescent="0.25">
      <c r="J424" s="676" t="e">
        <f t="shared" si="6"/>
        <v>#DIV/0!</v>
      </c>
    </row>
    <row r="425" spans="10:10" s="295" customFormat="1" x14ac:dyDescent="0.25">
      <c r="J425" s="676" t="e">
        <f t="shared" si="6"/>
        <v>#DIV/0!</v>
      </c>
    </row>
    <row r="426" spans="10:10" s="295" customFormat="1" x14ac:dyDescent="0.25">
      <c r="J426" s="676" t="e">
        <f t="shared" si="6"/>
        <v>#DIV/0!</v>
      </c>
    </row>
    <row r="427" spans="10:10" s="295" customFormat="1" x14ac:dyDescent="0.25">
      <c r="J427" s="676" t="e">
        <f t="shared" si="6"/>
        <v>#DIV/0!</v>
      </c>
    </row>
    <row r="428" spans="10:10" s="295" customFormat="1" x14ac:dyDescent="0.25">
      <c r="J428" s="676" t="e">
        <f t="shared" si="6"/>
        <v>#DIV/0!</v>
      </c>
    </row>
    <row r="429" spans="10:10" s="295" customFormat="1" x14ac:dyDescent="0.25">
      <c r="J429" s="676" t="e">
        <f t="shared" si="6"/>
        <v>#DIV/0!</v>
      </c>
    </row>
    <row r="430" spans="10:10" s="295" customFormat="1" x14ac:dyDescent="0.25">
      <c r="J430" s="676" t="e">
        <f t="shared" si="6"/>
        <v>#DIV/0!</v>
      </c>
    </row>
    <row r="431" spans="10:10" s="295" customFormat="1" x14ac:dyDescent="0.25">
      <c r="J431" s="676" t="e">
        <f t="shared" si="6"/>
        <v>#DIV/0!</v>
      </c>
    </row>
    <row r="432" spans="10:10" s="295" customFormat="1" x14ac:dyDescent="0.25">
      <c r="J432" s="676" t="e">
        <f t="shared" si="6"/>
        <v>#DIV/0!</v>
      </c>
    </row>
    <row r="433" spans="10:10" s="295" customFormat="1" x14ac:dyDescent="0.25">
      <c r="J433" s="676" t="e">
        <f t="shared" si="6"/>
        <v>#DIV/0!</v>
      </c>
    </row>
    <row r="434" spans="10:10" s="295" customFormat="1" x14ac:dyDescent="0.25">
      <c r="J434" s="676" t="e">
        <f t="shared" si="6"/>
        <v>#DIV/0!</v>
      </c>
    </row>
    <row r="435" spans="10:10" s="295" customFormat="1" x14ac:dyDescent="0.25">
      <c r="J435" s="676" t="e">
        <f t="shared" si="6"/>
        <v>#DIV/0!</v>
      </c>
    </row>
    <row r="436" spans="10:10" s="295" customFormat="1" x14ac:dyDescent="0.25">
      <c r="J436" s="676" t="e">
        <f t="shared" si="6"/>
        <v>#DIV/0!</v>
      </c>
    </row>
    <row r="437" spans="10:10" s="295" customFormat="1" x14ac:dyDescent="0.25">
      <c r="J437" s="676" t="e">
        <f t="shared" si="6"/>
        <v>#DIV/0!</v>
      </c>
    </row>
    <row r="438" spans="10:10" s="295" customFormat="1" x14ac:dyDescent="0.25">
      <c r="J438" s="676" t="e">
        <f t="shared" si="6"/>
        <v>#DIV/0!</v>
      </c>
    </row>
    <row r="439" spans="10:10" s="295" customFormat="1" x14ac:dyDescent="0.25">
      <c r="J439" s="676" t="e">
        <f t="shared" si="6"/>
        <v>#DIV/0!</v>
      </c>
    </row>
    <row r="440" spans="10:10" s="295" customFormat="1" x14ac:dyDescent="0.25">
      <c r="J440" s="676" t="e">
        <f t="shared" si="6"/>
        <v>#DIV/0!</v>
      </c>
    </row>
    <row r="441" spans="10:10" s="295" customFormat="1" x14ac:dyDescent="0.25">
      <c r="J441" s="676" t="e">
        <f t="shared" si="6"/>
        <v>#DIV/0!</v>
      </c>
    </row>
    <row r="442" spans="10:10" s="295" customFormat="1" x14ac:dyDescent="0.25">
      <c r="J442" s="676" t="e">
        <f t="shared" si="6"/>
        <v>#DIV/0!</v>
      </c>
    </row>
    <row r="443" spans="10:10" s="295" customFormat="1" x14ac:dyDescent="0.25">
      <c r="J443" s="676" t="e">
        <f t="shared" si="6"/>
        <v>#DIV/0!</v>
      </c>
    </row>
    <row r="444" spans="10:10" s="295" customFormat="1" x14ac:dyDescent="0.25">
      <c r="J444" s="676" t="e">
        <f t="shared" si="6"/>
        <v>#DIV/0!</v>
      </c>
    </row>
    <row r="445" spans="10:10" s="295" customFormat="1" x14ac:dyDescent="0.25">
      <c r="J445" s="676" t="e">
        <f t="shared" si="6"/>
        <v>#DIV/0!</v>
      </c>
    </row>
    <row r="446" spans="10:10" s="295" customFormat="1" x14ac:dyDescent="0.25">
      <c r="J446" s="676" t="e">
        <f t="shared" si="6"/>
        <v>#DIV/0!</v>
      </c>
    </row>
    <row r="447" spans="10:10" s="295" customFormat="1" x14ac:dyDescent="0.25">
      <c r="J447" s="676" t="e">
        <f t="shared" si="6"/>
        <v>#DIV/0!</v>
      </c>
    </row>
    <row r="448" spans="10:10" s="295" customFormat="1" x14ac:dyDescent="0.25">
      <c r="J448" s="676" t="e">
        <f t="shared" si="6"/>
        <v>#DIV/0!</v>
      </c>
    </row>
    <row r="449" spans="10:10" s="295" customFormat="1" x14ac:dyDescent="0.25">
      <c r="J449" s="676" t="e">
        <f t="shared" si="6"/>
        <v>#DIV/0!</v>
      </c>
    </row>
    <row r="450" spans="10:10" s="295" customFormat="1" x14ac:dyDescent="0.25">
      <c r="J450" s="676" t="e">
        <f t="shared" si="6"/>
        <v>#DIV/0!</v>
      </c>
    </row>
    <row r="451" spans="10:10" s="295" customFormat="1" x14ac:dyDescent="0.25">
      <c r="J451" s="676" t="e">
        <f t="shared" si="6"/>
        <v>#DIV/0!</v>
      </c>
    </row>
    <row r="452" spans="10:10" s="295" customFormat="1" x14ac:dyDescent="0.25">
      <c r="J452" s="676" t="e">
        <f t="shared" si="6"/>
        <v>#DIV/0!</v>
      </c>
    </row>
  </sheetData>
  <mergeCells count="2">
    <mergeCell ref="A1:Q1"/>
    <mergeCell ref="A2:Q2"/>
  </mergeCells>
  <conditionalFormatting sqref="L3:Q3">
    <cfRule type="cellIs" dxfId="462" priority="1" operator="equal">
      <formula>"sous surveillance"</formula>
    </cfRule>
  </conditionalFormatting>
  <dataValidations count="8">
    <dataValidation type="list" allowBlank="1" showInputMessage="1" showErrorMessage="1" sqref="L5:L6">
      <formula1>"medium NBA, H2O mQ, DMSO, eq NaOH, EtOH, eq HCl,Citrate buffer, directly in ACSF"</formula1>
    </dataValidation>
    <dataValidation type="list" allowBlank="1" showInputMessage="1" showErrorMessage="1" sqref="L37 L10:L12 L28:L31 L33 L35">
      <formula1>"Medium NBA, H2O mQ, DMSO, eq NaOH, EtOH, eq HCl,Citrate buffer, directly in ACSF"</formula1>
    </dataValidation>
    <dataValidation type="list" allowBlank="1" showInputMessage="1" showErrorMessage="1" sqref="L22">
      <formula1>"H2O mQ, DMSO, eq NaOH, EtOH, eq HCl,Citrate buffer, directly in ACSF,PBS sterile"</formula1>
    </dataValidation>
    <dataValidation errorStyle="warning" allowBlank="1" showInputMessage="1" showErrorMessage="1" sqref="L3:P3"/>
    <dataValidation type="list" allowBlank="1" showInputMessage="1" showErrorMessage="1" sqref="L32 L23:L27 L7:L9 L13 L38:L45 L20:L21 L34 L36 L4">
      <formula1>"H2O mQ, DMSO, eq NaOH, EtOH, eq HCl,Citrate buffer, directly in ACSF"</formula1>
    </dataValidation>
    <dataValidation type="list" allowBlank="1" showInputMessage="1" showErrorMessage="1" sqref="L14:L19">
      <formula1>"H2O mQ, DMSO, eq NaOH, EtOH, eq HCl,Citrate buffer, directly in ACSF, O2 sucrose"</formula1>
    </dataValidation>
    <dataValidation type="list" allowBlank="1" showInputMessage="1" sqref="O45">
      <formula1>INDIRECT(C45)</formula1>
    </dataValidation>
    <dataValidation type="list" allowBlank="1" showInputMessage="1" showErrorMessage="1" sqref="O4">
      <formula1>"Yes, No"</formula1>
    </dataValidation>
  </dataValidations>
  <pageMargins left="0.7" right="0.7" top="0.75" bottom="0.75" header="0.3" footer="0.3"/>
  <pageSetup scale="1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-0.249977111117893"/>
    <pageSetUpPr fitToPage="1"/>
  </sheetPr>
  <dimension ref="A1:T93"/>
  <sheetViews>
    <sheetView topLeftCell="A32" zoomScale="50" zoomScaleNormal="50" workbookViewId="0">
      <selection activeCell="E54" sqref="E54"/>
    </sheetView>
  </sheetViews>
  <sheetFormatPr baseColWidth="10" defaultColWidth="11.42578125" defaultRowHeight="15" x14ac:dyDescent="0.25"/>
  <cols>
    <col min="1" max="1" width="19" style="223" customWidth="1"/>
    <col min="2" max="2" width="30.85546875" style="388" customWidth="1"/>
    <col min="3" max="3" width="13.5703125" style="388" customWidth="1"/>
    <col min="4" max="4" width="21" style="388" customWidth="1"/>
    <col min="5" max="5" width="36" style="388" bestFit="1" customWidth="1"/>
    <col min="6" max="6" width="12.140625" style="224" bestFit="1" customWidth="1"/>
    <col min="7" max="7" width="11.85546875" style="388" customWidth="1"/>
    <col min="8" max="8" width="16.7109375" style="388" customWidth="1"/>
    <col min="9" max="9" width="20.85546875" style="388" customWidth="1"/>
    <col min="10" max="10" width="14.7109375" style="412" customWidth="1"/>
    <col min="11" max="11" width="10.5703125" style="412" customWidth="1"/>
    <col min="12" max="12" width="16.140625" style="388" customWidth="1"/>
    <col min="13" max="14" width="17.7109375" style="388" customWidth="1"/>
    <col min="15" max="15" width="11.42578125" style="388"/>
    <col min="16" max="16" width="28.140625" style="388" customWidth="1"/>
    <col min="17" max="17" width="11.42578125" style="388"/>
    <col min="18" max="18" width="22" style="388" customWidth="1"/>
    <col min="19" max="19" width="16.7109375" style="388" customWidth="1"/>
    <col min="20" max="16384" width="11.42578125" style="388"/>
  </cols>
  <sheetData>
    <row r="1" spans="1:19" ht="50.25" customHeight="1" x14ac:dyDescent="0.25">
      <c r="A1" s="772" t="s">
        <v>1340</v>
      </c>
      <c r="B1" s="772"/>
      <c r="C1" s="772"/>
      <c r="D1" s="773"/>
      <c r="E1" s="773"/>
      <c r="F1" s="773"/>
      <c r="G1" s="773"/>
      <c r="H1" s="773"/>
      <c r="I1" s="773"/>
      <c r="J1" s="773"/>
      <c r="K1" s="773"/>
      <c r="L1" s="773"/>
      <c r="M1" s="773"/>
      <c r="N1" s="773"/>
      <c r="O1" s="773"/>
      <c r="P1" s="773"/>
      <c r="Q1" s="773"/>
      <c r="R1" s="208"/>
      <c r="S1" s="208"/>
    </row>
    <row r="2" spans="1:19" ht="24" customHeight="1" x14ac:dyDescent="0.25">
      <c r="A2" s="774">
        <v>43101</v>
      </c>
      <c r="B2" s="775"/>
      <c r="C2" s="775"/>
      <c r="D2" s="776"/>
      <c r="E2" s="776"/>
      <c r="F2" s="776"/>
      <c r="G2" s="776"/>
      <c r="H2" s="776"/>
      <c r="I2" s="776"/>
      <c r="J2" s="776"/>
      <c r="K2" s="776"/>
      <c r="L2" s="776"/>
      <c r="M2" s="776"/>
      <c r="N2" s="776"/>
      <c r="O2" s="776"/>
      <c r="P2" s="776"/>
      <c r="Q2" s="776"/>
      <c r="R2" s="208"/>
      <c r="S2" s="208"/>
    </row>
    <row r="3" spans="1:19" ht="30" customHeight="1" x14ac:dyDescent="0.25">
      <c r="A3" s="209" t="s">
        <v>4</v>
      </c>
      <c r="B3" s="88" t="s">
        <v>10</v>
      </c>
      <c r="C3" s="210" t="s">
        <v>1232</v>
      </c>
      <c r="D3" s="196" t="s">
        <v>17</v>
      </c>
      <c r="E3" s="197" t="s">
        <v>18</v>
      </c>
      <c r="F3" s="211" t="s">
        <v>27</v>
      </c>
      <c r="G3" s="198" t="s">
        <v>23</v>
      </c>
      <c r="H3" s="198" t="s">
        <v>35</v>
      </c>
      <c r="I3" s="199" t="s">
        <v>1233</v>
      </c>
      <c r="J3" s="199" t="s">
        <v>1234</v>
      </c>
      <c r="K3" s="199" t="s">
        <v>1344</v>
      </c>
      <c r="L3" s="198" t="s">
        <v>37</v>
      </c>
      <c r="M3" s="198" t="s">
        <v>1235</v>
      </c>
      <c r="N3" s="198" t="s">
        <v>1236</v>
      </c>
      <c r="O3" s="198" t="s">
        <v>1237</v>
      </c>
      <c r="P3" s="27" t="s">
        <v>1238</v>
      </c>
      <c r="Q3" s="27" t="s">
        <v>1239</v>
      </c>
      <c r="R3" s="27" t="s">
        <v>1240</v>
      </c>
      <c r="S3" s="212" t="s">
        <v>1241</v>
      </c>
    </row>
    <row r="4" spans="1:19" ht="30" customHeight="1" x14ac:dyDescent="0.25">
      <c r="A4" s="221">
        <v>43103</v>
      </c>
      <c r="B4" s="416" t="s">
        <v>2550</v>
      </c>
      <c r="C4" s="417" t="s">
        <v>40</v>
      </c>
      <c r="D4" s="293" t="s">
        <v>2529</v>
      </c>
      <c r="E4" s="293" t="s">
        <v>2530</v>
      </c>
      <c r="F4" s="383">
        <v>43047</v>
      </c>
      <c r="G4" s="126">
        <v>180.16</v>
      </c>
      <c r="H4" s="374" t="s">
        <v>2258</v>
      </c>
      <c r="I4" s="375" t="s">
        <v>2649</v>
      </c>
      <c r="J4" s="404" t="s">
        <v>2650</v>
      </c>
      <c r="K4" s="411">
        <v>0.99199999999999999</v>
      </c>
      <c r="L4" s="405" t="s">
        <v>212</v>
      </c>
      <c r="M4" s="406"/>
      <c r="O4" s="218" t="s">
        <v>2651</v>
      </c>
      <c r="P4" s="376" t="s">
        <v>2535</v>
      </c>
      <c r="Q4" s="218" t="s">
        <v>2475</v>
      </c>
      <c r="R4" s="418"/>
      <c r="S4" s="218" t="s">
        <v>2717</v>
      </c>
    </row>
    <row r="5" spans="1:19" ht="30" customHeight="1" x14ac:dyDescent="0.25">
      <c r="A5" s="221">
        <v>43103</v>
      </c>
      <c r="B5" s="416" t="s">
        <v>2551</v>
      </c>
      <c r="C5" s="417" t="s">
        <v>40</v>
      </c>
      <c r="D5" s="293" t="s">
        <v>2529</v>
      </c>
      <c r="E5" s="293" t="s">
        <v>2565</v>
      </c>
      <c r="F5" s="383">
        <v>43047</v>
      </c>
      <c r="G5" s="126">
        <v>354.31</v>
      </c>
      <c r="H5" s="374" t="s">
        <v>2258</v>
      </c>
      <c r="I5" s="375" t="s">
        <v>2652</v>
      </c>
      <c r="J5" s="404" t="s">
        <v>2653</v>
      </c>
      <c r="K5" s="397">
        <v>0.99</v>
      </c>
      <c r="L5" s="405" t="s">
        <v>2110</v>
      </c>
      <c r="M5" s="406"/>
      <c r="O5" s="421" t="s">
        <v>2651</v>
      </c>
      <c r="P5" s="376" t="s">
        <v>2535</v>
      </c>
      <c r="Q5" s="218" t="s">
        <v>2475</v>
      </c>
      <c r="R5" s="418"/>
      <c r="S5" s="218" t="s">
        <v>2717</v>
      </c>
    </row>
    <row r="6" spans="1:19" ht="30" x14ac:dyDescent="0.25">
      <c r="A6" s="221">
        <v>43103</v>
      </c>
      <c r="B6" s="88" t="s">
        <v>2550</v>
      </c>
      <c r="C6" s="220" t="s">
        <v>40</v>
      </c>
      <c r="D6" s="103" t="s">
        <v>2529</v>
      </c>
      <c r="E6" s="103" t="s">
        <v>2530</v>
      </c>
      <c r="F6" s="216">
        <v>43047</v>
      </c>
      <c r="G6" s="104">
        <v>180.16</v>
      </c>
      <c r="H6" s="104" t="s">
        <v>334</v>
      </c>
      <c r="I6" s="106" t="s">
        <v>2654</v>
      </c>
      <c r="J6" s="106" t="s">
        <v>2655</v>
      </c>
      <c r="K6" s="390">
        <v>0.99199999999999999</v>
      </c>
      <c r="L6" s="414" t="s">
        <v>212</v>
      </c>
      <c r="M6" s="421"/>
      <c r="N6" s="422"/>
      <c r="O6" s="414" t="s">
        <v>1463</v>
      </c>
      <c r="P6" s="415" t="s">
        <v>2535</v>
      </c>
      <c r="Q6" s="414" t="s">
        <v>2475</v>
      </c>
      <c r="R6" s="414"/>
      <c r="S6" s="218" t="s">
        <v>2717</v>
      </c>
    </row>
    <row r="7" spans="1:19" ht="30" x14ac:dyDescent="0.25">
      <c r="A7" s="221">
        <v>43104</v>
      </c>
      <c r="B7" s="88" t="s">
        <v>2550</v>
      </c>
      <c r="C7" s="220" t="s">
        <v>40</v>
      </c>
      <c r="D7" s="124" t="s">
        <v>2529</v>
      </c>
      <c r="E7" s="124" t="s">
        <v>2530</v>
      </c>
      <c r="F7" s="216">
        <v>43047</v>
      </c>
      <c r="G7" s="126">
        <v>180.16</v>
      </c>
      <c r="H7" s="104" t="s">
        <v>334</v>
      </c>
      <c r="I7" s="106" t="s">
        <v>409</v>
      </c>
      <c r="J7" s="106" t="s">
        <v>2658</v>
      </c>
      <c r="K7" s="391">
        <v>0.99199999999999999</v>
      </c>
      <c r="L7" s="414" t="s">
        <v>212</v>
      </c>
      <c r="M7" s="414"/>
      <c r="N7" s="47"/>
      <c r="O7" s="414" t="s">
        <v>1431</v>
      </c>
      <c r="P7" s="415" t="s">
        <v>2535</v>
      </c>
      <c r="Q7" s="414" t="s">
        <v>2475</v>
      </c>
      <c r="R7" s="47"/>
      <c r="S7" s="218" t="s">
        <v>2717</v>
      </c>
    </row>
    <row r="8" spans="1:19" ht="30" x14ac:dyDescent="0.25">
      <c r="A8" s="221">
        <v>43104</v>
      </c>
      <c r="B8" s="88" t="s">
        <v>2551</v>
      </c>
      <c r="C8" s="220" t="s">
        <v>40</v>
      </c>
      <c r="D8" s="109" t="s">
        <v>2529</v>
      </c>
      <c r="E8" s="103" t="s">
        <v>2656</v>
      </c>
      <c r="F8" s="216">
        <v>43047</v>
      </c>
      <c r="G8" s="104">
        <v>354.31</v>
      </c>
      <c r="H8" s="104" t="s">
        <v>334</v>
      </c>
      <c r="I8" s="106" t="s">
        <v>2657</v>
      </c>
      <c r="J8" s="106" t="s">
        <v>2659</v>
      </c>
      <c r="K8" s="391">
        <v>0.99</v>
      </c>
      <c r="L8" s="414" t="s">
        <v>212</v>
      </c>
      <c r="M8" s="414"/>
      <c r="N8" s="414"/>
      <c r="O8" s="414" t="s">
        <v>1431</v>
      </c>
      <c r="P8" s="415" t="s">
        <v>2535</v>
      </c>
      <c r="Q8" s="414" t="s">
        <v>2475</v>
      </c>
      <c r="R8" s="414"/>
      <c r="S8" s="218" t="s">
        <v>2717</v>
      </c>
    </row>
    <row r="9" spans="1:19" ht="30" x14ac:dyDescent="0.25">
      <c r="A9" s="221">
        <v>43104</v>
      </c>
      <c r="B9" s="88" t="s">
        <v>1863</v>
      </c>
      <c r="C9" s="220" t="s">
        <v>40</v>
      </c>
      <c r="D9" s="124" t="s">
        <v>701</v>
      </c>
      <c r="E9" s="124" t="s">
        <v>723</v>
      </c>
      <c r="F9" s="260">
        <v>42664</v>
      </c>
      <c r="G9" s="104">
        <v>94.11</v>
      </c>
      <c r="H9" s="126" t="s">
        <v>728</v>
      </c>
      <c r="I9" s="126" t="s">
        <v>2660</v>
      </c>
      <c r="J9" s="412" t="s">
        <v>2661</v>
      </c>
      <c r="K9" s="397"/>
      <c r="L9" s="414" t="s">
        <v>49</v>
      </c>
      <c r="M9" s="104"/>
      <c r="N9" s="265"/>
      <c r="O9" s="262" t="s">
        <v>1431</v>
      </c>
      <c r="P9" s="415" t="s">
        <v>2535</v>
      </c>
      <c r="Q9" s="414" t="s">
        <v>2648</v>
      </c>
      <c r="R9" s="414"/>
      <c r="S9" s="218" t="s">
        <v>2717</v>
      </c>
    </row>
    <row r="10" spans="1:19" ht="30" x14ac:dyDescent="0.25">
      <c r="A10" s="221">
        <v>43104</v>
      </c>
      <c r="B10" s="88" t="s">
        <v>2662</v>
      </c>
      <c r="C10" s="220" t="s">
        <v>170</v>
      </c>
      <c r="D10" s="103" t="s">
        <v>701</v>
      </c>
      <c r="E10" s="103" t="s">
        <v>2663</v>
      </c>
      <c r="F10" s="216">
        <v>43018</v>
      </c>
      <c r="G10" s="104">
        <v>181.66</v>
      </c>
      <c r="H10" s="104" t="s">
        <v>1594</v>
      </c>
      <c r="I10" s="106" t="s">
        <v>2586</v>
      </c>
      <c r="J10" s="106" t="s">
        <v>2729</v>
      </c>
      <c r="K10" s="391">
        <v>1</v>
      </c>
      <c r="L10" s="414" t="s">
        <v>49</v>
      </c>
      <c r="M10" s="414"/>
      <c r="N10" s="47"/>
      <c r="O10" s="414" t="s">
        <v>2260</v>
      </c>
      <c r="P10" s="415" t="s">
        <v>2664</v>
      </c>
      <c r="Q10" s="414" t="s">
        <v>2475</v>
      </c>
      <c r="R10" s="414"/>
      <c r="S10" s="218" t="s">
        <v>2717</v>
      </c>
    </row>
    <row r="11" spans="1:19" ht="30" x14ac:dyDescent="0.25">
      <c r="A11" s="221">
        <v>43108</v>
      </c>
      <c r="B11" s="88" t="s">
        <v>2665</v>
      </c>
      <c r="C11" s="220" t="s">
        <v>40</v>
      </c>
      <c r="D11" s="124" t="s">
        <v>1701</v>
      </c>
      <c r="E11" s="124" t="s">
        <v>2637</v>
      </c>
      <c r="F11" s="216">
        <v>43108</v>
      </c>
      <c r="G11" s="126">
        <v>442.6</v>
      </c>
      <c r="H11" s="104" t="s">
        <v>248</v>
      </c>
      <c r="I11" s="106" t="s">
        <v>2666</v>
      </c>
      <c r="J11" s="106" t="s">
        <v>2667</v>
      </c>
      <c r="K11" s="391" t="s">
        <v>60</v>
      </c>
      <c r="L11" s="414" t="s">
        <v>212</v>
      </c>
      <c r="M11" s="414"/>
      <c r="N11" s="47"/>
      <c r="O11" s="414" t="s">
        <v>1463</v>
      </c>
      <c r="P11" s="415" t="s">
        <v>2638</v>
      </c>
      <c r="Q11" s="414" t="s">
        <v>2475</v>
      </c>
      <c r="R11" s="414"/>
      <c r="S11" s="218" t="s">
        <v>2717</v>
      </c>
    </row>
    <row r="12" spans="1:19" ht="27.75" customHeight="1" x14ac:dyDescent="0.25">
      <c r="A12" s="221">
        <v>43109</v>
      </c>
      <c r="B12" s="88" t="s">
        <v>2678</v>
      </c>
      <c r="C12" s="220" t="s">
        <v>170</v>
      </c>
      <c r="D12" s="124" t="s">
        <v>701</v>
      </c>
      <c r="E12" s="103" t="s">
        <v>2679</v>
      </c>
      <c r="F12" s="216">
        <v>43070</v>
      </c>
      <c r="G12" s="104">
        <v>89.09</v>
      </c>
      <c r="H12" s="104"/>
      <c r="I12" s="106" t="s">
        <v>2680</v>
      </c>
      <c r="J12" s="106"/>
      <c r="K12" s="391"/>
      <c r="L12" s="419" t="s">
        <v>49</v>
      </c>
      <c r="M12" s="419" t="s">
        <v>160</v>
      </c>
      <c r="N12" s="414"/>
      <c r="O12" s="419" t="s">
        <v>2121</v>
      </c>
      <c r="P12" s="420" t="s">
        <v>2681</v>
      </c>
      <c r="Q12" s="419" t="s">
        <v>2475</v>
      </c>
      <c r="R12" s="414"/>
      <c r="S12" s="218" t="s">
        <v>2717</v>
      </c>
    </row>
    <row r="13" spans="1:19" ht="30" x14ac:dyDescent="0.25">
      <c r="A13" s="221">
        <v>43111</v>
      </c>
      <c r="B13" s="88" t="s">
        <v>2682</v>
      </c>
      <c r="C13" s="220" t="s">
        <v>170</v>
      </c>
      <c r="D13" s="103" t="s">
        <v>2630</v>
      </c>
      <c r="E13" s="103" t="s">
        <v>2636</v>
      </c>
      <c r="F13" s="216">
        <v>43111</v>
      </c>
      <c r="G13" s="104">
        <v>386.88</v>
      </c>
      <c r="H13" s="104" t="s">
        <v>2683</v>
      </c>
      <c r="I13" s="106" t="s">
        <v>2684</v>
      </c>
      <c r="J13" s="106" t="s">
        <v>2685</v>
      </c>
      <c r="K13" s="391">
        <v>0.99</v>
      </c>
      <c r="L13" s="414" t="s">
        <v>49</v>
      </c>
      <c r="M13" s="414"/>
      <c r="N13" s="414"/>
      <c r="O13" s="414"/>
      <c r="P13" s="415"/>
      <c r="Q13" s="414"/>
      <c r="R13" s="414"/>
      <c r="S13" s="218" t="s">
        <v>2717</v>
      </c>
    </row>
    <row r="14" spans="1:19" ht="30" x14ac:dyDescent="0.25">
      <c r="A14" s="221">
        <v>43111</v>
      </c>
      <c r="B14" s="88" t="s">
        <v>2686</v>
      </c>
      <c r="C14" s="220" t="s">
        <v>40</v>
      </c>
      <c r="D14" s="103" t="s">
        <v>2668</v>
      </c>
      <c r="E14" s="124" t="s">
        <v>2669</v>
      </c>
      <c r="F14" s="260">
        <v>43111</v>
      </c>
      <c r="G14" s="126">
        <v>389.81</v>
      </c>
      <c r="H14" s="104" t="s">
        <v>898</v>
      </c>
      <c r="I14" s="106" t="s">
        <v>2692</v>
      </c>
      <c r="J14" s="106" t="s">
        <v>2693</v>
      </c>
      <c r="K14" s="390">
        <v>0.99219999999999997</v>
      </c>
      <c r="L14" s="414" t="s">
        <v>212</v>
      </c>
      <c r="M14" s="414"/>
      <c r="N14" s="414"/>
      <c r="O14" s="414" t="s">
        <v>1430</v>
      </c>
      <c r="P14" s="426" t="s">
        <v>2695</v>
      </c>
      <c r="Q14" s="414" t="s">
        <v>2475</v>
      </c>
      <c r="R14" s="414"/>
      <c r="S14" s="218" t="s">
        <v>2717</v>
      </c>
    </row>
    <row r="15" spans="1:19" ht="30" x14ac:dyDescent="0.25">
      <c r="A15" s="221">
        <v>43111</v>
      </c>
      <c r="B15" s="88" t="s">
        <v>2687</v>
      </c>
      <c r="C15" s="220" t="s">
        <v>40</v>
      </c>
      <c r="D15" s="103" t="s">
        <v>2668</v>
      </c>
      <c r="E15" s="103" t="s">
        <v>2670</v>
      </c>
      <c r="F15" s="216">
        <v>43111</v>
      </c>
      <c r="G15" s="104">
        <v>408.44</v>
      </c>
      <c r="H15" s="104" t="s">
        <v>898</v>
      </c>
      <c r="I15" s="106" t="s">
        <v>2694</v>
      </c>
      <c r="J15" s="106" t="s">
        <v>2208</v>
      </c>
      <c r="K15" s="391">
        <v>0.998</v>
      </c>
      <c r="L15" s="425" t="s">
        <v>212</v>
      </c>
      <c r="M15" s="414"/>
      <c r="N15" s="414"/>
      <c r="O15" s="414" t="s">
        <v>1430</v>
      </c>
      <c r="P15" s="415" t="s">
        <v>2695</v>
      </c>
      <c r="Q15" s="414" t="s">
        <v>2475</v>
      </c>
      <c r="R15" s="414" t="s">
        <v>2696</v>
      </c>
      <c r="S15" s="218" t="s">
        <v>2717</v>
      </c>
    </row>
    <row r="16" spans="1:19" ht="30" x14ac:dyDescent="0.25">
      <c r="A16" s="221">
        <v>43112</v>
      </c>
      <c r="B16" s="88" t="s">
        <v>2688</v>
      </c>
      <c r="C16" s="220" t="s">
        <v>1610</v>
      </c>
      <c r="D16" s="103" t="s">
        <v>701</v>
      </c>
      <c r="E16" s="124" t="s">
        <v>1541</v>
      </c>
      <c r="F16" s="216">
        <v>43112</v>
      </c>
      <c r="G16" s="104">
        <v>316.64999999999998</v>
      </c>
      <c r="H16" s="104" t="s">
        <v>722</v>
      </c>
      <c r="I16" s="106" t="s">
        <v>2689</v>
      </c>
      <c r="J16" s="106" t="s">
        <v>2690</v>
      </c>
      <c r="K16" s="390">
        <v>0.99199999999999999</v>
      </c>
      <c r="L16" s="423" t="s">
        <v>49</v>
      </c>
      <c r="M16" s="423" t="s">
        <v>2090</v>
      </c>
      <c r="N16" s="47"/>
      <c r="O16" s="423" t="s">
        <v>2691</v>
      </c>
      <c r="P16" s="424" t="s">
        <v>1034</v>
      </c>
      <c r="Q16" s="423" t="s">
        <v>2602</v>
      </c>
      <c r="R16" s="414"/>
      <c r="S16" s="218" t="s">
        <v>2717</v>
      </c>
    </row>
    <row r="17" spans="1:20" ht="30" x14ac:dyDescent="0.25">
      <c r="A17" s="221">
        <v>43112</v>
      </c>
      <c r="B17" s="88" t="s">
        <v>2687</v>
      </c>
      <c r="C17" s="220" t="s">
        <v>40</v>
      </c>
      <c r="D17" s="103" t="s">
        <v>2668</v>
      </c>
      <c r="E17" s="103" t="s">
        <v>2670</v>
      </c>
      <c r="F17" s="216">
        <v>43111</v>
      </c>
      <c r="G17" s="104">
        <v>408.44</v>
      </c>
      <c r="H17" s="104" t="s">
        <v>2317</v>
      </c>
      <c r="I17" s="106" t="s">
        <v>1620</v>
      </c>
      <c r="J17" s="106" t="s">
        <v>2516</v>
      </c>
      <c r="K17" s="391">
        <v>0.998</v>
      </c>
      <c r="L17" s="414" t="s">
        <v>212</v>
      </c>
      <c r="M17" s="414"/>
      <c r="N17" s="414"/>
      <c r="O17" s="425" t="s">
        <v>1430</v>
      </c>
      <c r="P17" s="426" t="s">
        <v>2695</v>
      </c>
      <c r="Q17" s="425" t="s">
        <v>2475</v>
      </c>
      <c r="R17" s="414"/>
      <c r="S17" s="218" t="s">
        <v>2717</v>
      </c>
    </row>
    <row r="18" spans="1:20" ht="30" x14ac:dyDescent="0.25">
      <c r="A18" s="221">
        <v>43112</v>
      </c>
      <c r="B18" s="88" t="s">
        <v>2686</v>
      </c>
      <c r="C18" s="220" t="s">
        <v>40</v>
      </c>
      <c r="D18" s="103" t="s">
        <v>2668</v>
      </c>
      <c r="E18" s="124" t="s">
        <v>2669</v>
      </c>
      <c r="F18" s="260">
        <v>43111</v>
      </c>
      <c r="G18" s="126">
        <v>389.81</v>
      </c>
      <c r="H18" s="104" t="s">
        <v>898</v>
      </c>
      <c r="I18" s="106" t="s">
        <v>2697</v>
      </c>
      <c r="J18" s="106" t="s">
        <v>2698</v>
      </c>
      <c r="K18" s="391">
        <v>0.99219999999999997</v>
      </c>
      <c r="L18" s="414" t="s">
        <v>212</v>
      </c>
      <c r="M18" s="414" t="s">
        <v>1217</v>
      </c>
      <c r="N18" s="414"/>
      <c r="O18" s="414" t="s">
        <v>1431</v>
      </c>
      <c r="P18" s="426" t="s">
        <v>2695</v>
      </c>
      <c r="Q18" s="425" t="s">
        <v>2475</v>
      </c>
      <c r="R18" s="288"/>
      <c r="S18" s="218" t="s">
        <v>2717</v>
      </c>
    </row>
    <row r="19" spans="1:20" ht="30" x14ac:dyDescent="0.25">
      <c r="A19" s="221">
        <v>43112</v>
      </c>
      <c r="B19" s="88" t="s">
        <v>2687</v>
      </c>
      <c r="C19" s="220" t="s">
        <v>40</v>
      </c>
      <c r="D19" s="103" t="s">
        <v>2668</v>
      </c>
      <c r="E19" s="103" t="s">
        <v>2670</v>
      </c>
      <c r="F19" s="216">
        <v>43111</v>
      </c>
      <c r="G19" s="104">
        <v>408.44</v>
      </c>
      <c r="H19" s="104" t="s">
        <v>2317</v>
      </c>
      <c r="I19" s="106" t="s">
        <v>2699</v>
      </c>
      <c r="J19" s="106" t="s">
        <v>2501</v>
      </c>
      <c r="K19" s="413">
        <v>99.8</v>
      </c>
      <c r="L19" s="425" t="s">
        <v>212</v>
      </c>
      <c r="M19" s="414" t="s">
        <v>1173</v>
      </c>
      <c r="N19" s="47"/>
      <c r="O19" s="425" t="s">
        <v>1431</v>
      </c>
      <c r="P19" s="426" t="s">
        <v>2695</v>
      </c>
      <c r="Q19" s="425" t="s">
        <v>2475</v>
      </c>
      <c r="R19" s="218"/>
      <c r="S19" s="218" t="s">
        <v>2717</v>
      </c>
    </row>
    <row r="20" spans="1:20" ht="30" x14ac:dyDescent="0.25">
      <c r="A20" s="221">
        <v>43112</v>
      </c>
      <c r="B20" s="88" t="s">
        <v>1863</v>
      </c>
      <c r="C20" s="220" t="s">
        <v>40</v>
      </c>
      <c r="D20" s="124" t="s">
        <v>701</v>
      </c>
      <c r="E20" s="124" t="s">
        <v>723</v>
      </c>
      <c r="F20" s="216">
        <v>42664</v>
      </c>
      <c r="G20" s="126">
        <v>94.11</v>
      </c>
      <c r="H20" s="104" t="s">
        <v>728</v>
      </c>
      <c r="I20" s="431" t="s">
        <v>139</v>
      </c>
      <c r="J20" s="431" t="s">
        <v>2700</v>
      </c>
      <c r="K20" s="413" t="s">
        <v>1461</v>
      </c>
      <c r="L20" s="414" t="s">
        <v>49</v>
      </c>
      <c r="M20" s="414" t="s">
        <v>1217</v>
      </c>
      <c r="N20" s="47"/>
      <c r="O20" s="414" t="s">
        <v>1463</v>
      </c>
      <c r="P20" s="426" t="s">
        <v>2695</v>
      </c>
      <c r="Q20" s="425" t="s">
        <v>2475</v>
      </c>
      <c r="R20" s="218"/>
      <c r="S20" s="218" t="s">
        <v>2717</v>
      </c>
    </row>
    <row r="21" spans="1:20" ht="30" x14ac:dyDescent="0.25">
      <c r="A21" s="221">
        <v>43115</v>
      </c>
      <c r="B21" s="88" t="s">
        <v>2701</v>
      </c>
      <c r="C21" s="220" t="s">
        <v>40</v>
      </c>
      <c r="D21" s="124" t="s">
        <v>701</v>
      </c>
      <c r="E21" s="124" t="s">
        <v>2702</v>
      </c>
      <c r="F21" s="216">
        <v>43019</v>
      </c>
      <c r="G21" s="104">
        <v>189.17</v>
      </c>
      <c r="H21" s="104" t="s">
        <v>1433</v>
      </c>
      <c r="I21" s="106" t="s">
        <v>1461</v>
      </c>
      <c r="J21" s="106" t="s">
        <v>1461</v>
      </c>
      <c r="K21" s="391" t="s">
        <v>1461</v>
      </c>
      <c r="L21" s="414" t="s">
        <v>1434</v>
      </c>
      <c r="M21" s="414"/>
      <c r="N21" s="414"/>
      <c r="O21" s="414" t="s">
        <v>1430</v>
      </c>
      <c r="P21" s="415" t="s">
        <v>2703</v>
      </c>
      <c r="Q21" s="414" t="s">
        <v>2602</v>
      </c>
      <c r="R21" s="414"/>
      <c r="S21" s="218" t="s">
        <v>2717</v>
      </c>
    </row>
    <row r="22" spans="1:20" ht="30" x14ac:dyDescent="0.25">
      <c r="A22" s="221">
        <v>43115</v>
      </c>
      <c r="B22" s="88" t="s">
        <v>2704</v>
      </c>
      <c r="C22" s="220" t="s">
        <v>40</v>
      </c>
      <c r="D22" s="124" t="s">
        <v>701</v>
      </c>
      <c r="E22" s="124" t="s">
        <v>2702</v>
      </c>
      <c r="F22" s="216">
        <v>43115</v>
      </c>
      <c r="G22" s="104">
        <v>189.17</v>
      </c>
      <c r="H22" s="104" t="s">
        <v>1433</v>
      </c>
      <c r="I22" s="106" t="s">
        <v>1461</v>
      </c>
      <c r="J22" s="106" t="s">
        <v>1461</v>
      </c>
      <c r="K22" s="391" t="s">
        <v>1461</v>
      </c>
      <c r="L22" s="427" t="s">
        <v>1434</v>
      </c>
      <c r="M22" s="427"/>
      <c r="N22" s="427"/>
      <c r="O22" s="427" t="s">
        <v>1430</v>
      </c>
      <c r="P22" s="428" t="s">
        <v>2703</v>
      </c>
      <c r="Q22" s="427" t="s">
        <v>2475</v>
      </c>
      <c r="R22" s="414" t="s">
        <v>2706</v>
      </c>
      <c r="S22" s="218" t="s">
        <v>2717</v>
      </c>
    </row>
    <row r="23" spans="1:20" ht="30" x14ac:dyDescent="0.25">
      <c r="A23" s="221">
        <v>43115</v>
      </c>
      <c r="B23" s="88" t="s">
        <v>2550</v>
      </c>
      <c r="C23" s="220" t="s">
        <v>40</v>
      </c>
      <c r="D23" s="103" t="s">
        <v>2529</v>
      </c>
      <c r="E23" s="103" t="s">
        <v>2530</v>
      </c>
      <c r="F23" s="216">
        <v>43047</v>
      </c>
      <c r="G23" s="126">
        <v>180.16</v>
      </c>
      <c r="H23" s="104" t="s">
        <v>334</v>
      </c>
      <c r="I23" s="106" t="s">
        <v>2455</v>
      </c>
      <c r="J23" s="106" t="s">
        <v>2707</v>
      </c>
      <c r="K23" s="391">
        <v>0.99199999999999999</v>
      </c>
      <c r="L23" s="414" t="s">
        <v>212</v>
      </c>
      <c r="M23" s="414" t="s">
        <v>1917</v>
      </c>
      <c r="N23" s="414"/>
      <c r="O23" s="414" t="s">
        <v>1431</v>
      </c>
      <c r="P23" s="415" t="s">
        <v>2535</v>
      </c>
      <c r="Q23" s="414" t="s">
        <v>2475</v>
      </c>
      <c r="R23" s="414"/>
      <c r="S23" s="218" t="s">
        <v>2717</v>
      </c>
    </row>
    <row r="24" spans="1:20" ht="24.75" customHeight="1" x14ac:dyDescent="0.25">
      <c r="A24" s="221">
        <v>43115</v>
      </c>
      <c r="B24" s="88" t="s">
        <v>2551</v>
      </c>
      <c r="C24" s="220" t="s">
        <v>40</v>
      </c>
      <c r="D24" s="103" t="s">
        <v>2529</v>
      </c>
      <c r="E24" s="103" t="s">
        <v>2656</v>
      </c>
      <c r="F24" s="216">
        <v>43047</v>
      </c>
      <c r="G24" s="126">
        <v>354.31</v>
      </c>
      <c r="H24" s="104" t="s">
        <v>334</v>
      </c>
      <c r="I24" s="106" t="s">
        <v>2705</v>
      </c>
      <c r="J24" s="106" t="s">
        <v>2708</v>
      </c>
      <c r="K24" s="390">
        <v>0.99</v>
      </c>
      <c r="L24" s="414" t="s">
        <v>212</v>
      </c>
      <c r="M24" s="414" t="s">
        <v>1917</v>
      </c>
      <c r="N24" s="414"/>
      <c r="O24" s="414" t="s">
        <v>1431</v>
      </c>
      <c r="P24" s="415" t="s">
        <v>2535</v>
      </c>
      <c r="Q24" s="414" t="s">
        <v>2475</v>
      </c>
      <c r="R24" s="288"/>
      <c r="S24" s="218" t="s">
        <v>2717</v>
      </c>
      <c r="T24" s="222"/>
    </row>
    <row r="25" spans="1:20" ht="30" x14ac:dyDescent="0.25">
      <c r="A25" s="221">
        <v>43116</v>
      </c>
      <c r="B25" s="88" t="s">
        <v>2709</v>
      </c>
      <c r="C25" s="220" t="s">
        <v>170</v>
      </c>
      <c r="D25" s="103" t="s">
        <v>701</v>
      </c>
      <c r="E25" s="103" t="s">
        <v>806</v>
      </c>
      <c r="F25" s="216">
        <v>43059</v>
      </c>
      <c r="G25" s="104">
        <v>518.29999999999995</v>
      </c>
      <c r="H25" s="104" t="s">
        <v>248</v>
      </c>
      <c r="I25" s="106" t="s">
        <v>2710</v>
      </c>
      <c r="J25" s="106" t="s">
        <v>2711</v>
      </c>
      <c r="K25" s="391">
        <v>0.99199999999999999</v>
      </c>
      <c r="L25" s="429" t="s">
        <v>49</v>
      </c>
      <c r="M25" s="429" t="s">
        <v>1485</v>
      </c>
      <c r="N25" s="414"/>
      <c r="O25" s="429" t="s">
        <v>2121</v>
      </c>
      <c r="P25" s="430" t="s">
        <v>2712</v>
      </c>
      <c r="Q25" s="429" t="s">
        <v>2602</v>
      </c>
      <c r="R25" s="414"/>
      <c r="S25" s="218" t="s">
        <v>2717</v>
      </c>
    </row>
    <row r="26" spans="1:20" ht="30" x14ac:dyDescent="0.25">
      <c r="A26" s="221">
        <v>43116</v>
      </c>
      <c r="B26" s="88" t="s">
        <v>2686</v>
      </c>
      <c r="C26" s="220" t="s">
        <v>40</v>
      </c>
      <c r="D26" s="103" t="s">
        <v>2668</v>
      </c>
      <c r="E26" s="103" t="s">
        <v>2669</v>
      </c>
      <c r="F26" s="216">
        <v>43111</v>
      </c>
      <c r="G26" s="104">
        <v>389.81</v>
      </c>
      <c r="H26" s="104" t="s">
        <v>898</v>
      </c>
      <c r="I26" s="106" t="s">
        <v>2713</v>
      </c>
      <c r="J26" s="106" t="s">
        <v>2715</v>
      </c>
      <c r="K26" s="391">
        <v>0.99219999999999997</v>
      </c>
      <c r="L26" s="414" t="s">
        <v>212</v>
      </c>
      <c r="M26" s="414"/>
      <c r="N26" s="414"/>
      <c r="O26" s="414" t="s">
        <v>1431</v>
      </c>
      <c r="P26" s="415" t="s">
        <v>2695</v>
      </c>
      <c r="Q26" s="288" t="s">
        <v>2475</v>
      </c>
      <c r="R26" s="288"/>
      <c r="S26" s="218" t="s">
        <v>2717</v>
      </c>
    </row>
    <row r="27" spans="1:20" ht="30" x14ac:dyDescent="0.25">
      <c r="A27" s="221">
        <v>43116</v>
      </c>
      <c r="B27" s="88" t="s">
        <v>2687</v>
      </c>
      <c r="C27" s="220" t="s">
        <v>40</v>
      </c>
      <c r="D27" s="103" t="s">
        <v>2668</v>
      </c>
      <c r="E27" s="103" t="s">
        <v>2670</v>
      </c>
      <c r="F27" s="216">
        <v>43111</v>
      </c>
      <c r="G27" s="104">
        <v>408.44</v>
      </c>
      <c r="H27" s="104" t="s">
        <v>2317</v>
      </c>
      <c r="I27" s="106" t="s">
        <v>2714</v>
      </c>
      <c r="J27" s="106" t="s">
        <v>2716</v>
      </c>
      <c r="K27" s="413">
        <v>99.8</v>
      </c>
      <c r="L27" s="414" t="s">
        <v>212</v>
      </c>
      <c r="M27" s="414"/>
      <c r="N27" s="414"/>
      <c r="O27" s="414" t="s">
        <v>1431</v>
      </c>
      <c r="P27" s="415" t="s">
        <v>2695</v>
      </c>
      <c r="Q27" s="414" t="s">
        <v>2602</v>
      </c>
      <c r="R27" s="414"/>
      <c r="S27" s="218" t="s">
        <v>2717</v>
      </c>
    </row>
    <row r="28" spans="1:20" ht="30" x14ac:dyDescent="0.25">
      <c r="A28" s="221">
        <v>43117</v>
      </c>
      <c r="B28" s="88" t="s">
        <v>2718</v>
      </c>
      <c r="C28" s="220" t="s">
        <v>40</v>
      </c>
      <c r="D28" s="103" t="s">
        <v>1368</v>
      </c>
      <c r="E28" s="124" t="s">
        <v>2570</v>
      </c>
      <c r="F28" s="216">
        <v>43117</v>
      </c>
      <c r="G28" s="104">
        <v>165.7</v>
      </c>
      <c r="H28" s="104" t="s">
        <v>2517</v>
      </c>
      <c r="I28" s="106" t="s">
        <v>2749</v>
      </c>
      <c r="J28" s="106" t="s">
        <v>2719</v>
      </c>
      <c r="K28" s="391">
        <v>0.99199999999999999</v>
      </c>
      <c r="L28" s="414" t="s">
        <v>49</v>
      </c>
      <c r="M28" s="414" t="s">
        <v>1173</v>
      </c>
      <c r="N28" s="414"/>
      <c r="O28" s="414" t="s">
        <v>1431</v>
      </c>
      <c r="P28" s="415" t="s">
        <v>2720</v>
      </c>
      <c r="Q28" s="414" t="s">
        <v>2475</v>
      </c>
      <c r="R28" s="414"/>
      <c r="S28" s="218" t="s">
        <v>2787</v>
      </c>
    </row>
    <row r="29" spans="1:20" ht="30" x14ac:dyDescent="0.25">
      <c r="A29" s="221">
        <v>43117</v>
      </c>
      <c r="B29" s="88" t="s">
        <v>1531</v>
      </c>
      <c r="C29" s="220" t="s">
        <v>40</v>
      </c>
      <c r="D29" s="103" t="s">
        <v>701</v>
      </c>
      <c r="E29" s="124" t="s">
        <v>243</v>
      </c>
      <c r="F29" s="216">
        <v>42234</v>
      </c>
      <c r="G29" s="104">
        <v>213.23</v>
      </c>
      <c r="H29" s="104" t="s">
        <v>50</v>
      </c>
      <c r="I29" s="106" t="s">
        <v>1726</v>
      </c>
      <c r="J29" s="106" t="s">
        <v>2721</v>
      </c>
      <c r="K29" s="413"/>
      <c r="L29" s="414" t="s">
        <v>49</v>
      </c>
      <c r="M29" s="414" t="s">
        <v>1173</v>
      </c>
      <c r="N29" s="414"/>
      <c r="O29" s="414" t="s">
        <v>1431</v>
      </c>
      <c r="P29" s="415" t="s">
        <v>2720</v>
      </c>
      <c r="Q29" s="414" t="s">
        <v>2475</v>
      </c>
      <c r="R29" s="414"/>
      <c r="S29" s="218" t="s">
        <v>2787</v>
      </c>
    </row>
    <row r="30" spans="1:20" ht="30" x14ac:dyDescent="0.25">
      <c r="A30" s="221">
        <v>43118</v>
      </c>
      <c r="B30" s="88" t="s">
        <v>2722</v>
      </c>
      <c r="C30" s="220" t="s">
        <v>170</v>
      </c>
      <c r="D30" s="103" t="s">
        <v>701</v>
      </c>
      <c r="E30" s="124" t="s">
        <v>2639</v>
      </c>
      <c r="F30" s="216">
        <v>43095</v>
      </c>
      <c r="G30" s="126">
        <v>163.19</v>
      </c>
      <c r="H30" s="104" t="s">
        <v>1702</v>
      </c>
      <c r="I30" s="106" t="s">
        <v>1702</v>
      </c>
      <c r="J30" s="106" t="s">
        <v>1702</v>
      </c>
      <c r="K30" s="266">
        <v>0.99</v>
      </c>
      <c r="L30" s="432" t="s">
        <v>49</v>
      </c>
      <c r="M30" s="432" t="s">
        <v>1702</v>
      </c>
      <c r="N30" s="414"/>
      <c r="O30" s="432" t="s">
        <v>2042</v>
      </c>
      <c r="P30" s="415"/>
      <c r="Q30" s="414"/>
      <c r="R30" s="432" t="s">
        <v>2723</v>
      </c>
      <c r="S30" s="218" t="s">
        <v>2787</v>
      </c>
    </row>
    <row r="31" spans="1:20" ht="30" x14ac:dyDescent="0.25">
      <c r="A31" s="221">
        <v>43118</v>
      </c>
      <c r="B31" s="88" t="s">
        <v>2724</v>
      </c>
      <c r="C31" s="220" t="s">
        <v>170</v>
      </c>
      <c r="D31" s="124" t="s">
        <v>701</v>
      </c>
      <c r="E31" s="103" t="s">
        <v>1840</v>
      </c>
      <c r="F31" s="216">
        <v>43056</v>
      </c>
      <c r="G31" s="126">
        <v>238.3</v>
      </c>
      <c r="H31" s="104" t="s">
        <v>1702</v>
      </c>
      <c r="I31" s="106" t="s">
        <v>1702</v>
      </c>
      <c r="J31" s="106" t="s">
        <v>1702</v>
      </c>
      <c r="K31" s="391">
        <v>1</v>
      </c>
      <c r="L31" s="432" t="s">
        <v>49</v>
      </c>
      <c r="M31" s="432" t="s">
        <v>1702</v>
      </c>
      <c r="N31" s="432"/>
      <c r="O31" s="432" t="s">
        <v>2042</v>
      </c>
      <c r="P31" s="415"/>
      <c r="Q31" s="414"/>
      <c r="R31" s="432" t="s">
        <v>2723</v>
      </c>
      <c r="S31" s="218" t="s">
        <v>2787</v>
      </c>
    </row>
    <row r="32" spans="1:20" ht="30" x14ac:dyDescent="0.25">
      <c r="A32" s="221">
        <v>43118</v>
      </c>
      <c r="B32" s="88" t="s">
        <v>2725</v>
      </c>
      <c r="C32" s="220" t="s">
        <v>170</v>
      </c>
      <c r="D32" s="124" t="s">
        <v>701</v>
      </c>
      <c r="E32" s="33" t="s">
        <v>2397</v>
      </c>
      <c r="F32" s="216">
        <v>43115</v>
      </c>
      <c r="G32" s="126">
        <v>195.21</v>
      </c>
      <c r="H32" s="104" t="s">
        <v>1702</v>
      </c>
      <c r="I32" s="106" t="s">
        <v>1702</v>
      </c>
      <c r="J32" s="106" t="s">
        <v>1702</v>
      </c>
      <c r="K32" s="391">
        <v>1</v>
      </c>
      <c r="L32" s="432" t="s">
        <v>49</v>
      </c>
      <c r="M32" s="432" t="s">
        <v>1702</v>
      </c>
      <c r="N32" s="432"/>
      <c r="O32" s="432" t="s">
        <v>2042</v>
      </c>
      <c r="P32" s="415"/>
      <c r="Q32" s="414"/>
      <c r="R32" s="432" t="s">
        <v>2723</v>
      </c>
      <c r="S32" s="218" t="s">
        <v>2787</v>
      </c>
    </row>
    <row r="33" spans="1:19" ht="30" x14ac:dyDescent="0.25">
      <c r="A33" s="221">
        <v>43118</v>
      </c>
      <c r="B33" s="88" t="s">
        <v>2726</v>
      </c>
      <c r="C33" s="220" t="s">
        <v>170</v>
      </c>
      <c r="D33" s="103" t="s">
        <v>701</v>
      </c>
      <c r="E33" s="103" t="s">
        <v>2397</v>
      </c>
      <c r="F33" s="216" t="s">
        <v>1593</v>
      </c>
      <c r="G33" s="126">
        <v>195.21</v>
      </c>
      <c r="H33" s="104" t="s">
        <v>1702</v>
      </c>
      <c r="I33" s="106" t="s">
        <v>1702</v>
      </c>
      <c r="J33" s="106" t="s">
        <v>1702</v>
      </c>
      <c r="K33" s="391">
        <v>1</v>
      </c>
      <c r="L33" s="432" t="s">
        <v>49</v>
      </c>
      <c r="M33" s="432" t="s">
        <v>1702</v>
      </c>
      <c r="N33" s="432"/>
      <c r="O33" s="432" t="s">
        <v>2042</v>
      </c>
      <c r="P33" s="415"/>
      <c r="Q33" s="414"/>
      <c r="R33" s="432" t="s">
        <v>2727</v>
      </c>
      <c r="S33" s="218" t="s">
        <v>2787</v>
      </c>
    </row>
    <row r="34" spans="1:19" ht="30" x14ac:dyDescent="0.25">
      <c r="A34" s="221">
        <v>43118</v>
      </c>
      <c r="B34" s="88" t="s">
        <v>2728</v>
      </c>
      <c r="C34" s="220" t="s">
        <v>170</v>
      </c>
      <c r="D34" s="124" t="s">
        <v>701</v>
      </c>
      <c r="E34" s="124" t="s">
        <v>2366</v>
      </c>
      <c r="F34" s="216">
        <v>43047</v>
      </c>
      <c r="G34" s="126">
        <v>198.11</v>
      </c>
      <c r="H34" s="104" t="s">
        <v>1702</v>
      </c>
      <c r="I34" s="106" t="s">
        <v>1702</v>
      </c>
      <c r="J34" s="106" t="s">
        <v>1702</v>
      </c>
      <c r="K34" s="391">
        <v>1</v>
      </c>
      <c r="L34" s="432" t="s">
        <v>49</v>
      </c>
      <c r="M34" s="432" t="s">
        <v>1702</v>
      </c>
      <c r="N34" s="432"/>
      <c r="O34" s="432" t="s">
        <v>2042</v>
      </c>
      <c r="P34" s="415"/>
      <c r="Q34" s="414"/>
      <c r="R34" s="432" t="s">
        <v>2723</v>
      </c>
      <c r="S34" s="218" t="s">
        <v>2787</v>
      </c>
    </row>
    <row r="35" spans="1:19" ht="30" x14ac:dyDescent="0.25">
      <c r="A35" s="221">
        <v>43119</v>
      </c>
      <c r="B35" s="88" t="s">
        <v>2743</v>
      </c>
      <c r="C35" s="220" t="s">
        <v>170</v>
      </c>
      <c r="D35" s="103" t="s">
        <v>1597</v>
      </c>
      <c r="E35" s="124" t="s">
        <v>1582</v>
      </c>
      <c r="F35" s="260">
        <v>43119</v>
      </c>
      <c r="G35" s="126">
        <v>319.27999999999997</v>
      </c>
      <c r="H35" s="104" t="s">
        <v>1725</v>
      </c>
      <c r="I35" s="106" t="s">
        <v>1723</v>
      </c>
      <c r="J35" s="106" t="s">
        <v>2744</v>
      </c>
      <c r="K35" s="391">
        <v>0.99</v>
      </c>
      <c r="L35" s="434" t="s">
        <v>1724</v>
      </c>
      <c r="M35" s="434" t="s">
        <v>1532</v>
      </c>
      <c r="N35" s="414"/>
      <c r="O35" s="434" t="s">
        <v>1756</v>
      </c>
      <c r="P35" s="435" t="s">
        <v>2745</v>
      </c>
      <c r="Q35" s="434" t="s">
        <v>2475</v>
      </c>
      <c r="R35" s="414"/>
      <c r="S35" s="218" t="s">
        <v>2787</v>
      </c>
    </row>
    <row r="36" spans="1:19" ht="30" x14ac:dyDescent="0.25">
      <c r="A36" s="221">
        <v>43119</v>
      </c>
      <c r="B36" s="88" t="s">
        <v>2746</v>
      </c>
      <c r="C36" s="220" t="s">
        <v>40</v>
      </c>
      <c r="D36" s="103" t="s">
        <v>2529</v>
      </c>
      <c r="E36" s="103" t="s">
        <v>2747</v>
      </c>
      <c r="F36" s="260">
        <v>43047</v>
      </c>
      <c r="G36" s="104">
        <v>194.18</v>
      </c>
      <c r="H36" s="104" t="s">
        <v>334</v>
      </c>
      <c r="I36" s="106" t="s">
        <v>422</v>
      </c>
      <c r="J36" s="106" t="s">
        <v>2748</v>
      </c>
      <c r="K36" s="390">
        <v>0.999</v>
      </c>
      <c r="L36" s="414" t="s">
        <v>212</v>
      </c>
      <c r="M36" s="414"/>
      <c r="N36" s="414"/>
      <c r="O36" s="414" t="s">
        <v>1430</v>
      </c>
      <c r="P36" s="415" t="s">
        <v>2535</v>
      </c>
      <c r="Q36" s="414" t="s">
        <v>2475</v>
      </c>
      <c r="R36" s="414"/>
      <c r="S36" s="218" t="s">
        <v>2787</v>
      </c>
    </row>
    <row r="37" spans="1:19" ht="30" x14ac:dyDescent="0.25">
      <c r="A37" s="221">
        <v>43122</v>
      </c>
      <c r="B37" s="88" t="s">
        <v>2552</v>
      </c>
      <c r="C37" s="220" t="s">
        <v>40</v>
      </c>
      <c r="D37" s="124" t="s">
        <v>2529</v>
      </c>
      <c r="E37" s="124" t="s">
        <v>2547</v>
      </c>
      <c r="F37" s="216">
        <v>43047</v>
      </c>
      <c r="G37" s="126">
        <v>368.34</v>
      </c>
      <c r="H37" s="374" t="s">
        <v>334</v>
      </c>
      <c r="I37" s="375" t="s">
        <v>2764</v>
      </c>
      <c r="J37" s="436" t="s">
        <v>2765</v>
      </c>
      <c r="K37" s="244" t="s">
        <v>60</v>
      </c>
      <c r="L37" s="437" t="s">
        <v>212</v>
      </c>
      <c r="M37" s="414"/>
      <c r="N37" s="414"/>
      <c r="O37" s="414" t="s">
        <v>1600</v>
      </c>
      <c r="P37" s="415"/>
      <c r="Q37" s="414"/>
      <c r="R37" s="414"/>
      <c r="S37" s="218" t="s">
        <v>2787</v>
      </c>
    </row>
    <row r="38" spans="1:19" ht="30" x14ac:dyDescent="0.25">
      <c r="A38" s="221">
        <v>43122</v>
      </c>
      <c r="B38" s="88" t="s">
        <v>2766</v>
      </c>
      <c r="C38" s="220" t="s">
        <v>170</v>
      </c>
      <c r="D38" s="103" t="s">
        <v>1597</v>
      </c>
      <c r="E38" s="103" t="s">
        <v>1604</v>
      </c>
      <c r="F38" s="260">
        <v>42355</v>
      </c>
      <c r="G38" s="104">
        <v>209.28</v>
      </c>
      <c r="H38" s="104" t="s">
        <v>50</v>
      </c>
      <c r="I38" s="106" t="s">
        <v>2768</v>
      </c>
      <c r="J38" s="106" t="s">
        <v>2767</v>
      </c>
      <c r="K38" s="413"/>
      <c r="L38" s="439" t="s">
        <v>1434</v>
      </c>
      <c r="M38" s="414"/>
      <c r="N38" s="414"/>
      <c r="O38" s="439" t="s">
        <v>1756</v>
      </c>
      <c r="P38" s="440" t="s">
        <v>2745</v>
      </c>
      <c r="Q38" s="439" t="s">
        <v>2475</v>
      </c>
      <c r="R38" s="414"/>
      <c r="S38" s="218" t="s">
        <v>2787</v>
      </c>
    </row>
    <row r="39" spans="1:19" ht="30" x14ac:dyDescent="0.25">
      <c r="A39" s="221">
        <v>43123</v>
      </c>
      <c r="B39" s="88" t="s">
        <v>2766</v>
      </c>
      <c r="C39" s="220" t="s">
        <v>170</v>
      </c>
      <c r="D39" s="103" t="s">
        <v>1597</v>
      </c>
      <c r="E39" s="103" t="s">
        <v>1604</v>
      </c>
      <c r="F39" s="260">
        <v>42355</v>
      </c>
      <c r="G39" s="104">
        <v>209.28</v>
      </c>
      <c r="H39" s="104" t="s">
        <v>50</v>
      </c>
      <c r="I39" s="106" t="s">
        <v>2585</v>
      </c>
      <c r="J39" s="106">
        <v>10.034000000000001</v>
      </c>
      <c r="K39" s="438"/>
      <c r="L39" s="439" t="s">
        <v>1434</v>
      </c>
      <c r="M39" s="439"/>
      <c r="N39" s="439"/>
      <c r="O39" s="439" t="s">
        <v>1756</v>
      </c>
      <c r="P39" s="440" t="s">
        <v>2745</v>
      </c>
      <c r="Q39" s="439" t="s">
        <v>2475</v>
      </c>
      <c r="R39" s="414"/>
      <c r="S39" s="218" t="s">
        <v>2787</v>
      </c>
    </row>
    <row r="40" spans="1:19" ht="30" x14ac:dyDescent="0.25">
      <c r="A40" s="221">
        <v>43123</v>
      </c>
      <c r="B40" s="88" t="s">
        <v>2769</v>
      </c>
      <c r="C40" s="220" t="s">
        <v>40</v>
      </c>
      <c r="D40" s="103" t="s">
        <v>2668</v>
      </c>
      <c r="E40" s="103" t="s">
        <v>2669</v>
      </c>
      <c r="F40" s="216">
        <v>43123</v>
      </c>
      <c r="G40" s="104">
        <v>389.81</v>
      </c>
      <c r="H40" s="104" t="s">
        <v>898</v>
      </c>
      <c r="I40" s="106" t="s">
        <v>2771</v>
      </c>
      <c r="J40" s="106" t="s">
        <v>2773</v>
      </c>
      <c r="K40" s="391">
        <v>0.99219999999999997</v>
      </c>
      <c r="L40" s="414" t="s">
        <v>212</v>
      </c>
      <c r="M40" s="414" t="s">
        <v>1217</v>
      </c>
      <c r="N40" s="414"/>
      <c r="O40" s="414" t="s">
        <v>1431</v>
      </c>
      <c r="P40" s="415" t="s">
        <v>2695</v>
      </c>
      <c r="Q40" s="414" t="s">
        <v>2475</v>
      </c>
      <c r="R40" s="414"/>
      <c r="S40" s="218" t="s">
        <v>2787</v>
      </c>
    </row>
    <row r="41" spans="1:19" ht="30" x14ac:dyDescent="0.25">
      <c r="A41" s="221">
        <v>43123</v>
      </c>
      <c r="B41" s="88" t="s">
        <v>2770</v>
      </c>
      <c r="C41" s="220" t="s">
        <v>40</v>
      </c>
      <c r="D41" s="103" t="s">
        <v>2668</v>
      </c>
      <c r="E41" s="103" t="s">
        <v>2670</v>
      </c>
      <c r="F41" s="216">
        <v>43123</v>
      </c>
      <c r="G41" s="104">
        <v>408.44</v>
      </c>
      <c r="H41" s="104" t="s">
        <v>2317</v>
      </c>
      <c r="I41" s="106" t="s">
        <v>2772</v>
      </c>
      <c r="J41" s="106" t="s">
        <v>2774</v>
      </c>
      <c r="K41" s="390">
        <v>0.998</v>
      </c>
      <c r="L41" s="414" t="s">
        <v>212</v>
      </c>
      <c r="M41" s="414" t="s">
        <v>1173</v>
      </c>
      <c r="N41" s="414"/>
      <c r="O41" s="414" t="s">
        <v>1431</v>
      </c>
      <c r="P41" s="415" t="s">
        <v>2695</v>
      </c>
      <c r="Q41" s="414" t="s">
        <v>2648</v>
      </c>
      <c r="R41" s="414"/>
      <c r="S41" s="218" t="s">
        <v>2787</v>
      </c>
    </row>
    <row r="42" spans="1:19" ht="30" x14ac:dyDescent="0.25">
      <c r="A42" s="221">
        <v>43123</v>
      </c>
      <c r="B42" s="88" t="s">
        <v>1863</v>
      </c>
      <c r="C42" s="220" t="s">
        <v>40</v>
      </c>
      <c r="D42" s="103" t="s">
        <v>701</v>
      </c>
      <c r="E42" s="103" t="s">
        <v>723</v>
      </c>
      <c r="F42" s="216">
        <v>42664</v>
      </c>
      <c r="G42" s="104">
        <v>94.11</v>
      </c>
      <c r="H42" s="104" t="s">
        <v>728</v>
      </c>
      <c r="I42" s="106" t="s">
        <v>2412</v>
      </c>
      <c r="J42" s="106" t="s">
        <v>2775</v>
      </c>
      <c r="K42" s="391" t="s">
        <v>61</v>
      </c>
      <c r="L42" s="414" t="s">
        <v>49</v>
      </c>
      <c r="M42" s="414" t="s">
        <v>1217</v>
      </c>
      <c r="N42" s="414"/>
      <c r="O42" s="414" t="s">
        <v>1431</v>
      </c>
      <c r="P42" s="415" t="s">
        <v>2695</v>
      </c>
      <c r="Q42" s="414" t="s">
        <v>2648</v>
      </c>
      <c r="R42" s="414"/>
      <c r="S42" s="218" t="s">
        <v>2787</v>
      </c>
    </row>
    <row r="43" spans="1:19" ht="30" x14ac:dyDescent="0.25">
      <c r="A43" s="221">
        <v>43124</v>
      </c>
      <c r="B43" s="88" t="s">
        <v>2770</v>
      </c>
      <c r="C43" s="220" t="s">
        <v>40</v>
      </c>
      <c r="D43" s="103" t="s">
        <v>2668</v>
      </c>
      <c r="E43" s="103" t="s">
        <v>2670</v>
      </c>
      <c r="F43" s="216">
        <v>43123</v>
      </c>
      <c r="G43" s="104">
        <v>408.44</v>
      </c>
      <c r="H43" s="104" t="s">
        <v>2317</v>
      </c>
      <c r="I43" s="106" t="s">
        <v>2788</v>
      </c>
      <c r="J43" s="106" t="s">
        <v>2789</v>
      </c>
      <c r="K43" s="390">
        <v>0.998</v>
      </c>
      <c r="L43" s="414" t="s">
        <v>212</v>
      </c>
      <c r="M43" s="414"/>
      <c r="N43" s="414"/>
      <c r="O43" s="414" t="s">
        <v>1431</v>
      </c>
      <c r="P43" s="415" t="s">
        <v>2695</v>
      </c>
      <c r="Q43" s="414" t="s">
        <v>2475</v>
      </c>
      <c r="S43" s="218" t="s">
        <v>2802</v>
      </c>
    </row>
    <row r="44" spans="1:19" ht="30" x14ac:dyDescent="0.25">
      <c r="A44" s="221">
        <v>43124</v>
      </c>
      <c r="B44" s="407" t="s">
        <v>2795</v>
      </c>
      <c r="C44" s="409" t="s">
        <v>40</v>
      </c>
      <c r="D44" s="293" t="s">
        <v>701</v>
      </c>
      <c r="E44" s="293" t="s">
        <v>2796</v>
      </c>
      <c r="F44" s="216">
        <v>43000</v>
      </c>
      <c r="G44" s="126"/>
      <c r="H44" s="374"/>
      <c r="I44" s="375"/>
      <c r="L44" s="414"/>
      <c r="O44" s="218" t="s">
        <v>1600</v>
      </c>
      <c r="Q44" s="218" t="s">
        <v>2602</v>
      </c>
      <c r="S44" s="218" t="s">
        <v>2802</v>
      </c>
    </row>
    <row r="45" spans="1:19" ht="30" x14ac:dyDescent="0.25">
      <c r="A45" s="221">
        <v>43124</v>
      </c>
      <c r="B45" s="408" t="s">
        <v>2797</v>
      </c>
      <c r="C45" s="410" t="s">
        <v>40</v>
      </c>
      <c r="D45" s="293" t="s">
        <v>701</v>
      </c>
      <c r="E45" s="293" t="s">
        <v>2796</v>
      </c>
      <c r="F45" s="216">
        <v>43124</v>
      </c>
      <c r="G45" s="126"/>
      <c r="H45" s="374"/>
      <c r="I45" s="375"/>
      <c r="L45" s="414"/>
      <c r="O45" s="218" t="s">
        <v>1600</v>
      </c>
      <c r="P45" s="376"/>
      <c r="Q45" s="218" t="s">
        <v>2475</v>
      </c>
      <c r="S45" s="218" t="s">
        <v>2802</v>
      </c>
    </row>
    <row r="46" spans="1:19" ht="30" x14ac:dyDescent="0.25">
      <c r="A46" s="221">
        <v>43124</v>
      </c>
      <c r="B46" s="88" t="s">
        <v>2766</v>
      </c>
      <c r="C46" s="220" t="s">
        <v>170</v>
      </c>
      <c r="D46" s="103" t="s">
        <v>1597</v>
      </c>
      <c r="E46" s="103" t="s">
        <v>1604</v>
      </c>
      <c r="F46" s="260">
        <v>42355</v>
      </c>
      <c r="G46" s="104">
        <v>209.28</v>
      </c>
      <c r="H46" s="104" t="s">
        <v>50</v>
      </c>
      <c r="I46" s="106" t="s">
        <v>2803</v>
      </c>
      <c r="J46" s="106" t="s">
        <v>2805</v>
      </c>
      <c r="K46" s="442"/>
      <c r="L46" s="443" t="s">
        <v>1434</v>
      </c>
      <c r="M46" s="443"/>
      <c r="N46" s="443"/>
      <c r="O46" s="443" t="s">
        <v>1756</v>
      </c>
      <c r="P46" s="444" t="s">
        <v>2745</v>
      </c>
      <c r="Q46" s="443" t="s">
        <v>2475</v>
      </c>
      <c r="S46" s="218" t="s">
        <v>2836</v>
      </c>
    </row>
    <row r="47" spans="1:19" ht="30" x14ac:dyDescent="0.25">
      <c r="A47" s="221">
        <v>43125</v>
      </c>
      <c r="B47" s="88" t="s">
        <v>2766</v>
      </c>
      <c r="C47" s="220" t="s">
        <v>170</v>
      </c>
      <c r="D47" s="103" t="s">
        <v>1597</v>
      </c>
      <c r="E47" s="103" t="s">
        <v>1604</v>
      </c>
      <c r="F47" s="260">
        <v>42355</v>
      </c>
      <c r="G47" s="104">
        <v>209.28</v>
      </c>
      <c r="H47" s="104" t="s">
        <v>50</v>
      </c>
      <c r="I47" s="106" t="s">
        <v>2804</v>
      </c>
      <c r="J47" s="106" t="s">
        <v>2806</v>
      </c>
      <c r="K47" s="442"/>
      <c r="L47" s="443" t="s">
        <v>1434</v>
      </c>
      <c r="M47" s="443"/>
      <c r="N47" s="443"/>
      <c r="O47" s="443" t="s">
        <v>1756</v>
      </c>
      <c r="P47" s="444" t="s">
        <v>2745</v>
      </c>
      <c r="Q47" s="443" t="s">
        <v>2475</v>
      </c>
      <c r="S47" s="218" t="s">
        <v>2836</v>
      </c>
    </row>
    <row r="48" spans="1:19" ht="30" x14ac:dyDescent="0.25">
      <c r="A48" s="221">
        <v>43125</v>
      </c>
      <c r="B48" s="408" t="s">
        <v>2809</v>
      </c>
      <c r="C48" s="410" t="s">
        <v>40</v>
      </c>
      <c r="D48" s="293" t="s">
        <v>701</v>
      </c>
      <c r="E48" s="33" t="s">
        <v>2621</v>
      </c>
      <c r="F48" s="216">
        <v>43125</v>
      </c>
      <c r="G48" s="126">
        <v>305.42</v>
      </c>
      <c r="H48" s="374" t="s">
        <v>2087</v>
      </c>
      <c r="I48" s="375" t="s">
        <v>2807</v>
      </c>
      <c r="J48" s="412" t="s">
        <v>2808</v>
      </c>
      <c r="K48" s="411">
        <v>0.98399999999999999</v>
      </c>
      <c r="L48" s="414" t="s">
        <v>212</v>
      </c>
      <c r="M48" s="406"/>
      <c r="O48" s="218" t="s">
        <v>1600</v>
      </c>
      <c r="P48" s="376"/>
      <c r="Q48" s="218" t="s">
        <v>2475</v>
      </c>
      <c r="S48" s="218" t="s">
        <v>2927</v>
      </c>
    </row>
    <row r="49" spans="1:19" ht="30" x14ac:dyDescent="0.25">
      <c r="A49" s="221">
        <v>43126</v>
      </c>
      <c r="B49" s="408" t="s">
        <v>1863</v>
      </c>
      <c r="C49" s="410" t="s">
        <v>40</v>
      </c>
      <c r="D49" s="293" t="s">
        <v>701</v>
      </c>
      <c r="E49" s="293" t="s">
        <v>723</v>
      </c>
      <c r="F49" s="216">
        <v>42664</v>
      </c>
      <c r="G49" s="126">
        <v>94.11</v>
      </c>
      <c r="H49" s="374" t="s">
        <v>728</v>
      </c>
      <c r="I49" s="375" t="s">
        <v>2810</v>
      </c>
      <c r="J49" s="412" t="s">
        <v>2811</v>
      </c>
      <c r="K49" s="397" t="s">
        <v>61</v>
      </c>
      <c r="L49" s="414" t="s">
        <v>49</v>
      </c>
      <c r="M49" s="406" t="s">
        <v>1217</v>
      </c>
      <c r="O49" s="218" t="s">
        <v>1463</v>
      </c>
      <c r="P49" s="376" t="s">
        <v>2535</v>
      </c>
      <c r="Q49" s="218" t="s">
        <v>2475</v>
      </c>
      <c r="S49" s="218" t="s">
        <v>2836</v>
      </c>
    </row>
    <row r="50" spans="1:19" ht="30" x14ac:dyDescent="0.25">
      <c r="A50" s="221">
        <v>43126</v>
      </c>
      <c r="B50" s="88" t="s">
        <v>2766</v>
      </c>
      <c r="C50" s="220" t="s">
        <v>170</v>
      </c>
      <c r="D50" s="103" t="s">
        <v>1597</v>
      </c>
      <c r="E50" s="103" t="s">
        <v>1604</v>
      </c>
      <c r="F50" s="260">
        <v>42355</v>
      </c>
      <c r="G50" s="104">
        <v>209.28</v>
      </c>
      <c r="H50" s="104" t="s">
        <v>50</v>
      </c>
      <c r="I50" s="106" t="s">
        <v>2812</v>
      </c>
      <c r="J50" s="106" t="s">
        <v>2813</v>
      </c>
      <c r="K50" s="442"/>
      <c r="L50" s="443" t="s">
        <v>1434</v>
      </c>
      <c r="M50" s="443"/>
      <c r="N50" s="443"/>
      <c r="O50" s="443" t="s">
        <v>1756</v>
      </c>
      <c r="P50" s="444" t="s">
        <v>2745</v>
      </c>
      <c r="Q50" s="443" t="s">
        <v>2475</v>
      </c>
      <c r="S50" s="218" t="s">
        <v>2836</v>
      </c>
    </row>
    <row r="51" spans="1:19" ht="30" x14ac:dyDescent="0.25">
      <c r="A51" s="221">
        <v>43126</v>
      </c>
      <c r="B51" s="88" t="s">
        <v>2809</v>
      </c>
      <c r="C51" s="220" t="s">
        <v>40</v>
      </c>
      <c r="D51" s="293" t="s">
        <v>701</v>
      </c>
      <c r="E51" s="293" t="s">
        <v>2814</v>
      </c>
      <c r="F51" s="216">
        <v>43125</v>
      </c>
      <c r="G51" s="126">
        <v>305.42</v>
      </c>
      <c r="H51" s="374" t="s">
        <v>2087</v>
      </c>
      <c r="I51" s="375" t="s">
        <v>2815</v>
      </c>
      <c r="J51" s="412" t="s">
        <v>2816</v>
      </c>
      <c r="K51" s="397">
        <v>0.98399999999999999</v>
      </c>
      <c r="L51" s="414" t="s">
        <v>212</v>
      </c>
      <c r="M51" s="406" t="s">
        <v>2820</v>
      </c>
      <c r="O51" s="218" t="s">
        <v>1430</v>
      </c>
      <c r="P51" s="376" t="s">
        <v>2703</v>
      </c>
      <c r="Q51" s="218" t="s">
        <v>2648</v>
      </c>
      <c r="S51" s="218" t="s">
        <v>2927</v>
      </c>
    </row>
    <row r="52" spans="1:19" ht="30" x14ac:dyDescent="0.25">
      <c r="A52" s="221">
        <v>43129</v>
      </c>
      <c r="B52" s="88" t="s">
        <v>2743</v>
      </c>
      <c r="C52" s="220" t="s">
        <v>40</v>
      </c>
      <c r="D52" s="124" t="s">
        <v>701</v>
      </c>
      <c r="E52" s="124" t="s">
        <v>1582</v>
      </c>
      <c r="F52" s="216">
        <v>43119</v>
      </c>
      <c r="G52" s="126">
        <v>319.27999999999997</v>
      </c>
      <c r="H52" s="374" t="s">
        <v>50</v>
      </c>
      <c r="I52" s="375" t="s">
        <v>194</v>
      </c>
      <c r="J52" s="412" t="s">
        <v>2821</v>
      </c>
      <c r="K52" s="267">
        <v>0.99</v>
      </c>
      <c r="L52" s="414" t="s">
        <v>1724</v>
      </c>
      <c r="M52" s="406"/>
      <c r="O52" s="218" t="s">
        <v>1463</v>
      </c>
      <c r="P52" s="376" t="s">
        <v>2703</v>
      </c>
      <c r="Q52" s="218" t="s">
        <v>2475</v>
      </c>
      <c r="S52" s="218" t="s">
        <v>2836</v>
      </c>
    </row>
    <row r="53" spans="1:19" ht="23.25" x14ac:dyDescent="0.25">
      <c r="A53" s="221"/>
      <c r="B53" s="416"/>
      <c r="C53" s="417"/>
      <c r="D53" s="293"/>
      <c r="E53" s="293"/>
      <c r="F53" s="216"/>
      <c r="G53" s="126"/>
      <c r="H53" s="374"/>
      <c r="I53" s="375"/>
      <c r="K53" s="411"/>
      <c r="L53" s="414"/>
      <c r="M53" s="406"/>
      <c r="O53" s="218"/>
      <c r="P53" s="376"/>
      <c r="Q53" s="218"/>
    </row>
    <row r="54" spans="1:19" ht="23.25" x14ac:dyDescent="0.25">
      <c r="A54" s="221"/>
      <c r="B54" s="416"/>
      <c r="C54" s="417"/>
      <c r="D54" s="293"/>
      <c r="E54" s="293"/>
      <c r="F54" s="216"/>
      <c r="G54" s="126"/>
      <c r="H54" s="374"/>
      <c r="I54" s="375"/>
      <c r="K54" s="397"/>
      <c r="L54" s="414"/>
      <c r="M54" s="406"/>
      <c r="O54" s="218"/>
      <c r="P54" s="376"/>
      <c r="Q54" s="218"/>
    </row>
    <row r="55" spans="1:19" ht="26.25" x14ac:dyDescent="0.25">
      <c r="A55" s="221"/>
      <c r="B55" s="88"/>
      <c r="C55" s="220"/>
      <c r="D55" s="293"/>
      <c r="E55" s="469" t="s">
        <v>2928</v>
      </c>
      <c r="F55" s="216"/>
      <c r="G55" s="126"/>
      <c r="H55" s="374"/>
      <c r="I55" s="375"/>
      <c r="L55" s="414"/>
      <c r="M55" s="406"/>
      <c r="P55" s="376"/>
      <c r="Q55" s="218"/>
    </row>
    <row r="56" spans="1:19" ht="23.25" x14ac:dyDescent="0.25">
      <c r="A56" s="221"/>
      <c r="B56" s="88"/>
      <c r="C56" s="220"/>
      <c r="D56" s="293"/>
      <c r="E56" s="293"/>
      <c r="F56" s="216"/>
      <c r="G56" s="126"/>
      <c r="H56" s="374"/>
      <c r="I56" s="375"/>
      <c r="L56" s="414"/>
      <c r="M56" s="406"/>
      <c r="P56" s="376"/>
      <c r="Q56" s="218"/>
    </row>
    <row r="57" spans="1:19" ht="23.25" x14ac:dyDescent="0.25">
      <c r="A57" s="221"/>
      <c r="B57" s="88"/>
      <c r="C57" s="220"/>
      <c r="D57" s="293"/>
      <c r="E57" s="293"/>
      <c r="F57" s="216"/>
      <c r="G57" s="126"/>
      <c r="H57" s="374"/>
      <c r="I57" s="375"/>
      <c r="L57" s="414"/>
      <c r="M57" s="406"/>
      <c r="P57" s="376"/>
      <c r="Q57" s="218"/>
    </row>
    <row r="58" spans="1:19" ht="23.25" x14ac:dyDescent="0.25">
      <c r="A58" s="221"/>
      <c r="B58" s="88"/>
      <c r="C58" s="220"/>
      <c r="D58" s="293"/>
      <c r="E58" s="293"/>
      <c r="F58" s="216"/>
      <c r="G58" s="126"/>
      <c r="H58" s="374"/>
      <c r="I58" s="375"/>
      <c r="L58" s="414"/>
      <c r="M58" s="406"/>
      <c r="P58" s="376"/>
      <c r="Q58" s="218"/>
    </row>
    <row r="59" spans="1:19" ht="23.25" x14ac:dyDescent="0.25">
      <c r="A59" s="221"/>
      <c r="B59" s="88"/>
      <c r="C59" s="220"/>
      <c r="D59" s="293"/>
      <c r="E59" s="293"/>
      <c r="F59" s="216"/>
      <c r="G59" s="126"/>
      <c r="H59" s="374"/>
      <c r="I59" s="375"/>
      <c r="L59" s="414"/>
      <c r="M59" s="406"/>
      <c r="P59" s="376"/>
      <c r="Q59" s="218"/>
    </row>
    <row r="60" spans="1:19" ht="23.25" x14ac:dyDescent="0.25">
      <c r="A60" s="221"/>
      <c r="B60" s="88"/>
      <c r="C60" s="220"/>
      <c r="D60" s="293"/>
      <c r="E60" s="293"/>
      <c r="F60" s="216"/>
      <c r="G60" s="126"/>
      <c r="H60" s="374"/>
      <c r="I60" s="375"/>
      <c r="L60" s="414"/>
      <c r="M60" s="406"/>
      <c r="P60" s="376"/>
      <c r="Q60" s="218"/>
    </row>
    <row r="61" spans="1:19" ht="23.25" x14ac:dyDescent="0.25">
      <c r="A61" s="221"/>
      <c r="B61" s="88"/>
      <c r="C61" s="220"/>
      <c r="D61" s="293"/>
      <c r="E61" s="293"/>
      <c r="F61" s="216"/>
      <c r="G61" s="126"/>
      <c r="H61" s="374"/>
      <c r="I61" s="375"/>
      <c r="L61" s="414"/>
      <c r="M61" s="406"/>
      <c r="P61" s="376"/>
      <c r="Q61" s="218"/>
    </row>
    <row r="62" spans="1:19" ht="23.25" x14ac:dyDescent="0.25">
      <c r="A62" s="221"/>
      <c r="B62" s="88"/>
      <c r="C62" s="220"/>
      <c r="D62" s="293"/>
      <c r="E62" s="293"/>
      <c r="F62" s="216"/>
      <c r="G62" s="126"/>
      <c r="H62" s="374"/>
      <c r="I62" s="375"/>
      <c r="L62" s="414"/>
      <c r="M62" s="406"/>
      <c r="P62" s="376"/>
      <c r="Q62" s="218"/>
    </row>
    <row r="63" spans="1:19" ht="23.25" x14ac:dyDescent="0.25">
      <c r="A63" s="221"/>
      <c r="B63" s="88"/>
      <c r="C63" s="220"/>
      <c r="D63" s="293"/>
      <c r="E63" s="293"/>
      <c r="F63" s="216"/>
      <c r="G63" s="126"/>
      <c r="H63" s="374"/>
      <c r="I63" s="375"/>
      <c r="L63" s="414"/>
      <c r="M63" s="406"/>
      <c r="P63" s="376"/>
      <c r="Q63" s="218"/>
    </row>
    <row r="64" spans="1:19" ht="23.25" x14ac:dyDescent="0.25">
      <c r="A64" s="221"/>
      <c r="B64" s="88"/>
      <c r="C64" s="220"/>
      <c r="D64" s="293"/>
      <c r="E64" s="293"/>
      <c r="F64" s="216"/>
      <c r="G64" s="126"/>
      <c r="H64" s="374"/>
      <c r="I64" s="375"/>
      <c r="L64" s="414"/>
      <c r="M64" s="406"/>
      <c r="P64" s="376"/>
      <c r="Q64" s="218"/>
    </row>
    <row r="65" spans="1:17" ht="23.25" x14ac:dyDescent="0.25">
      <c r="A65" s="221"/>
      <c r="B65" s="88"/>
      <c r="C65" s="220"/>
      <c r="D65" s="293"/>
      <c r="E65" s="293"/>
      <c r="F65" s="216"/>
      <c r="G65" s="126"/>
      <c r="H65" s="374"/>
      <c r="I65" s="375"/>
      <c r="L65" s="414"/>
      <c r="M65" s="406"/>
      <c r="P65" s="376"/>
      <c r="Q65" s="218"/>
    </row>
    <row r="66" spans="1:17" ht="23.25" x14ac:dyDescent="0.25">
      <c r="A66" s="221"/>
      <c r="B66" s="88"/>
      <c r="C66" s="220"/>
      <c r="D66" s="293"/>
      <c r="E66" s="293"/>
      <c r="F66" s="216"/>
      <c r="G66" s="126"/>
      <c r="H66" s="374"/>
      <c r="I66" s="375"/>
      <c r="L66" s="414"/>
      <c r="M66" s="406"/>
      <c r="P66" s="376"/>
      <c r="Q66" s="218"/>
    </row>
    <row r="67" spans="1:17" ht="23.25" x14ac:dyDescent="0.25">
      <c r="A67" s="221"/>
      <c r="B67" s="88"/>
      <c r="C67" s="220"/>
      <c r="D67" s="293"/>
      <c r="E67" s="293"/>
      <c r="F67" s="216"/>
      <c r="G67" s="126"/>
      <c r="H67" s="374"/>
      <c r="I67" s="375"/>
      <c r="L67" s="414"/>
      <c r="M67" s="406"/>
      <c r="P67" s="376"/>
      <c r="Q67" s="218"/>
    </row>
    <row r="68" spans="1:17" ht="23.25" x14ac:dyDescent="0.25">
      <c r="A68" s="221"/>
      <c r="B68" s="88"/>
      <c r="C68" s="220"/>
      <c r="D68" s="293"/>
      <c r="E68" s="293"/>
      <c r="F68" s="216"/>
      <c r="G68" s="126"/>
      <c r="H68" s="374"/>
      <c r="I68" s="375"/>
      <c r="L68" s="414"/>
      <c r="M68" s="406"/>
      <c r="P68" s="376"/>
      <c r="Q68" s="218"/>
    </row>
    <row r="69" spans="1:17" ht="23.25" x14ac:dyDescent="0.25">
      <c r="A69" s="221"/>
      <c r="B69" s="88"/>
      <c r="C69" s="220"/>
      <c r="D69" s="293"/>
      <c r="E69" s="293"/>
      <c r="F69" s="216"/>
      <c r="G69" s="126"/>
      <c r="H69" s="374"/>
      <c r="I69" s="375"/>
      <c r="L69" s="414"/>
      <c r="M69" s="406"/>
      <c r="P69" s="376"/>
      <c r="Q69" s="218"/>
    </row>
    <row r="70" spans="1:17" ht="23.25" x14ac:dyDescent="0.25">
      <c r="A70" s="221"/>
      <c r="B70" s="88"/>
      <c r="C70" s="220"/>
      <c r="D70" s="293"/>
      <c r="E70" s="293"/>
      <c r="F70" s="216"/>
      <c r="G70" s="126"/>
      <c r="H70" s="374"/>
      <c r="I70" s="375"/>
      <c r="L70" s="414"/>
      <c r="M70" s="406"/>
      <c r="P70" s="376"/>
      <c r="Q70" s="218"/>
    </row>
    <row r="71" spans="1:17" ht="23.25" x14ac:dyDescent="0.25">
      <c r="A71" s="221"/>
      <c r="B71" s="88"/>
      <c r="C71" s="220"/>
      <c r="D71" s="293"/>
      <c r="E71" s="293"/>
      <c r="F71" s="216"/>
      <c r="G71" s="126"/>
      <c r="H71" s="374"/>
      <c r="I71" s="375"/>
      <c r="L71" s="414"/>
      <c r="M71" s="406"/>
      <c r="P71" s="376"/>
      <c r="Q71" s="218"/>
    </row>
    <row r="72" spans="1:17" ht="23.25" x14ac:dyDescent="0.25">
      <c r="A72" s="221"/>
      <c r="B72" s="88"/>
      <c r="C72" s="220"/>
      <c r="D72" s="293"/>
      <c r="E72" s="293"/>
      <c r="F72" s="216"/>
      <c r="G72" s="126"/>
      <c r="H72" s="374"/>
      <c r="I72" s="375"/>
      <c r="L72" s="414"/>
      <c r="M72" s="406"/>
      <c r="P72" s="376"/>
      <c r="Q72" s="218"/>
    </row>
    <row r="73" spans="1:17" ht="23.25" x14ac:dyDescent="0.25">
      <c r="A73" s="221"/>
      <c r="B73" s="88"/>
      <c r="C73" s="220"/>
      <c r="D73" s="293"/>
      <c r="E73" s="293"/>
      <c r="F73" s="216"/>
      <c r="G73" s="126"/>
      <c r="H73" s="374"/>
      <c r="I73" s="375"/>
      <c r="L73" s="414"/>
      <c r="M73" s="406"/>
      <c r="P73" s="376"/>
      <c r="Q73" s="218"/>
    </row>
    <row r="74" spans="1:17" ht="23.25" x14ac:dyDescent="0.25">
      <c r="A74" s="221"/>
      <c r="B74" s="88"/>
      <c r="C74" s="220"/>
      <c r="D74" s="293"/>
      <c r="E74" s="293"/>
      <c r="F74" s="216"/>
      <c r="G74" s="126"/>
      <c r="H74" s="374"/>
      <c r="I74" s="375"/>
      <c r="L74" s="414"/>
      <c r="M74" s="406"/>
      <c r="P74" s="376"/>
      <c r="Q74" s="218"/>
    </row>
    <row r="75" spans="1:17" ht="23.25" x14ac:dyDescent="0.25">
      <c r="A75" s="221"/>
      <c r="B75" s="88"/>
      <c r="C75" s="220"/>
      <c r="D75" s="293"/>
      <c r="E75" s="293"/>
      <c r="F75" s="216"/>
      <c r="G75" s="126"/>
      <c r="H75" s="374"/>
      <c r="I75" s="375"/>
      <c r="L75" s="414"/>
      <c r="M75" s="406"/>
      <c r="P75" s="376"/>
      <c r="Q75" s="218"/>
    </row>
    <row r="76" spans="1:17" ht="23.25" x14ac:dyDescent="0.25">
      <c r="A76" s="221"/>
      <c r="B76" s="88"/>
      <c r="C76" s="220"/>
      <c r="D76" s="293"/>
      <c r="E76" s="293"/>
      <c r="F76" s="216"/>
      <c r="G76" s="126"/>
      <c r="H76" s="374"/>
      <c r="I76" s="375"/>
      <c r="L76" s="414"/>
      <c r="M76" s="406"/>
      <c r="P76" s="376"/>
      <c r="Q76" s="218"/>
    </row>
    <row r="77" spans="1:17" ht="23.25" x14ac:dyDescent="0.25">
      <c r="A77" s="221"/>
      <c r="B77" s="88"/>
      <c r="C77" s="220"/>
      <c r="D77" s="293"/>
      <c r="E77" s="293"/>
      <c r="F77" s="216"/>
      <c r="G77" s="126"/>
      <c r="H77" s="374"/>
      <c r="I77" s="375"/>
      <c r="L77" s="414"/>
      <c r="M77" s="406"/>
      <c r="P77" s="376"/>
      <c r="Q77" s="218"/>
    </row>
    <row r="78" spans="1:17" ht="23.25" x14ac:dyDescent="0.25">
      <c r="A78" s="221"/>
      <c r="B78" s="88"/>
      <c r="C78" s="220"/>
      <c r="D78" s="293"/>
      <c r="E78" s="293"/>
      <c r="F78" s="216"/>
      <c r="G78" s="126"/>
      <c r="H78" s="374"/>
      <c r="I78" s="375"/>
      <c r="L78" s="414"/>
      <c r="M78" s="406"/>
      <c r="P78" s="376"/>
      <c r="Q78" s="218"/>
    </row>
    <row r="79" spans="1:17" ht="23.25" x14ac:dyDescent="0.25">
      <c r="A79" s="221"/>
      <c r="B79" s="88"/>
      <c r="C79" s="220"/>
      <c r="D79" s="293"/>
      <c r="E79" s="293"/>
      <c r="F79" s="216"/>
      <c r="G79" s="126"/>
      <c r="H79" s="374"/>
      <c r="I79" s="375"/>
      <c r="L79" s="414"/>
      <c r="M79" s="406"/>
      <c r="P79" s="376"/>
      <c r="Q79" s="218"/>
    </row>
    <row r="80" spans="1:17" ht="23.25" x14ac:dyDescent="0.25">
      <c r="A80" s="221"/>
      <c r="B80" s="88"/>
      <c r="C80" s="220"/>
      <c r="D80" s="293"/>
      <c r="E80" s="293"/>
      <c r="F80" s="216"/>
      <c r="G80" s="126"/>
      <c r="H80" s="374"/>
      <c r="I80" s="375"/>
      <c r="L80" s="414"/>
      <c r="M80" s="406"/>
      <c r="P80" s="376"/>
      <c r="Q80" s="218"/>
    </row>
    <row r="81" spans="1:17" ht="23.25" x14ac:dyDescent="0.25">
      <c r="A81" s="221"/>
      <c r="B81" s="88"/>
      <c r="C81" s="220"/>
      <c r="D81" s="293"/>
      <c r="E81" s="293"/>
      <c r="F81" s="216"/>
      <c r="G81" s="126"/>
      <c r="H81" s="374"/>
      <c r="I81" s="375"/>
      <c r="L81" s="414"/>
      <c r="M81" s="406"/>
      <c r="P81" s="376"/>
      <c r="Q81" s="218"/>
    </row>
    <row r="82" spans="1:17" ht="23.25" x14ac:dyDescent="0.25">
      <c r="A82" s="221"/>
      <c r="B82" s="88"/>
      <c r="C82" s="220"/>
      <c r="D82" s="293"/>
      <c r="E82" s="293"/>
      <c r="F82" s="216"/>
      <c r="G82" s="126"/>
      <c r="H82" s="374"/>
      <c r="I82" s="375"/>
      <c r="L82" s="414"/>
      <c r="M82" s="406"/>
      <c r="P82" s="376"/>
      <c r="Q82" s="218"/>
    </row>
    <row r="83" spans="1:17" ht="23.25" x14ac:dyDescent="0.25">
      <c r="A83" s="221"/>
      <c r="B83" s="88"/>
      <c r="C83" s="220"/>
      <c r="D83" s="293"/>
      <c r="E83" s="293"/>
      <c r="F83" s="216"/>
      <c r="G83" s="126"/>
      <c r="H83" s="374"/>
      <c r="I83" s="375"/>
      <c r="L83" s="414"/>
      <c r="M83" s="406"/>
      <c r="P83" s="376"/>
      <c r="Q83" s="218"/>
    </row>
    <row r="84" spans="1:17" ht="23.25" x14ac:dyDescent="0.25">
      <c r="A84" s="221"/>
      <c r="B84" s="88"/>
      <c r="C84" s="220"/>
      <c r="D84" s="293"/>
      <c r="E84" s="293"/>
      <c r="F84" s="216"/>
      <c r="G84" s="126"/>
      <c r="H84" s="374"/>
      <c r="I84" s="375"/>
      <c r="L84" s="414"/>
      <c r="M84" s="406"/>
      <c r="P84" s="376"/>
      <c r="Q84" s="218"/>
    </row>
    <row r="85" spans="1:17" ht="23.25" x14ac:dyDescent="0.25">
      <c r="A85" s="221"/>
      <c r="B85" s="88"/>
      <c r="C85" s="220"/>
      <c r="D85" s="293"/>
      <c r="E85" s="293"/>
      <c r="F85" s="216"/>
      <c r="G85" s="126"/>
      <c r="H85" s="374"/>
      <c r="I85" s="375"/>
      <c r="L85" s="414"/>
      <c r="M85" s="406"/>
      <c r="P85" s="376"/>
      <c r="Q85" s="218"/>
    </row>
    <row r="86" spans="1:17" ht="23.25" x14ac:dyDescent="0.25">
      <c r="A86" s="221"/>
      <c r="B86" s="88"/>
      <c r="C86" s="220"/>
      <c r="D86" s="293"/>
      <c r="E86" s="293"/>
      <c r="F86" s="216"/>
      <c r="G86" s="126"/>
      <c r="H86" s="374"/>
      <c r="I86" s="375"/>
      <c r="L86" s="414"/>
      <c r="M86" s="406"/>
      <c r="P86" s="376"/>
      <c r="Q86" s="218"/>
    </row>
    <row r="87" spans="1:17" ht="23.25" x14ac:dyDescent="0.25">
      <c r="A87" s="221"/>
      <c r="B87" s="88"/>
      <c r="C87" s="220"/>
      <c r="D87" s="293"/>
      <c r="E87" s="293"/>
      <c r="F87" s="216"/>
      <c r="G87" s="126"/>
      <c r="H87" s="374"/>
      <c r="I87" s="375"/>
      <c r="L87" s="414"/>
      <c r="M87" s="406"/>
      <c r="P87" s="376"/>
      <c r="Q87" s="218"/>
    </row>
    <row r="88" spans="1:17" ht="23.25" x14ac:dyDescent="0.25">
      <c r="A88" s="221"/>
      <c r="B88" s="88"/>
      <c r="C88" s="220"/>
      <c r="D88" s="293"/>
      <c r="E88" s="293"/>
      <c r="F88" s="216"/>
      <c r="G88" s="126"/>
      <c r="H88" s="374"/>
      <c r="I88" s="375"/>
      <c r="L88" s="414"/>
      <c r="M88" s="406"/>
      <c r="P88" s="376"/>
      <c r="Q88" s="218"/>
    </row>
    <row r="89" spans="1:17" ht="23.25" x14ac:dyDescent="0.25">
      <c r="A89" s="221"/>
      <c r="B89" s="88"/>
      <c r="C89" s="220"/>
      <c r="D89" s="293"/>
      <c r="E89" s="293"/>
      <c r="F89" s="216"/>
      <c r="G89" s="126"/>
      <c r="H89" s="374"/>
      <c r="I89" s="375"/>
      <c r="L89" s="414"/>
      <c r="M89" s="406"/>
      <c r="P89" s="376"/>
      <c r="Q89" s="218"/>
    </row>
    <row r="90" spans="1:17" ht="23.25" x14ac:dyDescent="0.25">
      <c r="A90" s="221"/>
      <c r="B90" s="88"/>
      <c r="C90" s="220"/>
      <c r="D90" s="293"/>
      <c r="E90" s="293"/>
      <c r="F90" s="216"/>
      <c r="G90" s="126"/>
      <c r="H90" s="374"/>
      <c r="I90" s="375"/>
      <c r="L90" s="414"/>
      <c r="M90" s="406"/>
      <c r="P90" s="376"/>
      <c r="Q90" s="218"/>
    </row>
    <row r="91" spans="1:17" ht="23.25" x14ac:dyDescent="0.25">
      <c r="A91" s="221"/>
      <c r="B91" s="88"/>
      <c r="C91" s="220"/>
      <c r="D91" s="293"/>
      <c r="E91" s="293"/>
      <c r="F91" s="216"/>
      <c r="G91" s="126"/>
      <c r="H91" s="374"/>
      <c r="I91" s="375"/>
      <c r="L91" s="414"/>
      <c r="M91" s="406"/>
      <c r="P91" s="376"/>
      <c r="Q91" s="218"/>
    </row>
    <row r="92" spans="1:17" ht="23.25" x14ac:dyDescent="0.25">
      <c r="A92" s="221"/>
      <c r="B92" s="88"/>
      <c r="C92" s="220"/>
      <c r="D92" s="293"/>
      <c r="E92" s="293"/>
      <c r="F92" s="216"/>
      <c r="G92" s="126"/>
      <c r="H92" s="374"/>
      <c r="I92" s="375"/>
      <c r="L92" s="414"/>
      <c r="M92" s="406"/>
      <c r="P92" s="376"/>
      <c r="Q92" s="218"/>
    </row>
    <row r="93" spans="1:17" ht="23.25" x14ac:dyDescent="0.25">
      <c r="A93" s="221"/>
      <c r="B93" s="88"/>
      <c r="C93" s="220"/>
      <c r="D93" s="293"/>
      <c r="E93" s="293"/>
      <c r="F93" s="216"/>
      <c r="G93" s="126"/>
      <c r="H93" s="374"/>
      <c r="I93" s="375"/>
      <c r="L93" s="414"/>
      <c r="M93" s="406"/>
      <c r="P93" s="376"/>
      <c r="Q93" s="218"/>
    </row>
  </sheetData>
  <mergeCells count="2">
    <mergeCell ref="A1:Q1"/>
    <mergeCell ref="A2:Q2"/>
  </mergeCells>
  <conditionalFormatting sqref="L3:S3">
    <cfRule type="cellIs" dxfId="461" priority="7" operator="equal">
      <formula>"sous surveillance"</formula>
    </cfRule>
  </conditionalFormatting>
  <conditionalFormatting sqref="K52">
    <cfRule type="cellIs" dxfId="460" priority="5" operator="equal">
      <formula>"Conforme"</formula>
    </cfRule>
    <cfRule type="cellIs" dxfId="459" priority="6" operator="equal">
      <formula>"Non conforme"</formula>
    </cfRule>
  </conditionalFormatting>
  <conditionalFormatting sqref="K30">
    <cfRule type="cellIs" dxfId="458" priority="3" operator="equal">
      <formula>"Conforme"</formula>
    </cfRule>
    <cfRule type="cellIs" dxfId="457" priority="4" operator="equal">
      <formula>"Non conforme"</formula>
    </cfRule>
  </conditionalFormatting>
  <conditionalFormatting sqref="K37">
    <cfRule type="cellIs" dxfId="456" priority="1" operator="equal">
      <formula>"Conforme"</formula>
    </cfRule>
    <cfRule type="cellIs" dxfId="455" priority="2" operator="equal">
      <formula>"Non conforme"</formula>
    </cfRule>
  </conditionalFormatting>
  <dataValidations count="5">
    <dataValidation errorStyle="warning" allowBlank="1" showInputMessage="1" showErrorMessage="1" sqref="K37 L3:R3 K30 K52"/>
    <dataValidation type="list" allowBlank="1" showInputMessage="1" showErrorMessage="1" sqref="L8:L10 L26:L29 L31:L35">
      <formula1>"Medium NBA, H2O mQ, DMSO, eq NaOH, EtOH, eq HCl,Citrate buffer, directly in ACSF"</formula1>
    </dataValidation>
    <dataValidation type="list" allowBlank="1" showInputMessage="1" showErrorMessage="1" sqref="L30 L18:L25 L11 L4:L7 L36:L93">
      <formula1>"H2O mQ, DMSO, eq NaOH, EtOH, eq HCl,Citrate buffer, directly in ACSF"</formula1>
    </dataValidation>
    <dataValidation type="list" allowBlank="1" showInputMessage="1" showErrorMessage="1" sqref="L12:L17">
      <formula1>"H2O mQ, DMSO, eq NaOH, EtOH, eq HCl,Citrate buffer, directly in ACSF, O2 sucrose"</formula1>
    </dataValidation>
    <dataValidation type="list" allowBlank="1" showInputMessage="1" sqref="O43">
      <formula1>INDIRECT(C43)</formula1>
    </dataValidation>
  </dataValidations>
  <pageMargins left="0.7" right="0.7" top="0.75" bottom="0.75" header="0.3" footer="0.3"/>
  <pageSetup paperSize="9" scale="20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22">
    <tabColor theme="3" tint="-0.249977111117893"/>
    <pageSetUpPr fitToPage="1"/>
  </sheetPr>
  <dimension ref="A1:R93"/>
  <sheetViews>
    <sheetView topLeftCell="A28" zoomScale="70" zoomScaleNormal="70" workbookViewId="0">
      <selection activeCell="E51" sqref="E51"/>
    </sheetView>
  </sheetViews>
  <sheetFormatPr baseColWidth="10" defaultColWidth="11.42578125" defaultRowHeight="15" x14ac:dyDescent="0.25"/>
  <cols>
    <col min="1" max="1" width="19" style="177" customWidth="1"/>
    <col min="2" max="2" width="30.85546875" style="446" customWidth="1"/>
    <col min="3" max="3" width="13.5703125" style="446" customWidth="1"/>
    <col min="4" max="4" width="21" style="446" customWidth="1"/>
    <col min="5" max="5" width="36" style="446" bestFit="1" customWidth="1"/>
    <col min="6" max="6" width="12.140625" style="460" bestFit="1" customWidth="1"/>
    <col min="7" max="7" width="11.85546875" style="446" customWidth="1"/>
    <col min="8" max="8" width="16.7109375" style="446" customWidth="1"/>
    <col min="9" max="9" width="20.85546875" style="446" customWidth="1"/>
    <col min="10" max="10" width="14.7109375" style="441" customWidth="1"/>
    <col min="11" max="11" width="10.5703125" style="466" customWidth="1"/>
    <col min="12" max="12" width="16.140625" style="446" customWidth="1"/>
    <col min="13" max="13" width="11.42578125" style="446"/>
    <col min="14" max="14" width="28.140625" style="446" customWidth="1"/>
    <col min="15" max="15" width="11.42578125" style="446"/>
    <col min="16" max="16" width="76.42578125" style="446" bestFit="1" customWidth="1"/>
    <col min="17" max="17" width="16.7109375" style="446" customWidth="1"/>
    <col min="18" max="16384" width="11.42578125" style="446"/>
  </cols>
  <sheetData>
    <row r="1" spans="1:17" ht="50.25" customHeight="1" x14ac:dyDescent="0.25">
      <c r="A1" s="772" t="s">
        <v>1340</v>
      </c>
      <c r="B1" s="772"/>
      <c r="C1" s="772"/>
      <c r="D1" s="773"/>
      <c r="E1" s="773"/>
      <c r="F1" s="773"/>
      <c r="G1" s="773"/>
      <c r="H1" s="773"/>
      <c r="I1" s="773"/>
      <c r="J1" s="773"/>
      <c r="K1" s="773"/>
      <c r="L1" s="773"/>
      <c r="M1" s="773"/>
      <c r="N1" s="773"/>
      <c r="O1" s="773"/>
      <c r="P1" s="453"/>
      <c r="Q1" s="453"/>
    </row>
    <row r="2" spans="1:17" ht="24" customHeight="1" x14ac:dyDescent="0.25">
      <c r="A2" s="774">
        <v>43132</v>
      </c>
      <c r="B2" s="775"/>
      <c r="C2" s="775"/>
      <c r="D2" s="776"/>
      <c r="E2" s="776"/>
      <c r="F2" s="776"/>
      <c r="G2" s="776"/>
      <c r="H2" s="776"/>
      <c r="I2" s="776"/>
      <c r="J2" s="776"/>
      <c r="K2" s="776"/>
      <c r="L2" s="776"/>
      <c r="M2" s="776"/>
      <c r="N2" s="776"/>
      <c r="O2" s="776"/>
      <c r="P2" s="453"/>
      <c r="Q2" s="453"/>
    </row>
    <row r="3" spans="1:17" s="441" customFormat="1" ht="30" customHeight="1" x14ac:dyDescent="0.25">
      <c r="A3" s="209" t="s">
        <v>34</v>
      </c>
      <c r="B3" s="209" t="s">
        <v>2790</v>
      </c>
      <c r="C3" s="445" t="s">
        <v>1232</v>
      </c>
      <c r="D3" s="196" t="s">
        <v>2791</v>
      </c>
      <c r="E3" s="197" t="s">
        <v>2792</v>
      </c>
      <c r="F3" s="211" t="s">
        <v>2793</v>
      </c>
      <c r="G3" s="198" t="s">
        <v>23</v>
      </c>
      <c r="H3" s="198" t="s">
        <v>2817</v>
      </c>
      <c r="I3" s="199" t="s">
        <v>2818</v>
      </c>
      <c r="J3" s="199" t="s">
        <v>2819</v>
      </c>
      <c r="K3" s="465" t="s">
        <v>1344</v>
      </c>
      <c r="L3" s="198" t="s">
        <v>37</v>
      </c>
      <c r="M3" s="198" t="s">
        <v>1237</v>
      </c>
      <c r="N3" s="198" t="s">
        <v>2794</v>
      </c>
      <c r="O3" s="198" t="s">
        <v>1239</v>
      </c>
      <c r="P3" s="198" t="s">
        <v>1240</v>
      </c>
      <c r="Q3" s="447" t="s">
        <v>1241</v>
      </c>
    </row>
    <row r="4" spans="1:17" s="483" customFormat="1" ht="24.95" customHeight="1" x14ac:dyDescent="0.25">
      <c r="A4" s="470">
        <v>43132</v>
      </c>
      <c r="B4" s="471" t="s">
        <v>2832</v>
      </c>
      <c r="C4" s="472" t="s">
        <v>40</v>
      </c>
      <c r="D4" s="473" t="s">
        <v>701</v>
      </c>
      <c r="E4" s="473" t="s">
        <v>2833</v>
      </c>
      <c r="F4" s="474">
        <v>43132</v>
      </c>
      <c r="G4" s="475">
        <v>389.81</v>
      </c>
      <c r="H4" s="476">
        <v>30</v>
      </c>
      <c r="I4" s="477">
        <v>15.2</v>
      </c>
      <c r="J4" s="478">
        <f t="shared" ref="J4:J30" si="0">(I4*K4/100)/(H4*G4)*1000</f>
        <v>1.2867807393345478</v>
      </c>
      <c r="K4" s="479">
        <v>99</v>
      </c>
      <c r="L4" s="480" t="s">
        <v>212</v>
      </c>
      <c r="M4" s="481" t="s">
        <v>1237</v>
      </c>
      <c r="N4" s="482" t="s">
        <v>2835</v>
      </c>
      <c r="O4" s="480" t="s">
        <v>2648</v>
      </c>
      <c r="P4" s="480" t="s">
        <v>2834</v>
      </c>
      <c r="Q4" s="481"/>
    </row>
    <row r="5" spans="1:17" ht="24.95" customHeight="1" x14ac:dyDescent="0.25">
      <c r="A5" s="448">
        <v>43132</v>
      </c>
      <c r="B5" s="449" t="s">
        <v>2743</v>
      </c>
      <c r="C5" s="454" t="s">
        <v>170</v>
      </c>
      <c r="D5" s="293" t="s">
        <v>701</v>
      </c>
      <c r="E5" s="293" t="s">
        <v>1582</v>
      </c>
      <c r="F5" s="383">
        <v>43132</v>
      </c>
      <c r="G5" s="126">
        <v>319.27999999999997</v>
      </c>
      <c r="H5" s="374">
        <v>1</v>
      </c>
      <c r="I5" s="375">
        <v>1</v>
      </c>
      <c r="J5" s="464">
        <f t="shared" si="0"/>
        <v>3.1007266349285896</v>
      </c>
      <c r="K5" s="466">
        <v>99</v>
      </c>
      <c r="L5" s="443" t="s">
        <v>1724</v>
      </c>
      <c r="M5" s="421" t="s">
        <v>1464</v>
      </c>
      <c r="N5" s="444"/>
      <c r="O5" s="443" t="s">
        <v>2648</v>
      </c>
      <c r="P5" s="443"/>
      <c r="Q5" s="484" t="s">
        <v>2924</v>
      </c>
    </row>
    <row r="6" spans="1:17" ht="24.95" customHeight="1" x14ac:dyDescent="0.25">
      <c r="A6" s="448">
        <v>42768</v>
      </c>
      <c r="B6" s="209" t="s">
        <v>2841</v>
      </c>
      <c r="C6" s="455" t="s">
        <v>824</v>
      </c>
      <c r="D6" s="103" t="s">
        <v>289</v>
      </c>
      <c r="E6" s="103" t="s">
        <v>1960</v>
      </c>
      <c r="F6" s="216">
        <v>42712</v>
      </c>
      <c r="G6" s="104"/>
      <c r="H6" s="104"/>
      <c r="I6" s="106"/>
      <c r="J6" s="464" t="e">
        <f t="shared" si="0"/>
        <v>#DIV/0!</v>
      </c>
      <c r="K6" s="467"/>
      <c r="L6" s="443"/>
      <c r="M6" s="443" t="s">
        <v>2042</v>
      </c>
      <c r="N6" s="444" t="s">
        <v>2845</v>
      </c>
      <c r="O6" s="443" t="s">
        <v>2846</v>
      </c>
      <c r="P6" s="443" t="s">
        <v>2842</v>
      </c>
      <c r="Q6" s="484" t="s">
        <v>2924</v>
      </c>
    </row>
    <row r="7" spans="1:17" ht="24.95" customHeight="1" x14ac:dyDescent="0.25">
      <c r="A7" s="448">
        <v>42768</v>
      </c>
      <c r="B7" s="209" t="s">
        <v>2843</v>
      </c>
      <c r="C7" s="455" t="s">
        <v>824</v>
      </c>
      <c r="D7" s="103" t="s">
        <v>289</v>
      </c>
      <c r="E7" s="124" t="s">
        <v>656</v>
      </c>
      <c r="F7" s="216">
        <v>42712</v>
      </c>
      <c r="G7" s="126"/>
      <c r="H7" s="104"/>
      <c r="I7" s="106"/>
      <c r="J7" s="464" t="e">
        <f t="shared" si="0"/>
        <v>#DIV/0!</v>
      </c>
      <c r="K7" s="467"/>
      <c r="L7" s="443"/>
      <c r="M7" s="443" t="s">
        <v>2042</v>
      </c>
      <c r="N7" s="444" t="s">
        <v>2845</v>
      </c>
      <c r="O7" s="443" t="s">
        <v>2846</v>
      </c>
      <c r="P7" s="443" t="s">
        <v>2842</v>
      </c>
      <c r="Q7" s="484" t="s">
        <v>2924</v>
      </c>
    </row>
    <row r="8" spans="1:17" ht="24.95" customHeight="1" x14ac:dyDescent="0.25">
      <c r="A8" s="448">
        <v>42768</v>
      </c>
      <c r="B8" s="209" t="s">
        <v>2844</v>
      </c>
      <c r="C8" s="455" t="s">
        <v>824</v>
      </c>
      <c r="D8" s="103" t="s">
        <v>289</v>
      </c>
      <c r="E8" s="103" t="s">
        <v>1955</v>
      </c>
      <c r="F8" s="216">
        <v>42712</v>
      </c>
      <c r="G8" s="104"/>
      <c r="H8" s="104"/>
      <c r="I8" s="106"/>
      <c r="J8" s="464" t="e">
        <f t="shared" si="0"/>
        <v>#DIV/0!</v>
      </c>
      <c r="K8" s="467"/>
      <c r="L8" s="443"/>
      <c r="M8" s="443" t="s">
        <v>2042</v>
      </c>
      <c r="N8" s="444" t="s">
        <v>2845</v>
      </c>
      <c r="O8" s="443" t="s">
        <v>2846</v>
      </c>
      <c r="P8" s="443" t="s">
        <v>2842</v>
      </c>
      <c r="Q8" s="484" t="s">
        <v>2924</v>
      </c>
    </row>
    <row r="9" spans="1:17" ht="24.95" customHeight="1" x14ac:dyDescent="0.25">
      <c r="A9" s="448">
        <v>43136</v>
      </c>
      <c r="B9" s="209" t="s">
        <v>2847</v>
      </c>
      <c r="C9" s="455" t="s">
        <v>824</v>
      </c>
      <c r="D9" s="124" t="s">
        <v>701</v>
      </c>
      <c r="E9" s="124" t="s">
        <v>2848</v>
      </c>
      <c r="F9" s="260">
        <v>43136</v>
      </c>
      <c r="G9" s="104"/>
      <c r="H9" s="126"/>
      <c r="I9" s="126"/>
      <c r="J9" s="464" t="e">
        <f t="shared" si="0"/>
        <v>#DIV/0!</v>
      </c>
      <c r="L9" s="443"/>
      <c r="M9" s="262" t="s">
        <v>2042</v>
      </c>
      <c r="N9" s="444"/>
      <c r="O9" s="443" t="s">
        <v>2846</v>
      </c>
      <c r="P9" s="443" t="s">
        <v>2849</v>
      </c>
      <c r="Q9" s="484" t="s">
        <v>2924</v>
      </c>
    </row>
    <row r="10" spans="1:17" ht="24.95" customHeight="1" x14ac:dyDescent="0.25">
      <c r="A10" s="448">
        <v>43136</v>
      </c>
      <c r="B10" s="209" t="s">
        <v>2850</v>
      </c>
      <c r="C10" s="455" t="s">
        <v>824</v>
      </c>
      <c r="D10" s="103" t="s">
        <v>701</v>
      </c>
      <c r="E10" s="103" t="s">
        <v>2851</v>
      </c>
      <c r="F10" s="260">
        <v>43136</v>
      </c>
      <c r="G10" s="104"/>
      <c r="H10" s="104"/>
      <c r="I10" s="106"/>
      <c r="J10" s="464" t="e">
        <f t="shared" si="0"/>
        <v>#DIV/0!</v>
      </c>
      <c r="K10" s="467"/>
      <c r="L10" s="443"/>
      <c r="M10" s="262" t="s">
        <v>2042</v>
      </c>
      <c r="N10" s="444"/>
      <c r="O10" s="443" t="s">
        <v>2846</v>
      </c>
      <c r="P10" s="443" t="s">
        <v>2849</v>
      </c>
      <c r="Q10" s="484" t="s">
        <v>2924</v>
      </c>
    </row>
    <row r="11" spans="1:17" ht="24.95" customHeight="1" x14ac:dyDescent="0.25">
      <c r="A11" s="448">
        <v>43136</v>
      </c>
      <c r="B11" s="209" t="s">
        <v>2852</v>
      </c>
      <c r="C11" s="455" t="s">
        <v>824</v>
      </c>
      <c r="D11" s="103" t="s">
        <v>701</v>
      </c>
      <c r="E11" s="124" t="s">
        <v>2853</v>
      </c>
      <c r="F11" s="260">
        <v>43136</v>
      </c>
      <c r="G11" s="126"/>
      <c r="H11" s="104"/>
      <c r="I11" s="106"/>
      <c r="J11" s="464" t="e">
        <f t="shared" si="0"/>
        <v>#DIV/0!</v>
      </c>
      <c r="K11" s="467"/>
      <c r="L11" s="443"/>
      <c r="M11" s="262" t="s">
        <v>2042</v>
      </c>
      <c r="N11" s="444"/>
      <c r="O11" s="443" t="s">
        <v>2846</v>
      </c>
      <c r="P11" s="443" t="s">
        <v>2849</v>
      </c>
      <c r="Q11" s="484" t="s">
        <v>2924</v>
      </c>
    </row>
    <row r="12" spans="1:17" ht="24.95" customHeight="1" x14ac:dyDescent="0.25">
      <c r="A12" s="448">
        <v>43136</v>
      </c>
      <c r="B12" s="209" t="s">
        <v>2854</v>
      </c>
      <c r="C12" s="455" t="s">
        <v>824</v>
      </c>
      <c r="D12" s="103" t="s">
        <v>701</v>
      </c>
      <c r="E12" s="124" t="s">
        <v>656</v>
      </c>
      <c r="F12" s="260">
        <v>43136</v>
      </c>
      <c r="G12" s="104"/>
      <c r="H12" s="104"/>
      <c r="I12" s="106"/>
      <c r="J12" s="464" t="e">
        <f t="shared" si="0"/>
        <v>#DIV/0!</v>
      </c>
      <c r="K12" s="467"/>
      <c r="L12" s="443"/>
      <c r="M12" s="262" t="s">
        <v>2042</v>
      </c>
      <c r="N12" s="444"/>
      <c r="O12" s="443" t="s">
        <v>2846</v>
      </c>
      <c r="P12" s="443" t="s">
        <v>2849</v>
      </c>
      <c r="Q12" s="484" t="s">
        <v>2924</v>
      </c>
    </row>
    <row r="13" spans="1:17" ht="24.95" customHeight="1" x14ac:dyDescent="0.25">
      <c r="A13" s="448">
        <v>43136</v>
      </c>
      <c r="B13" s="209" t="s">
        <v>2855</v>
      </c>
      <c r="C13" s="455" t="s">
        <v>824</v>
      </c>
      <c r="D13" s="103" t="s">
        <v>701</v>
      </c>
      <c r="E13" s="103" t="s">
        <v>2361</v>
      </c>
      <c r="F13" s="260">
        <v>43136</v>
      </c>
      <c r="G13" s="104"/>
      <c r="H13" s="104"/>
      <c r="I13" s="106"/>
      <c r="J13" s="464" t="e">
        <f t="shared" si="0"/>
        <v>#DIV/0!</v>
      </c>
      <c r="K13" s="467"/>
      <c r="L13" s="443"/>
      <c r="M13" s="443" t="s">
        <v>2042</v>
      </c>
      <c r="N13" s="444"/>
      <c r="O13" s="443" t="s">
        <v>2846</v>
      </c>
      <c r="P13" s="443" t="s">
        <v>2849</v>
      </c>
      <c r="Q13" s="484" t="s">
        <v>2924</v>
      </c>
    </row>
    <row r="14" spans="1:17" ht="24.95" customHeight="1" x14ac:dyDescent="0.25">
      <c r="A14" s="448">
        <v>43136</v>
      </c>
      <c r="B14" s="209" t="s">
        <v>2856</v>
      </c>
      <c r="C14" s="455" t="s">
        <v>824</v>
      </c>
      <c r="D14" s="103" t="s">
        <v>701</v>
      </c>
      <c r="E14" s="124" t="s">
        <v>1840</v>
      </c>
      <c r="F14" s="260">
        <v>43136</v>
      </c>
      <c r="G14" s="126"/>
      <c r="H14" s="104"/>
      <c r="I14" s="106"/>
      <c r="J14" s="464" t="e">
        <f t="shared" si="0"/>
        <v>#DIV/0!</v>
      </c>
      <c r="K14" s="467"/>
      <c r="L14" s="443"/>
      <c r="M14" s="443" t="s">
        <v>2042</v>
      </c>
      <c r="N14" s="444"/>
      <c r="O14" s="443" t="s">
        <v>2648</v>
      </c>
      <c r="P14" s="443" t="s">
        <v>2857</v>
      </c>
      <c r="Q14" s="484" t="s">
        <v>2924</v>
      </c>
    </row>
    <row r="15" spans="1:17" ht="24.95" customHeight="1" x14ac:dyDescent="0.25">
      <c r="A15" s="448">
        <v>43136</v>
      </c>
      <c r="B15" s="209" t="s">
        <v>2858</v>
      </c>
      <c r="C15" s="455" t="s">
        <v>40</v>
      </c>
      <c r="D15" s="103" t="s">
        <v>701</v>
      </c>
      <c r="E15" s="103" t="s">
        <v>806</v>
      </c>
      <c r="F15" s="216">
        <v>43136</v>
      </c>
      <c r="G15" s="104">
        <v>509.29</v>
      </c>
      <c r="H15" s="104">
        <v>10</v>
      </c>
      <c r="I15" s="106">
        <v>45.2</v>
      </c>
      <c r="J15" s="464">
        <f t="shared" si="0"/>
        <v>8.4313455987747634</v>
      </c>
      <c r="K15" s="467">
        <v>95</v>
      </c>
      <c r="L15" s="443" t="s">
        <v>49</v>
      </c>
      <c r="M15" s="443" t="s">
        <v>1463</v>
      </c>
      <c r="N15" s="444" t="s">
        <v>2859</v>
      </c>
      <c r="O15" s="443" t="s">
        <v>2846</v>
      </c>
      <c r="P15" s="443"/>
      <c r="Q15" s="484" t="s">
        <v>2924</v>
      </c>
    </row>
    <row r="16" spans="1:17" ht="24.95" customHeight="1" x14ac:dyDescent="0.25">
      <c r="A16" s="448">
        <v>43136</v>
      </c>
      <c r="B16" s="209" t="s">
        <v>2860</v>
      </c>
      <c r="C16" s="455" t="s">
        <v>824</v>
      </c>
      <c r="D16" s="103" t="s">
        <v>701</v>
      </c>
      <c r="E16" s="124" t="s">
        <v>1763</v>
      </c>
      <c r="F16" s="216">
        <v>43136</v>
      </c>
      <c r="G16" s="104"/>
      <c r="H16" s="104"/>
      <c r="I16" s="106"/>
      <c r="J16" s="464" t="e">
        <f t="shared" si="0"/>
        <v>#DIV/0!</v>
      </c>
      <c r="K16" s="467"/>
      <c r="L16" s="443" t="s">
        <v>49</v>
      </c>
      <c r="M16" s="443" t="s">
        <v>2042</v>
      </c>
      <c r="N16" s="444"/>
      <c r="O16" s="443" t="s">
        <v>2846</v>
      </c>
      <c r="P16" s="443" t="s">
        <v>2861</v>
      </c>
      <c r="Q16" s="484" t="s">
        <v>2924</v>
      </c>
    </row>
    <row r="17" spans="1:18" ht="24.95" customHeight="1" x14ac:dyDescent="0.25">
      <c r="A17" s="448">
        <v>43136</v>
      </c>
      <c r="B17" s="209" t="s">
        <v>2862</v>
      </c>
      <c r="C17" s="455" t="s">
        <v>824</v>
      </c>
      <c r="D17" s="103" t="s">
        <v>701</v>
      </c>
      <c r="E17" s="103" t="s">
        <v>2863</v>
      </c>
      <c r="F17" s="216">
        <v>42676</v>
      </c>
      <c r="G17" s="104"/>
      <c r="H17" s="104"/>
      <c r="I17" s="106">
        <v>1000</v>
      </c>
      <c r="J17" s="464" t="e">
        <f t="shared" si="0"/>
        <v>#DIV/0!</v>
      </c>
      <c r="K17" s="467"/>
      <c r="L17" s="443"/>
      <c r="M17" s="443" t="s">
        <v>2042</v>
      </c>
      <c r="N17" s="444"/>
      <c r="O17" s="443" t="s">
        <v>2648</v>
      </c>
      <c r="P17" s="443" t="s">
        <v>2864</v>
      </c>
      <c r="Q17" s="484" t="s">
        <v>2924</v>
      </c>
    </row>
    <row r="18" spans="1:18" ht="24.95" customHeight="1" x14ac:dyDescent="0.25">
      <c r="A18" s="448">
        <v>43136</v>
      </c>
      <c r="B18" s="209" t="s">
        <v>2865</v>
      </c>
      <c r="C18" s="455" t="s">
        <v>824</v>
      </c>
      <c r="D18" s="103" t="s">
        <v>701</v>
      </c>
      <c r="E18" s="124" t="s">
        <v>2866</v>
      </c>
      <c r="F18" s="260">
        <v>43136</v>
      </c>
      <c r="G18" s="126"/>
      <c r="H18" s="104"/>
      <c r="I18" s="106"/>
      <c r="J18" s="464" t="e">
        <f t="shared" si="0"/>
        <v>#DIV/0!</v>
      </c>
      <c r="K18" s="467"/>
      <c r="L18" s="443"/>
      <c r="M18" s="443" t="s">
        <v>2042</v>
      </c>
      <c r="N18" s="444"/>
      <c r="O18" s="443" t="s">
        <v>2648</v>
      </c>
      <c r="P18" s="443" t="s">
        <v>2857</v>
      </c>
      <c r="Q18" s="484" t="s">
        <v>2924</v>
      </c>
    </row>
    <row r="19" spans="1:18" ht="24.95" customHeight="1" x14ac:dyDescent="0.25">
      <c r="A19" s="448">
        <v>43136</v>
      </c>
      <c r="B19" s="209" t="s">
        <v>2926</v>
      </c>
      <c r="C19" s="455" t="s">
        <v>824</v>
      </c>
      <c r="D19" s="103" t="s">
        <v>701</v>
      </c>
      <c r="E19" s="103" t="s">
        <v>2867</v>
      </c>
      <c r="F19" s="216">
        <v>43136</v>
      </c>
      <c r="G19" s="104"/>
      <c r="H19" s="104"/>
      <c r="I19" s="106"/>
      <c r="J19" s="464" t="e">
        <f t="shared" si="0"/>
        <v>#DIV/0!</v>
      </c>
      <c r="K19" s="467"/>
      <c r="L19" s="443"/>
      <c r="M19" s="443" t="s">
        <v>2042</v>
      </c>
      <c r="N19" s="444"/>
      <c r="O19" s="443" t="s">
        <v>2648</v>
      </c>
      <c r="P19" s="218" t="s">
        <v>2868</v>
      </c>
      <c r="Q19" s="484" t="s">
        <v>2924</v>
      </c>
    </row>
    <row r="20" spans="1:18" ht="24.95" customHeight="1" x14ac:dyDescent="0.25">
      <c r="A20" s="448">
        <v>43137</v>
      </c>
      <c r="B20" s="209" t="s">
        <v>2869</v>
      </c>
      <c r="C20" s="455" t="s">
        <v>40</v>
      </c>
      <c r="D20" s="124" t="s">
        <v>1701</v>
      </c>
      <c r="E20" s="124" t="s">
        <v>2871</v>
      </c>
      <c r="F20" s="216">
        <v>43137</v>
      </c>
      <c r="G20" s="126">
        <v>526.75</v>
      </c>
      <c r="H20" s="104">
        <v>10</v>
      </c>
      <c r="I20" s="431">
        <v>1.63</v>
      </c>
      <c r="J20" s="464">
        <f t="shared" si="0"/>
        <v>0.30944470811580449</v>
      </c>
      <c r="K20" s="467">
        <v>100</v>
      </c>
      <c r="L20" s="443" t="s">
        <v>212</v>
      </c>
      <c r="M20" s="443" t="s">
        <v>2873</v>
      </c>
      <c r="N20" s="444" t="s">
        <v>2925</v>
      </c>
      <c r="O20" s="443" t="s">
        <v>2648</v>
      </c>
      <c r="P20" s="218"/>
      <c r="Q20" s="484" t="s">
        <v>2924</v>
      </c>
    </row>
    <row r="21" spans="1:18" ht="24.95" customHeight="1" x14ac:dyDescent="0.25">
      <c r="A21" s="448">
        <v>43137</v>
      </c>
      <c r="B21" s="209" t="s">
        <v>2870</v>
      </c>
      <c r="C21" s="455" t="s">
        <v>40</v>
      </c>
      <c r="D21" s="124" t="s">
        <v>1701</v>
      </c>
      <c r="E21" s="124" t="s">
        <v>2872</v>
      </c>
      <c r="F21" s="216">
        <v>43137</v>
      </c>
      <c r="G21" s="104">
        <v>428.57</v>
      </c>
      <c r="H21" s="104">
        <v>10</v>
      </c>
      <c r="I21" s="106">
        <v>2.2799999999999998</v>
      </c>
      <c r="J21" s="464">
        <f t="shared" si="0"/>
        <v>0.53200177333924448</v>
      </c>
      <c r="K21" s="467">
        <v>100</v>
      </c>
      <c r="L21" s="443" t="s">
        <v>212</v>
      </c>
      <c r="M21" s="443" t="s">
        <v>2873</v>
      </c>
      <c r="N21" s="444" t="s">
        <v>2925</v>
      </c>
      <c r="O21" s="443" t="s">
        <v>2648</v>
      </c>
      <c r="P21" s="443"/>
      <c r="Q21" s="484" t="s">
        <v>2924</v>
      </c>
    </row>
    <row r="22" spans="1:18" ht="24.95" customHeight="1" x14ac:dyDescent="0.25">
      <c r="A22" s="448">
        <v>43137</v>
      </c>
      <c r="B22" s="451" t="s">
        <v>2809</v>
      </c>
      <c r="C22" s="458" t="s">
        <v>40</v>
      </c>
      <c r="D22" s="293" t="s">
        <v>701</v>
      </c>
      <c r="E22" s="33" t="s">
        <v>2621</v>
      </c>
      <c r="F22" s="216">
        <v>43125</v>
      </c>
      <c r="G22" s="126">
        <v>305.42</v>
      </c>
      <c r="H22" s="104">
        <v>3</v>
      </c>
      <c r="I22" s="106">
        <v>11.3</v>
      </c>
      <c r="J22" s="464">
        <f t="shared" si="0"/>
        <v>12.135420077270645</v>
      </c>
      <c r="K22" s="467">
        <v>98.4</v>
      </c>
      <c r="L22" s="443" t="s">
        <v>212</v>
      </c>
      <c r="M22" s="443" t="s">
        <v>1416</v>
      </c>
      <c r="N22" s="444"/>
      <c r="O22" s="443" t="s">
        <v>2648</v>
      </c>
      <c r="P22" s="443"/>
      <c r="Q22" s="484" t="s">
        <v>2924</v>
      </c>
    </row>
    <row r="23" spans="1:18" ht="24.95" customHeight="1" x14ac:dyDescent="0.25">
      <c r="A23" s="448">
        <v>43138</v>
      </c>
      <c r="B23" s="209" t="s">
        <v>2678</v>
      </c>
      <c r="C23" s="455" t="s">
        <v>1610</v>
      </c>
      <c r="D23" s="293" t="s">
        <v>701</v>
      </c>
      <c r="E23" s="103" t="s">
        <v>2558</v>
      </c>
      <c r="F23" s="216">
        <v>43070</v>
      </c>
      <c r="G23" s="126">
        <v>89.09</v>
      </c>
      <c r="H23" s="104"/>
      <c r="I23" s="106">
        <v>8000</v>
      </c>
      <c r="J23" s="464" t="e">
        <f t="shared" si="0"/>
        <v>#DIV/0!</v>
      </c>
      <c r="K23" s="467">
        <v>99</v>
      </c>
      <c r="L23" s="443" t="s">
        <v>49</v>
      </c>
      <c r="M23" s="443" t="s">
        <v>2878</v>
      </c>
      <c r="N23" s="444"/>
      <c r="O23" s="443" t="s">
        <v>2648</v>
      </c>
      <c r="P23" s="443"/>
      <c r="Q23" s="484" t="s">
        <v>2924</v>
      </c>
    </row>
    <row r="24" spans="1:18" ht="24.95" customHeight="1" x14ac:dyDescent="0.25">
      <c r="A24" s="448">
        <v>43140</v>
      </c>
      <c r="B24" s="209" t="s">
        <v>2869</v>
      </c>
      <c r="C24" s="455" t="s">
        <v>40</v>
      </c>
      <c r="D24" s="103" t="s">
        <v>2892</v>
      </c>
      <c r="E24" s="103" t="s">
        <v>2250</v>
      </c>
      <c r="F24" s="216">
        <v>43137</v>
      </c>
      <c r="G24" s="126">
        <v>526.75</v>
      </c>
      <c r="H24" s="104">
        <v>10</v>
      </c>
      <c r="I24" s="106">
        <v>1.24</v>
      </c>
      <c r="J24" s="464">
        <f t="shared" si="0"/>
        <v>0.23540579022306596</v>
      </c>
      <c r="K24" s="467">
        <v>100</v>
      </c>
      <c r="L24" s="443" t="s">
        <v>212</v>
      </c>
      <c r="M24" s="443" t="s">
        <v>1463</v>
      </c>
      <c r="N24" s="444"/>
      <c r="O24" s="443" t="s">
        <v>2648</v>
      </c>
      <c r="P24" s="288"/>
      <c r="Q24" s="484" t="s">
        <v>2924</v>
      </c>
      <c r="R24" s="456"/>
    </row>
    <row r="25" spans="1:18" ht="24.95" customHeight="1" x14ac:dyDescent="0.25">
      <c r="A25" s="448">
        <v>43143</v>
      </c>
      <c r="B25" s="209" t="s">
        <v>2904</v>
      </c>
      <c r="C25" s="455" t="s">
        <v>824</v>
      </c>
      <c r="D25" s="103" t="s">
        <v>701</v>
      </c>
      <c r="E25" s="103" t="s">
        <v>2218</v>
      </c>
      <c r="F25" s="216">
        <v>43143</v>
      </c>
      <c r="G25" s="104"/>
      <c r="H25" s="104"/>
      <c r="I25" s="106"/>
      <c r="J25" s="464" t="e">
        <f t="shared" si="0"/>
        <v>#DIV/0!</v>
      </c>
      <c r="K25" s="467"/>
      <c r="L25" s="443"/>
      <c r="M25" s="443" t="s">
        <v>2042</v>
      </c>
      <c r="N25" s="444"/>
      <c r="O25" s="443" t="s">
        <v>2846</v>
      </c>
      <c r="P25" s="443" t="s">
        <v>2861</v>
      </c>
      <c r="Q25" s="484" t="s">
        <v>2924</v>
      </c>
    </row>
    <row r="26" spans="1:18" ht="24.95" customHeight="1" x14ac:dyDescent="0.25">
      <c r="A26" s="448">
        <v>43143</v>
      </c>
      <c r="B26" s="209" t="s">
        <v>2906</v>
      </c>
      <c r="C26" s="455" t="s">
        <v>1610</v>
      </c>
      <c r="D26" s="103" t="s">
        <v>701</v>
      </c>
      <c r="E26" s="103" t="s">
        <v>860</v>
      </c>
      <c r="F26" s="216">
        <v>43143</v>
      </c>
      <c r="G26" s="104">
        <v>340.78</v>
      </c>
      <c r="H26" s="104">
        <v>20</v>
      </c>
      <c r="I26" s="106">
        <v>35</v>
      </c>
      <c r="J26" s="464">
        <f t="shared" si="0"/>
        <v>5.0839251129761145</v>
      </c>
      <c r="K26" s="467">
        <v>99</v>
      </c>
      <c r="L26" s="443" t="s">
        <v>212</v>
      </c>
      <c r="M26" s="443" t="s">
        <v>2121</v>
      </c>
      <c r="N26" s="444" t="s">
        <v>2907</v>
      </c>
      <c r="O26" s="288" t="s">
        <v>2846</v>
      </c>
      <c r="P26" s="288"/>
      <c r="Q26" s="484" t="s">
        <v>2924</v>
      </c>
    </row>
    <row r="27" spans="1:18" ht="24.95" customHeight="1" x14ac:dyDescent="0.25">
      <c r="A27" s="448">
        <v>43143</v>
      </c>
      <c r="B27" s="209" t="s">
        <v>2870</v>
      </c>
      <c r="C27" s="455" t="s">
        <v>170</v>
      </c>
      <c r="D27" s="103" t="s">
        <v>1701</v>
      </c>
      <c r="E27" s="124" t="s">
        <v>2872</v>
      </c>
      <c r="F27" s="216">
        <v>43137</v>
      </c>
      <c r="G27" s="104">
        <v>428.57</v>
      </c>
      <c r="H27" s="104">
        <v>1</v>
      </c>
      <c r="I27" s="106">
        <v>2.5299999999999998</v>
      </c>
      <c r="J27" s="464">
        <f t="shared" si="0"/>
        <v>5.9033530111767041</v>
      </c>
      <c r="K27" s="467">
        <v>100</v>
      </c>
      <c r="L27" s="443" t="s">
        <v>212</v>
      </c>
      <c r="M27" s="443" t="s">
        <v>1613</v>
      </c>
      <c r="N27" s="444" t="s">
        <v>2907</v>
      </c>
      <c r="O27" s="443" t="s">
        <v>2648</v>
      </c>
      <c r="P27" s="443"/>
      <c r="Q27" s="484" t="s">
        <v>2924</v>
      </c>
    </row>
    <row r="28" spans="1:18" ht="24.95" customHeight="1" x14ac:dyDescent="0.25">
      <c r="A28" s="448">
        <v>43143</v>
      </c>
      <c r="B28" s="209" t="s">
        <v>2908</v>
      </c>
      <c r="C28" s="455" t="s">
        <v>824</v>
      </c>
      <c r="D28" s="103" t="s">
        <v>701</v>
      </c>
      <c r="E28" s="124" t="s">
        <v>2909</v>
      </c>
      <c r="F28" s="216">
        <v>43143</v>
      </c>
      <c r="G28" s="104"/>
      <c r="H28" s="104"/>
      <c r="I28" s="106"/>
      <c r="J28" s="464" t="e">
        <f t="shared" si="0"/>
        <v>#DIV/0!</v>
      </c>
      <c r="K28" s="467"/>
      <c r="L28" s="443"/>
      <c r="M28" s="443" t="s">
        <v>2042</v>
      </c>
      <c r="N28" s="444"/>
      <c r="O28" s="443" t="s">
        <v>2846</v>
      </c>
      <c r="P28" s="443" t="s">
        <v>2861</v>
      </c>
      <c r="Q28" s="484" t="s">
        <v>2924</v>
      </c>
    </row>
    <row r="29" spans="1:18" ht="24.95" customHeight="1" x14ac:dyDescent="0.25">
      <c r="A29" s="448">
        <v>43143</v>
      </c>
      <c r="B29" s="209" t="s">
        <v>2910</v>
      </c>
      <c r="C29" s="455" t="s">
        <v>824</v>
      </c>
      <c r="D29" s="103" t="s">
        <v>701</v>
      </c>
      <c r="E29" s="124" t="s">
        <v>2911</v>
      </c>
      <c r="F29" s="216">
        <v>43143</v>
      </c>
      <c r="G29" s="104"/>
      <c r="H29" s="104"/>
      <c r="I29" s="106"/>
      <c r="J29" s="464" t="e">
        <f t="shared" si="0"/>
        <v>#DIV/0!</v>
      </c>
      <c r="K29" s="467"/>
      <c r="L29" s="443"/>
      <c r="M29" s="443" t="s">
        <v>2042</v>
      </c>
      <c r="N29" s="444"/>
      <c r="O29" s="443" t="s">
        <v>2648</v>
      </c>
      <c r="P29" s="443" t="s">
        <v>2857</v>
      </c>
      <c r="Q29" s="484" t="s">
        <v>2924</v>
      </c>
    </row>
    <row r="30" spans="1:18" ht="24.95" customHeight="1" x14ac:dyDescent="0.25">
      <c r="A30" s="448">
        <v>43143</v>
      </c>
      <c r="B30" s="209" t="s">
        <v>2912</v>
      </c>
      <c r="C30" s="455" t="s">
        <v>824</v>
      </c>
      <c r="D30" s="103" t="s">
        <v>701</v>
      </c>
      <c r="E30" s="124" t="s">
        <v>2875</v>
      </c>
      <c r="F30" s="216">
        <v>43143</v>
      </c>
      <c r="G30" s="126"/>
      <c r="H30" s="104"/>
      <c r="I30" s="106"/>
      <c r="J30" s="464" t="e">
        <f t="shared" si="0"/>
        <v>#DIV/0!</v>
      </c>
      <c r="K30" s="468"/>
      <c r="L30" s="443"/>
      <c r="M30" s="443" t="s">
        <v>2042</v>
      </c>
      <c r="N30" s="444"/>
      <c r="O30" s="443" t="s">
        <v>2648</v>
      </c>
      <c r="P30" s="443" t="s">
        <v>2857</v>
      </c>
      <c r="Q30" s="484" t="s">
        <v>2924</v>
      </c>
    </row>
    <row r="31" spans="1:18" ht="24.95" customHeight="1" x14ac:dyDescent="0.25">
      <c r="A31" s="448">
        <v>43143</v>
      </c>
      <c r="B31" s="209" t="s">
        <v>2913</v>
      </c>
      <c r="C31" s="455" t="s">
        <v>824</v>
      </c>
      <c r="D31" s="103" t="s">
        <v>701</v>
      </c>
      <c r="E31" s="124" t="s">
        <v>2874</v>
      </c>
      <c r="F31" s="216">
        <v>43143</v>
      </c>
      <c r="G31" s="126"/>
      <c r="H31" s="104"/>
      <c r="I31" s="106"/>
      <c r="J31" s="464" t="e">
        <f t="shared" ref="J31" si="1">(I31*K31/100)/(H31*G31)*1000</f>
        <v>#DIV/0!</v>
      </c>
      <c r="K31" s="468"/>
      <c r="L31" s="443"/>
      <c r="M31" s="443" t="s">
        <v>2042</v>
      </c>
      <c r="N31" s="444"/>
      <c r="O31" s="443" t="s">
        <v>2648</v>
      </c>
      <c r="P31" s="443" t="s">
        <v>2857</v>
      </c>
      <c r="Q31" s="484" t="s">
        <v>2924</v>
      </c>
    </row>
    <row r="32" spans="1:18" ht="24.95" customHeight="1" x14ac:dyDescent="0.25">
      <c r="A32" s="448">
        <v>43143</v>
      </c>
      <c r="B32" s="209" t="s">
        <v>2914</v>
      </c>
      <c r="C32" s="455" t="s">
        <v>824</v>
      </c>
      <c r="D32" s="124" t="s">
        <v>701</v>
      </c>
      <c r="E32" s="33" t="s">
        <v>2915</v>
      </c>
      <c r="F32" s="216">
        <v>43143</v>
      </c>
      <c r="G32" s="126"/>
      <c r="H32" s="104"/>
      <c r="I32" s="106"/>
      <c r="J32" s="464" t="e">
        <f t="shared" ref="J32:J48" si="2">(I32*K32/100)/(H32*G32)*1000</f>
        <v>#DIV/0!</v>
      </c>
      <c r="K32" s="467"/>
      <c r="L32" s="443"/>
      <c r="M32" s="443" t="s">
        <v>2042</v>
      </c>
      <c r="N32" s="444"/>
      <c r="O32" s="443" t="s">
        <v>2846</v>
      </c>
      <c r="P32" s="443" t="s">
        <v>2842</v>
      </c>
      <c r="Q32" s="484" t="s">
        <v>2924</v>
      </c>
    </row>
    <row r="33" spans="1:17" ht="24.95" customHeight="1" x14ac:dyDescent="0.25">
      <c r="A33" s="448">
        <v>43143</v>
      </c>
      <c r="B33" s="209" t="s">
        <v>2916</v>
      </c>
      <c r="C33" s="455" t="s">
        <v>824</v>
      </c>
      <c r="D33" s="103" t="s">
        <v>701</v>
      </c>
      <c r="E33" s="103" t="s">
        <v>2848</v>
      </c>
      <c r="F33" s="216">
        <v>43143</v>
      </c>
      <c r="G33" s="126"/>
      <c r="H33" s="104"/>
      <c r="I33" s="106"/>
      <c r="J33" s="464" t="e">
        <f t="shared" si="2"/>
        <v>#DIV/0!</v>
      </c>
      <c r="K33" s="467"/>
      <c r="L33" s="443"/>
      <c r="M33" s="443" t="s">
        <v>2042</v>
      </c>
      <c r="N33" s="444"/>
      <c r="O33" s="443" t="s">
        <v>2846</v>
      </c>
      <c r="P33" s="443" t="s">
        <v>2842</v>
      </c>
      <c r="Q33" s="484" t="s">
        <v>2924</v>
      </c>
    </row>
    <row r="34" spans="1:17" ht="24.95" customHeight="1" x14ac:dyDescent="0.25">
      <c r="A34" s="448">
        <v>43143</v>
      </c>
      <c r="B34" s="209" t="s">
        <v>2917</v>
      </c>
      <c r="C34" s="455" t="s">
        <v>824</v>
      </c>
      <c r="D34" s="103" t="s">
        <v>701</v>
      </c>
      <c r="E34" s="103" t="s">
        <v>2848</v>
      </c>
      <c r="F34" s="216">
        <v>43143</v>
      </c>
      <c r="G34" s="126"/>
      <c r="H34" s="104"/>
      <c r="I34" s="106"/>
      <c r="J34" s="464" t="e">
        <f t="shared" si="2"/>
        <v>#DIV/0!</v>
      </c>
      <c r="K34" s="467"/>
      <c r="L34" s="443"/>
      <c r="M34" s="443" t="s">
        <v>2042</v>
      </c>
      <c r="N34" s="444"/>
      <c r="O34" s="443" t="s">
        <v>2846</v>
      </c>
      <c r="P34" s="443" t="s">
        <v>2861</v>
      </c>
      <c r="Q34" s="484" t="s">
        <v>2924</v>
      </c>
    </row>
    <row r="35" spans="1:17" ht="24.95" customHeight="1" x14ac:dyDescent="0.25">
      <c r="A35" s="448">
        <v>43145</v>
      </c>
      <c r="B35" s="209" t="s">
        <v>2869</v>
      </c>
      <c r="C35" s="455" t="s">
        <v>40</v>
      </c>
      <c r="D35" s="103" t="s">
        <v>1701</v>
      </c>
      <c r="E35" s="124" t="s">
        <v>2250</v>
      </c>
      <c r="F35" s="260">
        <v>43137</v>
      </c>
      <c r="G35" s="126">
        <v>526.75</v>
      </c>
      <c r="H35" s="104">
        <v>10</v>
      </c>
      <c r="I35" s="106">
        <v>1.1399999999999999</v>
      </c>
      <c r="J35" s="464">
        <f t="shared" si="2"/>
        <v>0.21642145230185095</v>
      </c>
      <c r="K35" s="467">
        <v>100</v>
      </c>
      <c r="L35" s="443" t="s">
        <v>212</v>
      </c>
      <c r="M35" s="443" t="s">
        <v>1600</v>
      </c>
      <c r="N35" s="444" t="s">
        <v>2925</v>
      </c>
      <c r="O35" s="443" t="s">
        <v>2648</v>
      </c>
      <c r="P35" s="443"/>
      <c r="Q35" s="484" t="s">
        <v>2955</v>
      </c>
    </row>
    <row r="36" spans="1:17" ht="24.95" customHeight="1" x14ac:dyDescent="0.25">
      <c r="A36" s="448">
        <v>43145</v>
      </c>
      <c r="B36" s="209" t="s">
        <v>2870</v>
      </c>
      <c r="C36" s="455" t="s">
        <v>40</v>
      </c>
      <c r="D36" s="103" t="s">
        <v>1701</v>
      </c>
      <c r="E36" s="103" t="s">
        <v>2838</v>
      </c>
      <c r="F36" s="260">
        <v>43137</v>
      </c>
      <c r="G36" s="104">
        <v>428.57</v>
      </c>
      <c r="H36" s="104">
        <v>10</v>
      </c>
      <c r="I36" s="106">
        <v>1.39</v>
      </c>
      <c r="J36" s="464">
        <f t="shared" si="2"/>
        <v>0.32433441444804817</v>
      </c>
      <c r="K36" s="467">
        <v>100</v>
      </c>
      <c r="L36" s="443" t="s">
        <v>212</v>
      </c>
      <c r="M36" s="443" t="s">
        <v>1600</v>
      </c>
      <c r="N36" s="444" t="s">
        <v>2925</v>
      </c>
      <c r="O36" s="443" t="s">
        <v>2648</v>
      </c>
      <c r="P36" s="443"/>
      <c r="Q36" s="484" t="s">
        <v>2955</v>
      </c>
    </row>
    <row r="37" spans="1:17" ht="24.95" customHeight="1" x14ac:dyDescent="0.25">
      <c r="A37" s="448">
        <v>43146</v>
      </c>
      <c r="B37" s="209" t="s">
        <v>2704</v>
      </c>
      <c r="C37" s="455" t="s">
        <v>40</v>
      </c>
      <c r="D37" s="124" t="s">
        <v>701</v>
      </c>
      <c r="E37" s="124" t="s">
        <v>2929</v>
      </c>
      <c r="F37" s="216">
        <v>43115</v>
      </c>
      <c r="G37" s="126">
        <v>189.17</v>
      </c>
      <c r="H37" s="374"/>
      <c r="I37" s="375"/>
      <c r="J37" s="464" t="e">
        <f t="shared" si="2"/>
        <v>#DIV/0!</v>
      </c>
      <c r="K37" s="468"/>
      <c r="L37" s="443"/>
      <c r="M37" s="443" t="s">
        <v>1463</v>
      </c>
      <c r="N37" s="444"/>
      <c r="O37" s="443" t="s">
        <v>2846</v>
      </c>
      <c r="P37" s="443"/>
      <c r="Q37" s="484" t="s">
        <v>2955</v>
      </c>
    </row>
    <row r="38" spans="1:17" ht="24.95" customHeight="1" x14ac:dyDescent="0.25">
      <c r="A38" s="448">
        <v>43146</v>
      </c>
      <c r="B38" s="209" t="s">
        <v>2930</v>
      </c>
      <c r="C38" s="455" t="s">
        <v>40</v>
      </c>
      <c r="D38" s="124" t="s">
        <v>701</v>
      </c>
      <c r="E38" s="124" t="s">
        <v>2929</v>
      </c>
      <c r="F38" s="216">
        <v>43146</v>
      </c>
      <c r="G38" s="126">
        <v>189.17</v>
      </c>
      <c r="H38" s="104"/>
      <c r="I38" s="106"/>
      <c r="J38" s="464" t="e">
        <f t="shared" si="2"/>
        <v>#DIV/0!</v>
      </c>
      <c r="K38" s="467"/>
      <c r="L38" s="443"/>
      <c r="M38" s="443" t="s">
        <v>1463</v>
      </c>
      <c r="N38" s="444"/>
      <c r="O38" s="443" t="s">
        <v>2648</v>
      </c>
      <c r="P38" s="443"/>
      <c r="Q38" s="484" t="s">
        <v>2955</v>
      </c>
    </row>
    <row r="39" spans="1:17" ht="24.95" customHeight="1" x14ac:dyDescent="0.25">
      <c r="A39" s="448">
        <v>43146</v>
      </c>
      <c r="B39" s="209" t="s">
        <v>2931</v>
      </c>
      <c r="C39" s="455" t="s">
        <v>824</v>
      </c>
      <c r="D39" s="103" t="s">
        <v>701</v>
      </c>
      <c r="E39" s="103" t="s">
        <v>2733</v>
      </c>
      <c r="F39" s="260">
        <v>43146</v>
      </c>
      <c r="G39" s="104">
        <v>151.9</v>
      </c>
      <c r="H39" s="104">
        <v>140</v>
      </c>
      <c r="I39" s="106">
        <v>2.1433200000000001</v>
      </c>
      <c r="J39" s="464">
        <f t="shared" si="2"/>
        <v>0.10078623154330857</v>
      </c>
      <c r="K39" s="467">
        <v>100</v>
      </c>
      <c r="L39" s="443" t="s">
        <v>49</v>
      </c>
      <c r="M39" s="443" t="s">
        <v>2042</v>
      </c>
      <c r="N39" s="444" t="s">
        <v>2933</v>
      </c>
      <c r="O39" s="443" t="s">
        <v>2648</v>
      </c>
      <c r="P39" s="443" t="s">
        <v>2932</v>
      </c>
      <c r="Q39" s="484" t="s">
        <v>2955</v>
      </c>
    </row>
    <row r="40" spans="1:17" ht="24.95" customHeight="1" x14ac:dyDescent="0.25">
      <c r="A40" s="448">
        <v>43146</v>
      </c>
      <c r="B40" s="209" t="s">
        <v>2934</v>
      </c>
      <c r="C40" s="455" t="s">
        <v>170</v>
      </c>
      <c r="D40" s="103" t="s">
        <v>2935</v>
      </c>
      <c r="E40" s="103" t="s">
        <v>2936</v>
      </c>
      <c r="F40" s="260">
        <v>43146</v>
      </c>
      <c r="G40" s="104">
        <v>602.58000000000004</v>
      </c>
      <c r="H40" s="104">
        <v>100</v>
      </c>
      <c r="I40" s="106">
        <v>1020</v>
      </c>
      <c r="J40" s="464">
        <f t="shared" si="2"/>
        <v>16.927212984168072</v>
      </c>
      <c r="K40" s="467">
        <v>100</v>
      </c>
      <c r="L40" s="443" t="s">
        <v>212</v>
      </c>
      <c r="M40" s="443" t="s">
        <v>2121</v>
      </c>
      <c r="N40" s="444" t="s">
        <v>2681</v>
      </c>
      <c r="O40" s="443" t="s">
        <v>2846</v>
      </c>
      <c r="P40" s="443"/>
      <c r="Q40" s="484" t="s">
        <v>2955</v>
      </c>
    </row>
    <row r="41" spans="1:17" ht="24.95" customHeight="1" x14ac:dyDescent="0.25">
      <c r="A41" s="448">
        <v>43146</v>
      </c>
      <c r="B41" s="209" t="s">
        <v>2937</v>
      </c>
      <c r="C41" s="455" t="s">
        <v>170</v>
      </c>
      <c r="D41" s="103" t="s">
        <v>701</v>
      </c>
      <c r="E41" s="124" t="s">
        <v>2566</v>
      </c>
      <c r="F41" s="216">
        <v>43146</v>
      </c>
      <c r="G41" s="104" t="s">
        <v>2579</v>
      </c>
      <c r="H41" s="104"/>
      <c r="I41" s="106"/>
      <c r="J41" s="464" t="e">
        <f t="shared" si="2"/>
        <v>#VALUE!</v>
      </c>
      <c r="K41" s="467"/>
      <c r="L41" s="443"/>
      <c r="M41" s="443" t="s">
        <v>1613</v>
      </c>
      <c r="N41" s="444" t="s">
        <v>2681</v>
      </c>
      <c r="O41" s="443" t="s">
        <v>2648</v>
      </c>
      <c r="P41" s="443" t="s">
        <v>2938</v>
      </c>
      <c r="Q41" s="484" t="s">
        <v>2955</v>
      </c>
    </row>
    <row r="42" spans="1:17" ht="24.95" customHeight="1" x14ac:dyDescent="0.25">
      <c r="A42" s="448">
        <v>43147</v>
      </c>
      <c r="B42" s="209" t="s">
        <v>2709</v>
      </c>
      <c r="C42" s="455" t="s">
        <v>2939</v>
      </c>
      <c r="D42" s="103" t="s">
        <v>701</v>
      </c>
      <c r="E42" s="103" t="s">
        <v>806</v>
      </c>
      <c r="F42" s="216">
        <v>43147</v>
      </c>
      <c r="G42" s="104">
        <v>518.29999999999995</v>
      </c>
      <c r="H42" s="104">
        <v>10</v>
      </c>
      <c r="I42" s="106">
        <v>43.44</v>
      </c>
      <c r="J42" s="464">
        <f t="shared" si="2"/>
        <v>8.2974339185799728</v>
      </c>
      <c r="K42" s="467">
        <v>99</v>
      </c>
      <c r="L42" s="443" t="s">
        <v>49</v>
      </c>
      <c r="M42" s="443" t="s">
        <v>1613</v>
      </c>
      <c r="N42" s="444" t="s">
        <v>1493</v>
      </c>
      <c r="O42" s="443" t="s">
        <v>2846</v>
      </c>
      <c r="P42" s="443"/>
      <c r="Q42" s="484" t="s">
        <v>2978</v>
      </c>
    </row>
    <row r="43" spans="1:17" ht="24.95" customHeight="1" x14ac:dyDescent="0.25">
      <c r="A43" s="448">
        <v>43151</v>
      </c>
      <c r="B43" s="209" t="s">
        <v>2940</v>
      </c>
      <c r="C43" s="455" t="s">
        <v>40</v>
      </c>
      <c r="D43" s="103" t="s">
        <v>2529</v>
      </c>
      <c r="E43" s="124" t="s">
        <v>2530</v>
      </c>
      <c r="F43" s="260">
        <v>43047</v>
      </c>
      <c r="G43" s="126">
        <v>180.16</v>
      </c>
      <c r="H43" s="104">
        <v>100</v>
      </c>
      <c r="I43" s="106">
        <v>5.46</v>
      </c>
      <c r="J43" s="464">
        <f t="shared" si="2"/>
        <v>0.3006394316163411</v>
      </c>
      <c r="K43" s="467">
        <v>99.2</v>
      </c>
      <c r="L43" s="443" t="s">
        <v>212</v>
      </c>
      <c r="M43" s="443" t="s">
        <v>1600</v>
      </c>
      <c r="N43" s="444" t="s">
        <v>2535</v>
      </c>
      <c r="O43" s="443" t="s">
        <v>2648</v>
      </c>
      <c r="Q43" s="484" t="s">
        <v>2978</v>
      </c>
    </row>
    <row r="44" spans="1:17" ht="24.95" customHeight="1" x14ac:dyDescent="0.25">
      <c r="A44" s="448">
        <v>43152</v>
      </c>
      <c r="B44" s="450" t="s">
        <v>2869</v>
      </c>
      <c r="C44" s="457" t="s">
        <v>40</v>
      </c>
      <c r="D44" s="293" t="s">
        <v>1701</v>
      </c>
      <c r="E44" s="124" t="s">
        <v>2250</v>
      </c>
      <c r="F44" s="260">
        <v>43137</v>
      </c>
      <c r="G44" s="126">
        <v>526.75</v>
      </c>
      <c r="H44" s="374">
        <v>10</v>
      </c>
      <c r="I44" s="375">
        <v>0.8</v>
      </c>
      <c r="J44" s="464">
        <f t="shared" si="2"/>
        <v>0.15187470336972</v>
      </c>
      <c r="K44" s="466">
        <v>100</v>
      </c>
      <c r="L44" s="443" t="s">
        <v>212</v>
      </c>
      <c r="M44" s="218" t="s">
        <v>1600</v>
      </c>
      <c r="N44" s="444" t="s">
        <v>2925</v>
      </c>
      <c r="O44" s="443" t="s">
        <v>2846</v>
      </c>
      <c r="Q44" s="484" t="s">
        <v>2978</v>
      </c>
    </row>
    <row r="45" spans="1:17" ht="24.95" customHeight="1" x14ac:dyDescent="0.25">
      <c r="A45" s="448">
        <v>43152</v>
      </c>
      <c r="B45" s="451" t="s">
        <v>2870</v>
      </c>
      <c r="C45" s="458" t="s">
        <v>40</v>
      </c>
      <c r="D45" s="293" t="s">
        <v>1701</v>
      </c>
      <c r="E45" s="103" t="s">
        <v>2838</v>
      </c>
      <c r="F45" s="260">
        <v>43137</v>
      </c>
      <c r="G45" s="126">
        <v>428.57</v>
      </c>
      <c r="H45" s="374">
        <v>10</v>
      </c>
      <c r="I45" s="375">
        <v>2.4300000000000002</v>
      </c>
      <c r="J45" s="464">
        <f t="shared" si="2"/>
        <v>0.56700189000630008</v>
      </c>
      <c r="K45" s="466">
        <v>100</v>
      </c>
      <c r="L45" s="443" t="s">
        <v>212</v>
      </c>
      <c r="M45" s="218" t="s">
        <v>1600</v>
      </c>
      <c r="N45" s="444" t="s">
        <v>2925</v>
      </c>
      <c r="O45" s="443" t="s">
        <v>2648</v>
      </c>
      <c r="Q45" s="484" t="s">
        <v>2978</v>
      </c>
    </row>
    <row r="46" spans="1:17" ht="24.95" customHeight="1" x14ac:dyDescent="0.25">
      <c r="A46" s="448">
        <v>43152</v>
      </c>
      <c r="B46" s="451" t="s">
        <v>2943</v>
      </c>
      <c r="C46" s="458" t="s">
        <v>40</v>
      </c>
      <c r="D46" s="293" t="s">
        <v>1701</v>
      </c>
      <c r="E46" s="124" t="s">
        <v>2250</v>
      </c>
      <c r="F46" s="216">
        <v>43152</v>
      </c>
      <c r="G46" s="126">
        <v>526.75</v>
      </c>
      <c r="H46" s="374">
        <v>10</v>
      </c>
      <c r="I46" s="375">
        <v>1.9</v>
      </c>
      <c r="J46" s="464">
        <f t="shared" si="2"/>
        <v>0.36070242050308493</v>
      </c>
      <c r="K46" s="466">
        <v>100</v>
      </c>
      <c r="L46" s="443" t="s">
        <v>212</v>
      </c>
      <c r="M46" s="218" t="s">
        <v>1600</v>
      </c>
      <c r="N46" s="444" t="s">
        <v>2925</v>
      </c>
      <c r="O46" s="443" t="s">
        <v>2648</v>
      </c>
      <c r="P46" s="446" t="s">
        <v>2944</v>
      </c>
      <c r="Q46" s="484" t="s">
        <v>2978</v>
      </c>
    </row>
    <row r="47" spans="1:17" ht="24.95" customHeight="1" x14ac:dyDescent="0.25">
      <c r="A47" s="448">
        <v>43154</v>
      </c>
      <c r="B47" s="451" t="s">
        <v>2945</v>
      </c>
      <c r="C47" s="458" t="s">
        <v>1610</v>
      </c>
      <c r="D47" s="103" t="s">
        <v>701</v>
      </c>
      <c r="E47" s="293" t="s">
        <v>860</v>
      </c>
      <c r="F47" s="216">
        <v>43154</v>
      </c>
      <c r="G47" s="126">
        <v>336.28</v>
      </c>
      <c r="H47" s="374">
        <v>20</v>
      </c>
      <c r="I47" s="375">
        <v>48</v>
      </c>
      <c r="J47" s="464">
        <f t="shared" si="2"/>
        <v>7.0655406209111469</v>
      </c>
      <c r="K47" s="466">
        <v>99</v>
      </c>
      <c r="L47" s="443" t="s">
        <v>212</v>
      </c>
      <c r="M47" s="218" t="s">
        <v>2121</v>
      </c>
      <c r="N47" s="376" t="s">
        <v>2907</v>
      </c>
      <c r="O47" s="443" t="s">
        <v>2846</v>
      </c>
      <c r="Q47" s="484" t="s">
        <v>2978</v>
      </c>
    </row>
    <row r="48" spans="1:17" ht="24.95" customHeight="1" x14ac:dyDescent="0.25">
      <c r="A48" s="448">
        <v>43159</v>
      </c>
      <c r="B48" s="451" t="s">
        <v>2946</v>
      </c>
      <c r="C48" s="458" t="s">
        <v>40</v>
      </c>
      <c r="D48" s="293" t="s">
        <v>1368</v>
      </c>
      <c r="E48" s="293" t="s">
        <v>2941</v>
      </c>
      <c r="F48" s="216">
        <v>43159</v>
      </c>
      <c r="G48" s="126">
        <v>341.37</v>
      </c>
      <c r="H48" s="374">
        <v>10</v>
      </c>
      <c r="I48" s="375">
        <v>5.7</v>
      </c>
      <c r="J48" s="464">
        <f t="shared" si="2"/>
        <v>1.6697425081290096</v>
      </c>
      <c r="K48" s="466">
        <v>100</v>
      </c>
      <c r="L48" s="443" t="s">
        <v>212</v>
      </c>
      <c r="M48" s="218" t="s">
        <v>1600</v>
      </c>
      <c r="N48" s="376" t="s">
        <v>2720</v>
      </c>
      <c r="O48" s="443" t="s">
        <v>2846</v>
      </c>
      <c r="Q48" s="484" t="s">
        <v>2978</v>
      </c>
    </row>
    <row r="49" spans="1:17" ht="24.95" customHeight="1" x14ac:dyDescent="0.4">
      <c r="E49" s="777" t="s">
        <v>3172</v>
      </c>
      <c r="F49" s="777"/>
      <c r="G49" s="777"/>
      <c r="H49" s="777"/>
      <c r="I49" s="777"/>
      <c r="J49" s="777"/>
      <c r="Q49" s="218"/>
    </row>
    <row r="50" spans="1:17" s="523" customFormat="1" ht="24.95" customHeight="1" x14ac:dyDescent="0.25">
      <c r="A50" s="513"/>
      <c r="B50" s="514"/>
      <c r="C50" s="514"/>
      <c r="D50" s="515"/>
      <c r="E50" s="515"/>
      <c r="F50" s="516"/>
      <c r="G50" s="517"/>
      <c r="H50" s="518"/>
      <c r="I50" s="519"/>
      <c r="J50" s="520"/>
      <c r="K50" s="521"/>
      <c r="L50" s="522"/>
      <c r="M50" s="522"/>
      <c r="N50" s="522"/>
      <c r="O50" s="522"/>
    </row>
    <row r="51" spans="1:17" s="523" customFormat="1" ht="24.95" customHeight="1" x14ac:dyDescent="0.25">
      <c r="A51" s="513"/>
      <c r="B51" s="514"/>
      <c r="C51" s="514"/>
      <c r="D51" s="515"/>
      <c r="E51" s="515"/>
      <c r="F51" s="516"/>
      <c r="G51" s="517"/>
      <c r="H51" s="518"/>
      <c r="I51" s="519"/>
      <c r="J51" s="520"/>
      <c r="K51" s="521"/>
      <c r="L51" s="522"/>
      <c r="M51" s="522"/>
      <c r="N51" s="522"/>
      <c r="O51" s="522"/>
    </row>
    <row r="52" spans="1:17" s="523" customFormat="1" ht="24.95" customHeight="1" x14ac:dyDescent="0.25">
      <c r="A52" s="513"/>
      <c r="B52" s="514"/>
      <c r="C52" s="514"/>
      <c r="D52" s="524"/>
      <c r="E52" s="524"/>
      <c r="F52" s="516"/>
      <c r="G52" s="517"/>
      <c r="H52" s="518"/>
      <c r="I52" s="519"/>
      <c r="J52" s="520"/>
      <c r="K52" s="525"/>
      <c r="L52" s="522"/>
      <c r="M52" s="522"/>
      <c r="N52" s="522"/>
      <c r="O52" s="522"/>
    </row>
    <row r="53" spans="1:17" s="523" customFormat="1" ht="24.95" customHeight="1" x14ac:dyDescent="0.25">
      <c r="A53" s="513"/>
      <c r="B53" s="514"/>
      <c r="C53" s="514"/>
      <c r="D53" s="524"/>
      <c r="E53" s="524"/>
      <c r="F53" s="516"/>
      <c r="G53" s="517"/>
      <c r="H53" s="518"/>
      <c r="I53" s="519"/>
      <c r="J53" s="520"/>
      <c r="K53" s="525"/>
      <c r="L53" s="522"/>
      <c r="M53" s="522"/>
      <c r="N53" s="522"/>
      <c r="O53" s="522"/>
    </row>
    <row r="54" spans="1:17" s="523" customFormat="1" ht="24.95" customHeight="1" x14ac:dyDescent="0.25">
      <c r="A54" s="513"/>
      <c r="B54" s="526"/>
      <c r="C54" s="526"/>
      <c r="D54" s="515"/>
      <c r="E54" s="515"/>
      <c r="F54" s="516"/>
      <c r="G54" s="517"/>
      <c r="H54" s="518"/>
      <c r="I54" s="519"/>
      <c r="J54" s="520"/>
      <c r="K54" s="521"/>
      <c r="L54" s="522"/>
      <c r="M54" s="522"/>
      <c r="N54" s="522"/>
      <c r="O54" s="522"/>
    </row>
    <row r="55" spans="1:17" s="523" customFormat="1" ht="24.95" customHeight="1" x14ac:dyDescent="0.25">
      <c r="A55" s="513"/>
      <c r="B55" s="526"/>
      <c r="C55" s="526"/>
      <c r="D55" s="515"/>
      <c r="E55" s="515"/>
      <c r="F55" s="516"/>
      <c r="G55" s="517"/>
      <c r="H55" s="518"/>
      <c r="I55" s="519"/>
      <c r="J55" s="520"/>
      <c r="K55" s="521"/>
      <c r="L55" s="522"/>
      <c r="M55" s="522"/>
      <c r="N55" s="522"/>
      <c r="O55" s="522"/>
    </row>
    <row r="56" spans="1:17" s="523" customFormat="1" ht="24.95" customHeight="1" x14ac:dyDescent="0.25">
      <c r="A56" s="513"/>
      <c r="B56" s="514"/>
      <c r="C56" s="514"/>
      <c r="D56" s="515"/>
      <c r="E56" s="515"/>
      <c r="F56" s="516"/>
      <c r="G56" s="517"/>
      <c r="H56" s="518"/>
      <c r="I56" s="519"/>
      <c r="J56" s="520"/>
      <c r="K56" s="521"/>
      <c r="L56" s="522"/>
      <c r="N56" s="522"/>
      <c r="O56" s="522"/>
    </row>
    <row r="57" spans="1:17" s="523" customFormat="1" ht="24.95" customHeight="1" x14ac:dyDescent="0.25">
      <c r="A57" s="513"/>
      <c r="B57" s="514"/>
      <c r="C57" s="514"/>
      <c r="D57" s="515"/>
      <c r="E57" s="515"/>
      <c r="F57" s="516"/>
      <c r="G57" s="517"/>
      <c r="H57" s="518"/>
      <c r="I57" s="519"/>
      <c r="J57" s="520"/>
      <c r="K57" s="521"/>
      <c r="L57" s="522"/>
      <c r="N57" s="522"/>
      <c r="O57" s="522"/>
    </row>
    <row r="58" spans="1:17" s="523" customFormat="1" ht="24.95" customHeight="1" x14ac:dyDescent="0.25">
      <c r="A58" s="513"/>
      <c r="B58" s="514"/>
      <c r="C58" s="514"/>
      <c r="D58" s="515"/>
      <c r="E58" s="515"/>
      <c r="F58" s="516"/>
      <c r="G58" s="517"/>
      <c r="H58" s="518"/>
      <c r="I58" s="519"/>
      <c r="J58" s="520"/>
      <c r="K58" s="521"/>
      <c r="L58" s="522"/>
      <c r="N58" s="522"/>
      <c r="O58" s="522"/>
    </row>
    <row r="59" spans="1:17" s="523" customFormat="1" ht="24.95" customHeight="1" x14ac:dyDescent="0.25">
      <c r="A59" s="513"/>
      <c r="B59" s="514"/>
      <c r="C59" s="514"/>
      <c r="D59" s="515"/>
      <c r="E59" s="515"/>
      <c r="F59" s="516"/>
      <c r="G59" s="517"/>
      <c r="H59" s="518"/>
      <c r="I59" s="519"/>
      <c r="J59" s="520"/>
      <c r="K59" s="521"/>
      <c r="L59" s="522"/>
      <c r="N59" s="522"/>
      <c r="O59" s="522"/>
    </row>
    <row r="60" spans="1:17" s="523" customFormat="1" ht="24.95" customHeight="1" x14ac:dyDescent="0.25">
      <c r="A60" s="513"/>
      <c r="B60" s="514"/>
      <c r="C60" s="514"/>
      <c r="D60" s="515"/>
      <c r="E60" s="515"/>
      <c r="F60" s="516"/>
      <c r="G60" s="517"/>
      <c r="H60" s="518"/>
      <c r="I60" s="519"/>
      <c r="J60" s="520"/>
      <c r="K60" s="521"/>
      <c r="L60" s="522"/>
      <c r="N60" s="522"/>
      <c r="O60" s="522"/>
    </row>
    <row r="61" spans="1:17" s="523" customFormat="1" ht="24.95" customHeight="1" x14ac:dyDescent="0.25">
      <c r="A61" s="513"/>
      <c r="B61" s="514"/>
      <c r="C61" s="514"/>
      <c r="D61" s="515"/>
      <c r="E61" s="515"/>
      <c r="F61" s="516"/>
      <c r="G61" s="517"/>
      <c r="H61" s="518"/>
      <c r="I61" s="519"/>
      <c r="J61" s="520"/>
      <c r="K61" s="521"/>
      <c r="L61" s="522"/>
      <c r="N61" s="522"/>
      <c r="O61" s="522"/>
    </row>
    <row r="62" spans="1:17" s="523" customFormat="1" ht="24.95" customHeight="1" x14ac:dyDescent="0.25">
      <c r="A62" s="513"/>
      <c r="B62" s="514"/>
      <c r="C62" s="514"/>
      <c r="D62" s="515"/>
      <c r="E62" s="515"/>
      <c r="F62" s="516"/>
      <c r="G62" s="517"/>
      <c r="H62" s="518"/>
      <c r="I62" s="519"/>
      <c r="J62" s="520"/>
      <c r="K62" s="521"/>
      <c r="L62" s="522"/>
      <c r="N62" s="522"/>
      <c r="O62" s="522"/>
    </row>
    <row r="63" spans="1:17" s="523" customFormat="1" ht="24.95" customHeight="1" x14ac:dyDescent="0.25">
      <c r="A63" s="513"/>
      <c r="B63" s="514"/>
      <c r="C63" s="514"/>
      <c r="D63" s="515"/>
      <c r="E63" s="515"/>
      <c r="F63" s="516"/>
      <c r="G63" s="517"/>
      <c r="H63" s="518"/>
      <c r="I63" s="519"/>
      <c r="J63" s="520"/>
      <c r="K63" s="521"/>
      <c r="L63" s="522"/>
      <c r="N63" s="522"/>
      <c r="O63" s="522"/>
    </row>
    <row r="64" spans="1:17" s="523" customFormat="1" ht="24.95" customHeight="1" x14ac:dyDescent="0.25">
      <c r="A64" s="513"/>
      <c r="B64" s="514"/>
      <c r="C64" s="514"/>
      <c r="D64" s="515"/>
      <c r="E64" s="515"/>
      <c r="F64" s="516"/>
      <c r="G64" s="517"/>
      <c r="H64" s="518"/>
      <c r="I64" s="519"/>
      <c r="J64" s="520"/>
      <c r="K64" s="521"/>
      <c r="L64" s="522"/>
      <c r="N64" s="522"/>
      <c r="O64" s="522"/>
    </row>
    <row r="65" spans="1:15" s="523" customFormat="1" ht="24.95" customHeight="1" x14ac:dyDescent="0.25">
      <c r="A65" s="513"/>
      <c r="B65" s="514"/>
      <c r="C65" s="514"/>
      <c r="D65" s="515"/>
      <c r="E65" s="515"/>
      <c r="F65" s="516"/>
      <c r="G65" s="517"/>
      <c r="H65" s="518"/>
      <c r="I65" s="519"/>
      <c r="J65" s="520"/>
      <c r="K65" s="521"/>
      <c r="L65" s="522"/>
      <c r="N65" s="522"/>
      <c r="O65" s="522"/>
    </row>
    <row r="66" spans="1:15" s="523" customFormat="1" ht="24.95" customHeight="1" x14ac:dyDescent="0.25">
      <c r="A66" s="513"/>
      <c r="B66" s="514"/>
      <c r="C66" s="514"/>
      <c r="D66" s="515"/>
      <c r="E66" s="515"/>
      <c r="F66" s="516"/>
      <c r="G66" s="517"/>
      <c r="H66" s="518"/>
      <c r="I66" s="519"/>
      <c r="J66" s="520"/>
      <c r="K66" s="521"/>
      <c r="L66" s="522"/>
      <c r="N66" s="522"/>
      <c r="O66" s="522"/>
    </row>
    <row r="67" spans="1:15" s="523" customFormat="1" ht="24.95" customHeight="1" x14ac:dyDescent="0.25">
      <c r="A67" s="513"/>
      <c r="B67" s="514"/>
      <c r="C67" s="514"/>
      <c r="D67" s="515"/>
      <c r="E67" s="515"/>
      <c r="F67" s="516"/>
      <c r="G67" s="517"/>
      <c r="H67" s="518"/>
      <c r="I67" s="519"/>
      <c r="J67" s="520"/>
      <c r="K67" s="521"/>
      <c r="L67" s="522"/>
      <c r="N67" s="522"/>
      <c r="O67" s="522"/>
    </row>
    <row r="68" spans="1:15" s="523" customFormat="1" ht="24.95" customHeight="1" x14ac:dyDescent="0.25">
      <c r="A68" s="513"/>
      <c r="B68" s="514"/>
      <c r="C68" s="514"/>
      <c r="D68" s="515"/>
      <c r="E68" s="515"/>
      <c r="F68" s="516"/>
      <c r="G68" s="517"/>
      <c r="H68" s="518"/>
      <c r="I68" s="519"/>
      <c r="J68" s="520"/>
      <c r="K68" s="521"/>
      <c r="L68" s="522"/>
      <c r="N68" s="522"/>
      <c r="O68" s="522"/>
    </row>
    <row r="69" spans="1:15" s="523" customFormat="1" ht="24.95" customHeight="1" x14ac:dyDescent="0.25">
      <c r="A69" s="513"/>
      <c r="B69" s="514"/>
      <c r="C69" s="514"/>
      <c r="D69" s="515"/>
      <c r="E69" s="515"/>
      <c r="F69" s="516"/>
      <c r="G69" s="517"/>
      <c r="H69" s="518"/>
      <c r="I69" s="519"/>
      <c r="J69" s="520"/>
      <c r="K69" s="521"/>
      <c r="L69" s="522"/>
      <c r="N69" s="522"/>
      <c r="O69" s="522"/>
    </row>
    <row r="70" spans="1:15" s="523" customFormat="1" ht="24.95" customHeight="1" x14ac:dyDescent="0.25">
      <c r="A70" s="513"/>
      <c r="B70" s="514"/>
      <c r="C70" s="514"/>
      <c r="D70" s="515"/>
      <c r="E70" s="515"/>
      <c r="F70" s="516"/>
      <c r="G70" s="517"/>
      <c r="H70" s="518"/>
      <c r="I70" s="519"/>
      <c r="J70" s="520"/>
      <c r="K70" s="521"/>
      <c r="L70" s="522"/>
      <c r="N70" s="522"/>
      <c r="O70" s="522"/>
    </row>
    <row r="71" spans="1:15" s="523" customFormat="1" ht="24.95" customHeight="1" x14ac:dyDescent="0.25">
      <c r="A71" s="513"/>
      <c r="B71" s="514"/>
      <c r="C71" s="514"/>
      <c r="D71" s="515"/>
      <c r="E71" s="515"/>
      <c r="F71" s="516"/>
      <c r="G71" s="517"/>
      <c r="H71" s="518"/>
      <c r="I71" s="519"/>
      <c r="J71" s="520"/>
      <c r="K71" s="521"/>
      <c r="L71" s="522"/>
      <c r="N71" s="522"/>
      <c r="O71" s="522"/>
    </row>
    <row r="72" spans="1:15" s="523" customFormat="1" ht="24.95" customHeight="1" x14ac:dyDescent="0.25">
      <c r="A72" s="513"/>
      <c r="B72" s="514"/>
      <c r="C72" s="514"/>
      <c r="D72" s="515"/>
      <c r="E72" s="515"/>
      <c r="F72" s="516"/>
      <c r="G72" s="517"/>
      <c r="H72" s="518"/>
      <c r="I72" s="519"/>
      <c r="J72" s="520"/>
      <c r="K72" s="521"/>
      <c r="L72" s="522"/>
      <c r="N72" s="522"/>
      <c r="O72" s="522"/>
    </row>
    <row r="73" spans="1:15" s="523" customFormat="1" ht="24.95" customHeight="1" x14ac:dyDescent="0.25">
      <c r="A73" s="513"/>
      <c r="B73" s="514"/>
      <c r="C73" s="514"/>
      <c r="D73" s="515"/>
      <c r="E73" s="515"/>
      <c r="F73" s="516"/>
      <c r="G73" s="517"/>
      <c r="H73" s="518"/>
      <c r="I73" s="519"/>
      <c r="J73" s="520"/>
      <c r="K73" s="521"/>
      <c r="L73" s="522"/>
      <c r="N73" s="522"/>
      <c r="O73" s="522"/>
    </row>
    <row r="74" spans="1:15" s="523" customFormat="1" ht="24.95" customHeight="1" x14ac:dyDescent="0.25">
      <c r="A74" s="513"/>
      <c r="B74" s="514"/>
      <c r="C74" s="514"/>
      <c r="D74" s="515"/>
      <c r="E74" s="515"/>
      <c r="F74" s="516"/>
      <c r="G74" s="517"/>
      <c r="H74" s="518"/>
      <c r="I74" s="519"/>
      <c r="J74" s="520"/>
      <c r="K74" s="521"/>
      <c r="L74" s="522"/>
      <c r="N74" s="522"/>
      <c r="O74" s="522"/>
    </row>
    <row r="75" spans="1:15" s="523" customFormat="1" ht="24.95" customHeight="1" x14ac:dyDescent="0.25">
      <c r="A75" s="513"/>
      <c r="B75" s="514"/>
      <c r="C75" s="514"/>
      <c r="D75" s="515"/>
      <c r="E75" s="515"/>
      <c r="F75" s="516"/>
      <c r="G75" s="517"/>
      <c r="H75" s="518"/>
      <c r="I75" s="519"/>
      <c r="J75" s="520"/>
      <c r="K75" s="521"/>
      <c r="L75" s="522"/>
      <c r="N75" s="522"/>
      <c r="O75" s="522"/>
    </row>
    <row r="76" spans="1:15" s="523" customFormat="1" ht="24.95" customHeight="1" x14ac:dyDescent="0.25">
      <c r="A76" s="513"/>
      <c r="B76" s="514"/>
      <c r="C76" s="514"/>
      <c r="D76" s="515"/>
      <c r="E76" s="515"/>
      <c r="F76" s="516"/>
      <c r="G76" s="517"/>
      <c r="H76" s="518"/>
      <c r="I76" s="519"/>
      <c r="J76" s="520"/>
      <c r="K76" s="521"/>
      <c r="L76" s="522"/>
      <c r="N76" s="522"/>
      <c r="O76" s="522"/>
    </row>
    <row r="77" spans="1:15" s="523" customFormat="1" ht="24.95" customHeight="1" x14ac:dyDescent="0.25">
      <c r="A77" s="513"/>
      <c r="B77" s="514"/>
      <c r="C77" s="514"/>
      <c r="D77" s="515"/>
      <c r="E77" s="515"/>
      <c r="F77" s="516"/>
      <c r="G77" s="517"/>
      <c r="H77" s="518"/>
      <c r="I77" s="519"/>
      <c r="J77" s="520"/>
      <c r="K77" s="521"/>
      <c r="L77" s="522"/>
      <c r="N77" s="522"/>
      <c r="O77" s="522"/>
    </row>
    <row r="78" spans="1:15" s="523" customFormat="1" ht="24.95" customHeight="1" x14ac:dyDescent="0.25">
      <c r="A78" s="513"/>
      <c r="B78" s="514"/>
      <c r="C78" s="514"/>
      <c r="D78" s="515"/>
      <c r="E78" s="515"/>
      <c r="F78" s="516"/>
      <c r="G78" s="517"/>
      <c r="H78" s="518"/>
      <c r="I78" s="519"/>
      <c r="J78" s="520"/>
      <c r="K78" s="521"/>
      <c r="L78" s="522"/>
      <c r="N78" s="522"/>
      <c r="O78" s="522"/>
    </row>
    <row r="79" spans="1:15" s="523" customFormat="1" ht="24.95" customHeight="1" x14ac:dyDescent="0.25">
      <c r="A79" s="513"/>
      <c r="B79" s="514"/>
      <c r="C79" s="514"/>
      <c r="D79" s="515"/>
      <c r="E79" s="515"/>
      <c r="F79" s="516"/>
      <c r="G79" s="517"/>
      <c r="H79" s="518"/>
      <c r="I79" s="519"/>
      <c r="J79" s="520"/>
      <c r="K79" s="521"/>
      <c r="L79" s="522"/>
      <c r="N79" s="522"/>
      <c r="O79" s="522"/>
    </row>
    <row r="80" spans="1:15" s="523" customFormat="1" ht="24.95" customHeight="1" x14ac:dyDescent="0.25">
      <c r="A80" s="513"/>
      <c r="B80" s="514"/>
      <c r="C80" s="514"/>
      <c r="D80" s="515"/>
      <c r="E80" s="515"/>
      <c r="F80" s="516"/>
      <c r="G80" s="517"/>
      <c r="H80" s="518"/>
      <c r="I80" s="519"/>
      <c r="J80" s="520"/>
      <c r="K80" s="521"/>
      <c r="L80" s="522"/>
      <c r="N80" s="522"/>
      <c r="O80" s="522"/>
    </row>
    <row r="81" spans="1:15" s="523" customFormat="1" ht="24.95" customHeight="1" x14ac:dyDescent="0.25">
      <c r="A81" s="513"/>
      <c r="B81" s="514"/>
      <c r="C81" s="514"/>
      <c r="D81" s="515"/>
      <c r="E81" s="515"/>
      <c r="F81" s="516"/>
      <c r="G81" s="517"/>
      <c r="H81" s="518"/>
      <c r="I81" s="519"/>
      <c r="J81" s="520"/>
      <c r="K81" s="521"/>
      <c r="L81" s="522"/>
      <c r="N81" s="522"/>
      <c r="O81" s="522"/>
    </row>
    <row r="82" spans="1:15" s="523" customFormat="1" ht="24.95" customHeight="1" x14ac:dyDescent="0.25">
      <c r="A82" s="513"/>
      <c r="B82" s="514"/>
      <c r="C82" s="514"/>
      <c r="D82" s="515"/>
      <c r="E82" s="515"/>
      <c r="F82" s="516"/>
      <c r="G82" s="517"/>
      <c r="H82" s="518"/>
      <c r="I82" s="519"/>
      <c r="J82" s="520"/>
      <c r="K82" s="521"/>
      <c r="L82" s="522"/>
      <c r="N82" s="522"/>
      <c r="O82" s="522"/>
    </row>
    <row r="83" spans="1:15" s="523" customFormat="1" ht="24.95" customHeight="1" x14ac:dyDescent="0.25">
      <c r="A83" s="513"/>
      <c r="B83" s="514"/>
      <c r="C83" s="514"/>
      <c r="D83" s="515"/>
      <c r="E83" s="515"/>
      <c r="F83" s="516"/>
      <c r="G83" s="517"/>
      <c r="H83" s="518"/>
      <c r="I83" s="519"/>
      <c r="J83" s="520"/>
      <c r="K83" s="521"/>
      <c r="L83" s="522"/>
      <c r="N83" s="522"/>
      <c r="O83" s="522"/>
    </row>
    <row r="84" spans="1:15" s="523" customFormat="1" ht="24.95" customHeight="1" x14ac:dyDescent="0.25">
      <c r="A84" s="513"/>
      <c r="B84" s="514"/>
      <c r="C84" s="514"/>
      <c r="D84" s="515"/>
      <c r="E84" s="515"/>
      <c r="F84" s="516"/>
      <c r="G84" s="517"/>
      <c r="H84" s="518"/>
      <c r="I84" s="519"/>
      <c r="J84" s="520"/>
      <c r="K84" s="521"/>
      <c r="L84" s="522"/>
      <c r="N84" s="522"/>
      <c r="O84" s="522"/>
    </row>
    <row r="85" spans="1:15" s="523" customFormat="1" ht="24.95" customHeight="1" x14ac:dyDescent="0.25">
      <c r="A85" s="513"/>
      <c r="B85" s="514"/>
      <c r="C85" s="514"/>
      <c r="D85" s="515"/>
      <c r="E85" s="515"/>
      <c r="F85" s="516"/>
      <c r="G85" s="517"/>
      <c r="H85" s="518"/>
      <c r="I85" s="519"/>
      <c r="J85" s="520"/>
      <c r="K85" s="521"/>
      <c r="L85" s="522"/>
      <c r="N85" s="522"/>
      <c r="O85" s="522"/>
    </row>
    <row r="86" spans="1:15" s="523" customFormat="1" ht="24.95" customHeight="1" x14ac:dyDescent="0.25">
      <c r="A86" s="513"/>
      <c r="B86" s="514"/>
      <c r="C86" s="514"/>
      <c r="D86" s="515"/>
      <c r="E86" s="515"/>
      <c r="F86" s="516"/>
      <c r="G86" s="517"/>
      <c r="H86" s="518"/>
      <c r="I86" s="519"/>
      <c r="J86" s="520"/>
      <c r="K86" s="521"/>
      <c r="L86" s="522"/>
      <c r="N86" s="522"/>
      <c r="O86" s="522"/>
    </row>
    <row r="87" spans="1:15" s="523" customFormat="1" ht="24.95" customHeight="1" x14ac:dyDescent="0.25">
      <c r="A87" s="513"/>
      <c r="B87" s="514"/>
      <c r="C87" s="514"/>
      <c r="D87" s="515"/>
      <c r="E87" s="515"/>
      <c r="F87" s="516"/>
      <c r="G87" s="517"/>
      <c r="H87" s="518"/>
      <c r="I87" s="519"/>
      <c r="J87" s="520"/>
      <c r="K87" s="521"/>
      <c r="L87" s="522"/>
      <c r="N87" s="522"/>
      <c r="O87" s="522"/>
    </row>
    <row r="88" spans="1:15" s="523" customFormat="1" ht="24.95" customHeight="1" x14ac:dyDescent="0.25">
      <c r="A88" s="513"/>
      <c r="B88" s="514"/>
      <c r="C88" s="514"/>
      <c r="D88" s="515"/>
      <c r="E88" s="515"/>
      <c r="F88" s="516"/>
      <c r="G88" s="517"/>
      <c r="H88" s="518"/>
      <c r="I88" s="519"/>
      <c r="J88" s="520"/>
      <c r="K88" s="521"/>
      <c r="L88" s="522"/>
      <c r="N88" s="522"/>
      <c r="O88" s="522"/>
    </row>
    <row r="89" spans="1:15" s="523" customFormat="1" ht="24.95" customHeight="1" x14ac:dyDescent="0.25">
      <c r="A89" s="513"/>
      <c r="B89" s="514"/>
      <c r="C89" s="514"/>
      <c r="D89" s="515"/>
      <c r="E89" s="515"/>
      <c r="F89" s="516"/>
      <c r="G89" s="517"/>
      <c r="H89" s="518"/>
      <c r="I89" s="519"/>
      <c r="J89" s="520"/>
      <c r="K89" s="521"/>
      <c r="L89" s="522"/>
      <c r="N89" s="522"/>
      <c r="O89" s="522"/>
    </row>
    <row r="90" spans="1:15" s="523" customFormat="1" ht="24.95" customHeight="1" x14ac:dyDescent="0.25">
      <c r="A90" s="513"/>
      <c r="B90" s="514"/>
      <c r="C90" s="514"/>
      <c r="D90" s="515"/>
      <c r="E90" s="515"/>
      <c r="F90" s="516"/>
      <c r="G90" s="517"/>
      <c r="H90" s="518"/>
      <c r="I90" s="519"/>
      <c r="J90" s="520"/>
      <c r="K90" s="521"/>
      <c r="L90" s="522"/>
      <c r="N90" s="522"/>
      <c r="O90" s="522"/>
    </row>
    <row r="91" spans="1:15" s="523" customFormat="1" ht="24.95" customHeight="1" x14ac:dyDescent="0.25">
      <c r="A91" s="513"/>
      <c r="B91" s="514"/>
      <c r="C91" s="514"/>
      <c r="D91" s="515"/>
      <c r="E91" s="515"/>
      <c r="F91" s="516"/>
      <c r="G91" s="517"/>
      <c r="H91" s="518"/>
      <c r="I91" s="519"/>
      <c r="J91" s="520"/>
      <c r="K91" s="521"/>
      <c r="L91" s="522"/>
      <c r="N91" s="522"/>
      <c r="O91" s="522"/>
    </row>
    <row r="92" spans="1:15" s="523" customFormat="1" ht="24.95" customHeight="1" x14ac:dyDescent="0.25">
      <c r="A92" s="513"/>
      <c r="B92" s="514"/>
      <c r="C92" s="514"/>
      <c r="D92" s="515"/>
      <c r="E92" s="515"/>
      <c r="F92" s="516"/>
      <c r="G92" s="517"/>
      <c r="H92" s="518"/>
      <c r="I92" s="519"/>
      <c r="J92" s="520"/>
      <c r="K92" s="521"/>
      <c r="L92" s="522"/>
      <c r="N92" s="522"/>
      <c r="O92" s="522"/>
    </row>
    <row r="93" spans="1:15" s="523" customFormat="1" ht="24.95" customHeight="1" x14ac:dyDescent="0.25">
      <c r="A93" s="513"/>
      <c r="B93" s="514"/>
      <c r="C93" s="514"/>
      <c r="D93" s="515"/>
      <c r="E93" s="515"/>
      <c r="F93" s="516"/>
      <c r="G93" s="517"/>
      <c r="H93" s="518"/>
      <c r="I93" s="519"/>
      <c r="J93" s="520"/>
      <c r="K93" s="521"/>
      <c r="L93" s="522"/>
      <c r="N93" s="522"/>
      <c r="O93" s="522"/>
    </row>
  </sheetData>
  <mergeCells count="3">
    <mergeCell ref="A1:O1"/>
    <mergeCell ref="A2:O2"/>
    <mergeCell ref="E49:J49"/>
  </mergeCells>
  <conditionalFormatting sqref="L3:Q3">
    <cfRule type="cellIs" dxfId="454" priority="9" operator="equal">
      <formula>"sous surveillance"</formula>
    </cfRule>
  </conditionalFormatting>
  <conditionalFormatting sqref="K52:K53">
    <cfRule type="cellIs" dxfId="453" priority="7" operator="equal">
      <formula>"Conforme"</formula>
    </cfRule>
    <cfRule type="cellIs" dxfId="452" priority="8" operator="equal">
      <formula>"Non conforme"</formula>
    </cfRule>
  </conditionalFormatting>
  <conditionalFormatting sqref="K30">
    <cfRule type="cellIs" dxfId="451" priority="5" operator="equal">
      <formula>"Conforme"</formula>
    </cfRule>
    <cfRule type="cellIs" dxfId="450" priority="6" operator="equal">
      <formula>"Non conforme"</formula>
    </cfRule>
  </conditionalFormatting>
  <conditionalFormatting sqref="K37">
    <cfRule type="cellIs" dxfId="449" priority="3" operator="equal">
      <formula>"Conforme"</formula>
    </cfRule>
    <cfRule type="cellIs" dxfId="448" priority="4" operator="equal">
      <formula>"Non conforme"</formula>
    </cfRule>
  </conditionalFormatting>
  <conditionalFormatting sqref="K31">
    <cfRule type="cellIs" dxfId="447" priority="1" operator="equal">
      <formula>"Conforme"</formula>
    </cfRule>
    <cfRule type="cellIs" dxfId="446" priority="2" operator="equal">
      <formula>"Non conforme"</formula>
    </cfRule>
  </conditionalFormatting>
  <dataValidations count="6">
    <dataValidation type="list" allowBlank="1" showInputMessage="1" showErrorMessage="1" sqref="L12:L17">
      <formula1>"H2O mQ, DMSO, eq NaOH, EtOH, eq HCl,Citrate buffer, directly in ACSF, O2 sucrose"</formula1>
    </dataValidation>
    <dataValidation type="list" allowBlank="1" showInputMessage="1" showErrorMessage="1" sqref="L30:L31 L18:L25 L11 L4:L7 L36:L48 L50:L93">
      <formula1>"H2O mQ, DMSO, eq NaOH, EtOH, eq HCl,Citrate buffer, directly in ACSF"</formula1>
    </dataValidation>
    <dataValidation type="list" allowBlank="1" showInputMessage="1" showErrorMessage="1" sqref="L8:L10 L26:L29 L32:L35">
      <formula1>"Medium NBA, H2O mQ, DMSO, eq NaOH, EtOH, eq HCl,Citrate buffer, directly in ACSF"</formula1>
    </dataValidation>
    <dataValidation errorStyle="warning" allowBlank="1" showInputMessage="1" showErrorMessage="1" sqref="K52:K53 K30:K31 K37 L3:P3"/>
    <dataValidation type="list" allowBlank="1" showInputMessage="1" sqref="M43">
      <formula1>INDIRECT(C43)</formula1>
    </dataValidation>
    <dataValidation type="list" allowBlank="1" showInputMessage="1" showErrorMessage="1" sqref="O4:O48 O50:O93">
      <formula1>"Yes, No"</formula1>
    </dataValidation>
  </dataValidations>
  <pageMargins left="0.7" right="0.7" top="0.75" bottom="0.75" header="0.3" footer="0.3"/>
  <pageSetup paperSize="9" scale="3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18</vt:i4>
      </vt:variant>
      <vt:variant>
        <vt:lpstr>Plages nommées</vt:lpstr>
      </vt:variant>
      <vt:variant>
        <vt:i4>4</vt:i4>
      </vt:variant>
    </vt:vector>
  </HeadingPairs>
  <TitlesOfParts>
    <vt:vector size="22" baseType="lpstr">
      <vt:lpstr>Information</vt:lpstr>
      <vt:lpstr>Content</vt:lpstr>
      <vt:lpstr>Compound label </vt:lpstr>
      <vt:lpstr>Wheighing Board August 2016</vt:lpstr>
      <vt:lpstr>Aliquots label August 2016</vt:lpstr>
      <vt:lpstr>Template Aliquots label </vt:lpstr>
      <vt:lpstr>Template Wheighing Board  </vt:lpstr>
      <vt:lpstr>Wheighing Board January 2018</vt:lpstr>
      <vt:lpstr>Wheighing Board February 2018</vt:lpstr>
      <vt:lpstr>Wheighing Board March 2018</vt:lpstr>
      <vt:lpstr>Wheighing Board April 2018</vt:lpstr>
      <vt:lpstr>Wheighing Board May 2018</vt:lpstr>
      <vt:lpstr>Database</vt:lpstr>
      <vt:lpstr>Wheighing Board June 2018</vt:lpstr>
      <vt:lpstr>Wheighing Board July 2018</vt:lpstr>
      <vt:lpstr>Wheighing Board August 2018</vt:lpstr>
      <vt:lpstr>Wheighing Board September 2018</vt:lpstr>
      <vt:lpstr>Wheighing Board October 2018</vt:lpstr>
      <vt:lpstr>Information!OLE_LINK1</vt:lpstr>
      <vt:lpstr>Information!Zone_d_impression</vt:lpstr>
      <vt:lpstr>'Wheighing Board April 2018'!Zone_d_impression</vt:lpstr>
      <vt:lpstr>'Wheighing Board March 2018'!Zone_d_impression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Virginie Jan-Logassi</dc:creator>
  <cp:lastModifiedBy>Benjamin Stachera</cp:lastModifiedBy>
  <cp:lastPrinted>2018-08-02T10:10:24Z</cp:lastPrinted>
  <dcterms:created xsi:type="dcterms:W3CDTF">2013-07-29T15:24:04Z</dcterms:created>
  <dcterms:modified xsi:type="dcterms:W3CDTF">2018-10-04T15:48:54Z</dcterms:modified>
</cp:coreProperties>
</file>