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d9edEKYGABxw86v0A48TpY1LzYejV4nHsqAPF9Tu1o8rkpNP2baiAYwrwRDX99rE9etpNSGTm6qGyUj/+wCIZQ==" workbookSaltValue="9q4iaItZ1OWUf9pQfKh6rg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<sst xmlns="http://schemas.openxmlformats.org/spreadsheetml/2006/main" count="2004" uniqueCount="611">
  <si>
    <t>OIL_GAS_MINING INC — NATURAL RESOURCES, OIL, GAS &amp; MINING EXECUTIVE DASHBOARD</t>
  </si>
  <si>
    <t>Interactive Energy &amp; Heavy Extraction BI Model • Dynamic Live Formulas &amp; Visual Analytics • Generated: 2026-10-23 • Status: Final Verified</t>
  </si>
  <si>
    <t>Basin / Concession Area:</t>
  </si>
  <si>
    <t>All Basins</t>
  </si>
  <si>
    <t>Channel:</t>
  </si>
  <si>
    <t>All Channels</t>
  </si>
  <si>
    <t>💡 Tip: Select dropdown in C4 (Basin / Concession Area) or G4 (Channel) in Excel to recalculate entire dashboard dynamically!</t>
  </si>
  <si>
    <t>TOTAL UPSTREAM PRODUCTION REVENUE</t>
  </si>
  <si>
    <t>NET CRACK SPREAD &amp; REFINING MARGIN</t>
  </si>
  <si>
    <t>EXTRACTION SAFETY ADHERENCE %</t>
  </si>
  <si>
    <t>ACTIVE RIG FIELDS / MINERAL LEASES</t>
  </si>
  <si>
    <t>TOTAL BARRELS / TONS PRODUCED</t>
  </si>
  <si>
    <t>AVG PRODUCTION COST PER BARREL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</si>
  <si>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</si>
  <si>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</si>
  <si>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</si>
  <si>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</si>
  <si>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</si>
  <si>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</si>
  <si>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</si>
  <si>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</si>
  <si>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UPSTREAM PRODUCTION REVENUE &amp; NET CRACK SPREAD &amp; REFINING MARGIN RUN-RATE SUMMARY</t>
  </si>
  <si>
    <t>BASIN / CONCESSION AREA PERFORMANCE SCORECARD</t>
  </si>
  <si>
    <t>Period</t>
  </si>
  <si>
    <t>Upstream Production Revenue ($)</t>
  </si>
  <si>
    <t>Direct Cost ($)</t>
  </si>
  <si>
    <t>Net Crack Spread &amp; Refining Margin ($)</t>
  </si>
  <si>
    <t>Extraction Safety Adherence %</t>
  </si>
  <si>
    <t>Volume</t>
  </si>
  <si>
    <t>In-Cell Trend</t>
  </si>
  <si>
    <t>Basin / Concession Area</t>
  </si>
  <si>
    <t>Orders</t>
  </si>
  <si>
    <t>Actual Upstream Production Revenue</t>
  </si>
  <si>
    <t>Total COGS</t>
  </si>
  <si>
    <t>Gross Margin %</t>
  </si>
  <si>
    <t>Net Crack Spread &amp; Refining Margin</t>
  </si>
  <si>
    <t>Profitability</t>
  </si>
  <si>
    <t>Jan '24</t>
  </si>
  <si>
    <t>Bakken Formation</t>
  </si>
  <si>
    <t>Feb '24</t>
  </si>
  <si>
    <t>Permian Delaware Basin</t>
  </si>
  <si>
    <t>Mar '24</t>
  </si>
  <si>
    <t>Athabasca Resource Zone</t>
  </si>
  <si>
    <t>Apr '24</t>
  </si>
  <si>
    <t>Eagle Ford Shale Play</t>
  </si>
  <si>
    <t>May '24</t>
  </si>
  <si>
    <t>Total:</t>
  </si>
  <si>
    <t>100% Portfolio</t>
  </si>
  <si>
    <t>Jun '24</t>
  </si>
  <si>
    <t>TOP STRATEGIC RIG ASSET / EXTRACTION WELLS BY VALUE</t>
  </si>
  <si>
    <t>Jul '24</t>
  </si>
  <si>
    <t>Rig Asset / Extraction Well</t>
  </si>
  <si>
    <t>Tier</t>
  </si>
  <si>
    <t>Revenue</t>
  </si>
  <si>
    <t>Health</t>
  </si>
  <si>
    <t>Aug '24</t>
  </si>
  <si>
    <t>Rio Tinto Critical Minerals</t>
  </si>
  <si>
    <t>Corporate</t>
  </si>
  <si>
    <t>Optimal</t>
  </si>
  <si>
    <t>Sep '24</t>
  </si>
  <si>
    <t>Shell Integrated Gas Ventures</t>
  </si>
  <si>
    <t>Strategic</t>
  </si>
  <si>
    <t>Nov '24</t>
  </si>
  <si>
    <t>TotalEnergies Subsea R&amp;D</t>
  </si>
  <si>
    <t>Mid-Market</t>
  </si>
  <si>
    <t>Dec '24</t>
  </si>
  <si>
    <t>Chevron Global Upstream</t>
  </si>
  <si>
    <t>Jan '25</t>
  </si>
  <si>
    <t>BHP Billiton Metals Exploration</t>
  </si>
  <si>
    <t>Stable</t>
  </si>
  <si>
    <t>Total LTM:</t>
  </si>
  <si>
    <t>100.0%</t>
  </si>
  <si>
    <t>Top Strategic Total:</t>
  </si>
  <si>
    <t>5 Accounts</t>
  </si>
  <si>
    <t>100% Retained</t>
  </si>
  <si>
    <t>COMMODITY RESOURCE TYPE PORTFOLIO &amp; MARGIN DIRECTORY</t>
  </si>
  <si>
    <t>CHANNEL UPSTREAM PRODUCTION REVENUE DISTRIBUTION &amp; MIX MATRIX</t>
  </si>
  <si>
    <t>Commodity Resource Type</t>
  </si>
  <si>
    <t>Volume / Units</t>
  </si>
  <si>
    <t>Upstream Production Revenue</t>
  </si>
  <si>
    <t>Share %</t>
  </si>
  <si>
    <t>Volume Bar</t>
  </si>
  <si>
    <t>Channel</t>
  </si>
  <si>
    <t>Volume Mix</t>
  </si>
  <si>
    <t>Channel Upstream Production Revenue</t>
  </si>
  <si>
    <t>Est. Net Crack Spread &amp; Refining Margin</t>
  </si>
  <si>
    <t>Margin %</t>
  </si>
  <si>
    <t>Status</t>
  </si>
  <si>
    <t>Mix Bar</t>
  </si>
  <si>
    <t>Drilling Hardware</t>
  </si>
  <si>
    <t>Export LNG Terminal</t>
  </si>
  <si>
    <t>Primary</t>
  </si>
  <si>
    <t>■■■■■</t>
  </si>
  <si>
    <t>Gas Processing</t>
  </si>
  <si>
    <t>Spot Commodity Clearing</t>
  </si>
  <si>
    <t>Growing</t>
  </si>
  <si>
    <t>■■■■</t>
  </si>
  <si>
    <t>Critical Minerals</t>
  </si>
  <si>
    <t>Long-Term Pipeline Offtake</t>
  </si>
  <si>
    <t>■■■</t>
  </si>
  <si>
    <t>Exploration Geo</t>
  </si>
  <si>
    <t>Other Channels</t>
  </si>
  <si>
    <t>Optimized</t>
  </si>
  <si>
    <t>Pipeline Transport</t>
  </si>
  <si>
    <t>Total Channel Mix:</t>
  </si>
  <si>
    <t>Total Commodity Resource Type:</t>
  </si>
  <si>
    <t>✓ 100% of Channel Revenue is dynamically validated against the Transaction Ledger</t>
  </si>
  <si>
    <t>NATURAL RESOURCES, OIL, GAS &amp; MINING STRATEGIC INTELLIGENCE BRIEFING &amp; C-SUITE MEMO</t>
  </si>
  <si>
    <t>💡 Core Revenue Driver</t>
  </si>
  <si>
    <t>Top Category (Drilling Hardware) drives 37.9% of total revenue.</t>
  </si>
  <si>
    <t>Strong enterprise software adoption and expansion across strategic tier accounts have expanded gross margins to 63.5%.</t>
  </si>
  <si>
    <t>🌍 Regional Performance</t>
  </si>
  <si>
    <t>Bakken Formation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</si>
  <si>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</si>
  <si>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</si>
  <si>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63.5%, beating initial corporate budget targets by +2.8 bps.</t>
  </si>
  <si>
    <t>Discounting remained disciplined across Export LNG Terminal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</si>
  <si>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</si>
  <si>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</si>
  <si>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</si>
  <si>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</si>
  <si>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</si>
  <si>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</si>
  <si>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</si>
  <si>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OIL_GAS_MINING INC — NATURAL RESOURCES, OIL, GAS &amp; MINING PIVOT ANALYSIS &amp; MATRIX</t>
  </si>
  <si>
    <t>Dynamic Aggregate Pivot Engine • Interactive Formulas • Multi-Dimensional Matrix Calculations with Native Visual Pivot Charts</t>
  </si>
  <si>
    <t>💡 Tip: Select C4 (Basin / Concession Area) or F4 (Channel) to filter all Pivot Tables &amp; adjacent Pivot Charts dynamically!</t>
  </si>
  <si>
    <t>PIVOT TABLE 1: BASIN / CONCESSION AREA BY CHANNEL CROSS-TABULATION MATRIX</t>
  </si>
  <si>
    <t>Total Upstream Production Revenue</t>
  </si>
  <si>
    <t>Total Net Crack Spread &amp; Refining Margin</t>
  </si>
  <si>
    <t>Blended Margin</t>
  </si>
  <si>
    <t>Total Basin / Concession Area Upstream Production Revenue:</t>
  </si>
  <si>
    <t>PIVOT TABLE 2: COMMODITY RESOURCE TYPE PORTFOLIO BY BASIN / CONCESSION AREA</t>
  </si>
  <si>
    <t>Total Active Rig Fields / Mineral Leases</t>
  </si>
  <si>
    <t>Total Commodity Resource Type Portfolio:</t>
  </si>
  <si>
    <t>PIVOT TABLE 3: FISCAL QUARTERLY TOTAL UPSTREAM PRODUCTION REVENUE &amp; NET CRACK SPREAD &amp; REFINING MARGIN RUN-RATE</t>
  </si>
  <si>
    <t>Fiscal Quarter</t>
  </si>
  <si>
    <t>Total Direct Cost</t>
  </si>
  <si>
    <t>Deals Closed</t>
  </si>
  <si>
    <t>Avg Production Cost per Barrel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</si>
  <si>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</si>
  <si>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</si>
  <si>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</si>
  <si>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</si>
  <si>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</si>
  <si>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</si>
  <si>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</si>
  <si>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OIL_GAS_MINING INC — NATURAL RESOURCES, OIL, GAS &amp; MINING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</si>
  <si>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</si>
  <si>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</si>
  <si>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</si>
  <si>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</si>
  <si>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</si>
  <si>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</si>
  <si>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</si>
  <si>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</si>
  <si>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</si>
  <si>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</si>
  <si>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</si>
  <si>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</si>
  <si>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</si>
  <si>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</si>
  <si>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</si>
  <si>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</si>
  <si>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</si>
  <si>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</si>
  <si>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</si>
  <si>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</si>
  <si>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</si>
  <si>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</si>
  <si>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</si>
  <si>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</si>
  <si>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</si>
  <si>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</si>
  <si>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</si>
  <si>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</si>
  <si>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CUST-928</t>
  </si>
  <si>
    <t>Enterprise Strategic</t>
  </si>
  <si>
    <t>Natural Gas &amp; LNG</t>
  </si>
  <si>
    <t>United States</t>
  </si>
  <si>
    <t>Corporate Center</t>
  </si>
  <si>
    <t>Elena Rostova</t>
  </si>
  <si>
    <t>OGM-EXC-04</t>
  </si>
  <si>
    <t>Heavy Duty 40-Ton Hydraulic Bucket</t>
  </si>
  <si>
    <t>Mining Equipment</t>
  </si>
  <si>
    <t>Annual Prepaid</t>
  </si>
  <si>
    <t>Completed</t>
  </si>
  <si>
    <t>TX-2025-0033</t>
  </si>
  <si>
    <t>2024-01-22</t>
  </si>
  <si>
    <t>CUST-664</t>
  </si>
  <si>
    <t>Copper &amp; Iron Ore</t>
  </si>
  <si>
    <t>Liam O'Connor</t>
  </si>
  <si>
    <t>OGM-VLV-05</t>
  </si>
  <si>
    <t>High-Pressure Pipeline Subsea Choke Valve</t>
  </si>
  <si>
    <t>Credit Card / ACH</t>
  </si>
  <si>
    <t>TX-2024-0028</t>
  </si>
  <si>
    <t>2024-01-25</t>
  </si>
  <si>
    <t>CUST-306</t>
  </si>
  <si>
    <t>Global Mining</t>
  </si>
  <si>
    <t>Mateo Alvarez</t>
  </si>
  <si>
    <t>Refinery Direct Supply</t>
  </si>
  <si>
    <t>OGM-LIT-03</t>
  </si>
  <si>
    <t>Refined Battery-Grade Lithium Carbonate</t>
  </si>
  <si>
    <t>TX-2024-0010</t>
  </si>
  <si>
    <t>2024-01-27</t>
  </si>
  <si>
    <t>Operations Center</t>
  </si>
  <si>
    <t>TX-2025-0076</t>
  </si>
  <si>
    <t>2024-01-29</t>
  </si>
  <si>
    <t>CUST-119</t>
  </si>
  <si>
    <t>Integrated Oil</t>
  </si>
  <si>
    <t>Marcus Vance</t>
  </si>
  <si>
    <t>OGM-SEI-06</t>
  </si>
  <si>
    <t>Ocean Bottom 3D Seismic Reservoir Scan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</si>
  <si>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</si>
  <si>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</si>
  <si>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</si>
  <si>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</si>
  <si>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</si>
  <si>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</si>
  <si>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</si>
  <si>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</si>
  <si>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</si>
  <si>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</si>
  <si>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</si>
  <si>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Industrial Bulk Wholesale</t>
  </si>
  <si>
    <t>OGM-SUB-01</t>
  </si>
  <si>
    <t>Deepwater Subsea Xmas Tree Wellhead</t>
  </si>
  <si>
    <t>TX-2024-0059</t>
  </si>
  <si>
    <t>2024-02-15</t>
  </si>
  <si>
    <t>Gulf of Mexico Deepwater</t>
  </si>
  <si>
    <t>Chloe Dubois</t>
  </si>
  <si>
    <t>TX-2025-0052</t>
  </si>
  <si>
    <t>2024-02-27</t>
  </si>
  <si>
    <t>CUST-407</t>
  </si>
  <si>
    <t>ExxonMobil Deepwater Production</t>
  </si>
  <si>
    <t>Petroleum Exploration</t>
  </si>
  <si>
    <t>OGM-LNG-02</t>
  </si>
  <si>
    <t>Cryogenic LNG Liquefaction Compressor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</si>
  <si>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</si>
  <si>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</si>
  <si>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</si>
  <si>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</si>
  <si>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</si>
  <si>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</si>
  <si>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</si>
  <si>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</si>
  <si>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</si>
  <si>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</si>
  <si>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CUST-363</t>
  </si>
  <si>
    <t>Energy Conglomerate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</si>
  <si>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</si>
  <si>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</si>
  <si>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</si>
  <si>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</si>
  <si>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</si>
  <si>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</si>
  <si>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</si>
  <si>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</si>
  <si>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</si>
  <si>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</si>
  <si>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</si>
  <si>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</si>
  <si>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</si>
  <si>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</si>
  <si>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</si>
  <si>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</si>
  <si>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</si>
  <si>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</si>
  <si>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</si>
  <si>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</si>
  <si>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</si>
  <si>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</si>
  <si>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</si>
  <si>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</si>
  <si>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</si>
  <si>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</si>
  <si>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</si>
  <si>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</si>
  <si>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</si>
  <si>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</si>
  <si>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</si>
  <si>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</si>
  <si>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</si>
  <si>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</si>
  <si>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</si>
  <si>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</si>
  <si>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</si>
  <si>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</si>
  <si>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</si>
  <si>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</si>
  <si>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</si>
  <si>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</si>
  <si>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</si>
  <si>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</si>
  <si>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</si>
  <si>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</si>
  <si>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</si>
  <si>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</si>
  <si>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</si>
  <si>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</si>
  <si>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</si>
  <si>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</si>
  <si>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</si>
  <si>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</si>
  <si>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</si>
  <si>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</si>
  <si>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</si>
  <si>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</si>
  <si>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</si>
  <si>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</si>
  <si>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</si>
  <si>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</si>
  <si>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</si>
  <si>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</si>
  <si>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</si>
  <si>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</si>
  <si>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</si>
  <si>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</si>
  <si>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</si>
  <si>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</si>
  <si>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</si>
  <si>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</si>
  <si>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</si>
  <si>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</si>
  <si>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</si>
  <si>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</si>
  <si>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</si>
  <si>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</si>
  <si>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</si>
  <si>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</si>
  <si>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</si>
  <si>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</si>
  <si>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</si>
  <si>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</si>
  <si>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</si>
  <si>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</si>
  <si>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</si>
  <si>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</si>
  <si>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</si>
  <si>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</si>
  <si>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</si>
  <si>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</si>
  <si>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</si>
  <si>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</si>
  <si>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</si>
  <si>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</si>
  <si>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</si>
  <si>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</si>
  <si>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</si>
  <si>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</si>
  <si>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</si>
  <si>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</si>
  <si>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</si>
  <si>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</si>
  <si>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</si>
  <si>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</si>
  <si>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</si>
  <si>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</si>
  <si>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</si>
  <si>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</si>
  <si>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</si>
  <si>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</si>
  <si>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</si>
  <si>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</si>
  <si>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</si>
  <si>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</si>
  <si>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</si>
  <si>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</si>
  <si>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</si>
  <si>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</si>
  <si>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</si>
  <si>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</si>
  <si>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</si>
  <si>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</si>
  <si>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</si>
  <si>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</si>
  <si>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</si>
  <si>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</si>
  <si>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</si>
  <si>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</si>
  <si>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</si>
  <si>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BASIN / CONCESSION AREA REGIONAL PERFORMANCE &amp; AUDIT DIRECTORY</t>
  </si>
  <si>
    <t>Operating Territory &amp; Cities Covered</t>
  </si>
  <si>
    <t>Total Orders</t>
  </si>
  <si>
    <t>Total Units Sold</t>
  </si>
  <si>
    <t>Actual Total Upstream Production Revenue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</si>
  <si>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</si>
  <si>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</si>
  <si>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</si>
  <si>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</si>
  <si>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</si>
  <si>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</si>
  <si>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</si>
  <si>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NATURAL RESOURCES, OIL, GAS &amp; MINING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</si>
  <si>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</si>
  <si>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</si>
  <si>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</si>
  <si>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</si>
  <si>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</si>
  <si>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</si>
  <si>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</si>
  <si>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</si>
  <si>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</si>
  <si>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</si>
  <si>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</si>
  <si>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</si>
  <si>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</si>
  <si>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</si>
  <si>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RIG ASSET / EXTRACTION WELLS (RANKED BY UPLOADED PERIOD NET SALES)</t>
  </si>
  <si>
    <t>Account ID</t>
  </si>
  <si>
    <t>Rig Asset / Extraction Well Organization</t>
  </si>
  <si>
    <t>Tier Segment</t>
  </si>
  <si>
    <t>Primary Region</t>
  </si>
  <si>
    <t>Primary City</t>
  </si>
  <si>
    <t>Order Count</t>
  </si>
  <si>
    <t>Units Purchased</t>
  </si>
  <si>
    <t>Period Total Upstream Production Revenue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</si>
  <si>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</si>
  <si>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</si>
  <si>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</si>
  <si>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</si>
  <si>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</si>
  <si>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</si>
  <si>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</si>
  <si>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</si>
  <si>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</si>
  <si>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</si>
  <si>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</si>
  <si>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</si>
  <si>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</si>
  <si>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</si>
  <si>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</si>
  <si>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2026-10-23T10:59:38.647Z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</si>
  <si>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</si>
  <si>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</si>
  <si>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</si>
  <si>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</si>
  <si>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</si>
  <si>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oil_gas_mining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</si>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</sst>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92400E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92400E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92400E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451A03"/>
      </patternFill>
    </fill>
    <fill>
      <patternFill patternType="solid">
        <fgColor rgb="FFFEF3C7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451A03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451A03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Upstream Production Revenue &amp; Net Crack Spread &amp; Refining Margin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Upstream Production Revenue ($)</c:v>
                </c:pt>
              </c:strCache>
            </c:strRef>
          </c:tx>
          <c:spPr>
            <a:solidFill>
              <a:srgbClr val="B45309"/>
            </a:solidFill>
            <a:ln w="9525">
              <a:solidFill>
                <a:srgbClr val="B45309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70670</c:v>
                </c:pt>
                <c:pt idx="1">
                  <c:v>188250</c:v>
                </c:pt>
                <c:pt idx="2">
                  <c:v>77090</c:v>
                </c:pt>
                <c:pt idx="3">
                  <c:v>483600</c:v>
                </c:pt>
                <c:pt idx="4">
                  <c:v>321375</c:v>
                </c:pt>
                <c:pt idx="5">
                  <c:v>110425</c:v>
                </c:pt>
                <c:pt idx="6">
                  <c:v>226315</c:v>
                </c:pt>
                <c:pt idx="7">
                  <c:v>272750</c:v>
                </c:pt>
                <c:pt idx="8">
                  <c:v>163470</c:v>
                </c:pt>
                <c:pt idx="9">
                  <c:v>135170</c:v>
                </c:pt>
                <c:pt idx="10">
                  <c:v>300450</c:v>
                </c:pt>
                <c:pt idx="11">
                  <c:v>360000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Crack Spread &amp; Refining Margin ($)</c:v>
                </c:pt>
              </c:strCache>
            </c:strRef>
          </c:tx>
          <c:spPr>
            <a:solidFill>
              <a:srgbClr val="475569"/>
            </a:solidFill>
            <a:ln w="9525">
              <a:solidFill>
                <a:srgbClr val="475569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46470</c:v>
                </c:pt>
                <c:pt idx="1">
                  <c:v>123250</c:v>
                </c:pt>
                <c:pt idx="2">
                  <c:v>50590</c:v>
                </c:pt>
                <c:pt idx="3">
                  <c:v>297800</c:v>
                </c:pt>
                <c:pt idx="4">
                  <c:v>204575</c:v>
                </c:pt>
                <c:pt idx="5">
                  <c:v>70125</c:v>
                </c:pt>
                <c:pt idx="6">
                  <c:v>147415</c:v>
                </c:pt>
                <c:pt idx="7">
                  <c:v>172550</c:v>
                </c:pt>
                <c:pt idx="8">
                  <c:v>107170</c:v>
                </c:pt>
                <c:pt idx="9">
                  <c:v>86970</c:v>
                </c:pt>
                <c:pt idx="10">
                  <c:v>187450</c:v>
                </c:pt>
                <c:pt idx="11">
                  <c:v>224200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Upstream Production Revenue Contribution by Commodity Resource Type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Upstream Production Revenue</c:v>
                </c:pt>
              </c:strCache>
            </c:strRef>
          </c:tx>
          <c:dPt>
            <c:idx val="0"/>
            <c:spPr>
              <a:solidFill>
                <a:srgbClr val="B45309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47556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64748B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Drilling Hardware</c:v>
                </c:pt>
                <c:pt idx="1">
                  <c:v>Gas Processing</c:v>
                </c:pt>
                <c:pt idx="2">
                  <c:v>Critical Minerals</c:v>
                </c:pt>
                <c:pt idx="3">
                  <c:v>Exploration Geo</c:v>
                </c:pt>
                <c:pt idx="4">
                  <c:v>Pipeline Transport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1427500</c:v>
                </c:pt>
                <c:pt idx="1">
                  <c:v>819000</c:v>
                </c:pt>
                <c:pt idx="2">
                  <c:v>573825</c:v>
                </c:pt>
                <c:pt idx="3">
                  <c:v>552500</c:v>
                </c:pt>
                <c:pt idx="4">
                  <c:v>231460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Basin / Concession Area Performance (Total Upstream Production Revenue &amp; Net Crack Spread &amp; Refining Margin)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Upstream Production Revenue</c:v>
                </c:pt>
              </c:strCache>
            </c:strRef>
          </c:tx>
          <c:spPr>
            <a:solidFill>
              <a:srgbClr val="B45309"/>
            </a:solidFill>
            <a:ln w="9525">
              <a:solidFill>
                <a:srgbClr val="B45309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Bakken Formation</c:v>
                </c:pt>
                <c:pt idx="1">
                  <c:v>Permian Delaware Basin</c:v>
                </c:pt>
                <c:pt idx="2">
                  <c:v>Athabasca Resource Zone</c:v>
                </c:pt>
                <c:pt idx="3">
                  <c:v>Eagle Ford Shale Play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869830</c:v>
                </c:pt>
                <c:pt idx="1">
                  <c:v>1057245</c:v>
                </c:pt>
                <c:pt idx="2">
                  <c:v>849275</c:v>
                </c:pt>
                <c:pt idx="3">
                  <c:v>744675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Crack Spread &amp; Refining Margin</c:v>
                </c:pt>
              </c:strCache>
            </c:strRef>
          </c:tx>
          <c:spPr>
            <a:solidFill>
              <a:srgbClr val="475569"/>
            </a:solidFill>
            <a:ln w="9525">
              <a:solidFill>
                <a:srgbClr val="475569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Bakken Formation</c:v>
                </c:pt>
                <c:pt idx="1">
                  <c:v>Permian Delaware Basin</c:v>
                </c:pt>
                <c:pt idx="2">
                  <c:v>Athabasca Resource Zone</c:v>
                </c:pt>
                <c:pt idx="3">
                  <c:v>Eagle Ford Shale Play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562330</c:v>
                </c:pt>
                <c:pt idx="1">
                  <c:v>670145</c:v>
                </c:pt>
                <c:pt idx="2">
                  <c:v>544975</c:v>
                </c:pt>
                <c:pt idx="3">
                  <c:v>456575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Upstream Production Revenue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Upstream Production Revenue</c:v>
                </c:pt>
              </c:strCache>
            </c:strRef>
          </c:tx>
          <c:dPt>
            <c:idx val="0"/>
            <c:spPr>
              <a:solidFill>
                <a:srgbClr val="B45309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47556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Export LNG Terminal</c:v>
                </c:pt>
                <c:pt idx="1">
                  <c:v>Spot Commodity Clearing</c:v>
                </c:pt>
                <c:pt idx="2">
                  <c:v>Refinery Direct Supply</c:v>
                </c:pt>
                <c:pt idx="3">
                  <c:v>Long-Term Pipeline Offtake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1194420</c:v>
                </c:pt>
                <c:pt idx="1">
                  <c:v>1004910</c:v>
                </c:pt>
                <c:pt idx="2">
                  <c:v>448065</c:v>
                </c:pt>
                <c:pt idx="3">
                  <c:v>826730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Basin / Concession Area Total Upstream Production Revenue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Export LNG Terminal</c:v>
                </c:pt>
              </c:strCache>
            </c:strRef>
          </c:tx>
          <c:spPr>
            <a:solidFill>
              <a:srgbClr val="B45309"/>
            </a:solidFill>
            <a:ln w="9525">
              <a:solidFill>
                <a:srgbClr val="B45309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Bakken Formation</c:v>
                </c:pt>
                <c:pt idx="1">
                  <c:v>Permian Delaware Basin</c:v>
                </c:pt>
                <c:pt idx="2">
                  <c:v>Athabasca Resource Zone</c:v>
                </c:pt>
                <c:pt idx="3">
                  <c:v>Eagle Ford Shale Play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186095</c:v>
                </c:pt>
                <c:pt idx="1">
                  <c:v>629100</c:v>
                </c:pt>
                <c:pt idx="2">
                  <c:v>59850</c:v>
                </c:pt>
                <c:pt idx="3">
                  <c:v>226025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Spot Commodity Clearing</c:v>
                </c:pt>
              </c:strCache>
            </c:strRef>
          </c:tx>
          <c:spPr>
            <a:solidFill>
              <a:srgbClr val="475569"/>
            </a:solidFill>
            <a:ln w="9525">
              <a:solidFill>
                <a:srgbClr val="475569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Bakken Formation</c:v>
                </c:pt>
                <c:pt idx="1">
                  <c:v>Permian Delaware Basin</c:v>
                </c:pt>
                <c:pt idx="2">
                  <c:v>Athabasca Resource Zone</c:v>
                </c:pt>
                <c:pt idx="3">
                  <c:v>Eagle Ford Shale Play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375970</c:v>
                </c:pt>
                <c:pt idx="1">
                  <c:v>213595</c:v>
                </c:pt>
                <c:pt idx="2">
                  <c:v>321895</c:v>
                </c:pt>
                <c:pt idx="3">
                  <c:v>19950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Refinery Direct Supply</c:v>
                </c:pt>
              </c:strCache>
            </c:strRef>
          </c:tx>
          <c:spPr>
            <a:solidFill>
              <a:srgbClr val="D97706"/>
            </a:solidFill>
            <a:ln w="9525">
              <a:solidFill>
                <a:srgbClr val="D9770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Bakken Formation</c:v>
                </c:pt>
                <c:pt idx="1">
                  <c:v>Permian Delaware Basin</c:v>
                </c:pt>
                <c:pt idx="2">
                  <c:v>Athabasca Resource Zone</c:v>
                </c:pt>
                <c:pt idx="3">
                  <c:v>Eagle Ford Shale Play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153725</c:v>
                </c:pt>
                <c:pt idx="1">
                  <c:v>56800</c:v>
                </c:pt>
                <c:pt idx="2">
                  <c:v>84040</c:v>
                </c:pt>
                <c:pt idx="3">
                  <c:v>117600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Long-Term Pipeline Offtake</c:v>
                </c:pt>
              </c:strCache>
            </c:strRef>
          </c:tx>
          <c:spPr>
            <a:solidFill>
              <a:srgbClr val="F59E0B"/>
            </a:solidFill>
            <a:ln w="9525">
              <a:solidFill>
                <a:srgbClr val="F59E0B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Bakken Formation</c:v>
                </c:pt>
                <c:pt idx="1">
                  <c:v>Permian Delaware Basin</c:v>
                </c:pt>
                <c:pt idx="2">
                  <c:v>Athabasca Resource Zone</c:v>
                </c:pt>
                <c:pt idx="3">
                  <c:v>Eagle Ford Shale Play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112840</c:v>
                </c:pt>
                <c:pt idx="1">
                  <c:v>77950</c:v>
                </c:pt>
                <c:pt idx="2">
                  <c:v>297890</c:v>
                </c:pt>
                <c:pt idx="3">
                  <c:v>321250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Commodity Resource Type Total Upstream Production Revenue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Upstream Production Revenue</c:v>
                </c:pt>
              </c:strCache>
            </c:strRef>
          </c:tx>
          <c:dPt>
            <c:idx val="0"/>
            <c:spPr>
              <a:solidFill>
                <a:srgbClr val="B45309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47556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64748B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Drilling Hardware</c:v>
                </c:pt>
                <c:pt idx="1">
                  <c:v>Gas Processing</c:v>
                </c:pt>
                <c:pt idx="2">
                  <c:v>Critical Minerals</c:v>
                </c:pt>
                <c:pt idx="3">
                  <c:v>Exploration Geo</c:v>
                </c:pt>
                <c:pt idx="4">
                  <c:v>Pipeline Transport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1427500</c:v>
                </c:pt>
                <c:pt idx="1">
                  <c:v>819000</c:v>
                </c:pt>
                <c:pt idx="2">
                  <c:v>573825</c:v>
                </c:pt>
                <c:pt idx="3">
                  <c:v>552500</c:v>
                </c:pt>
                <c:pt idx="4">
                  <c:v>231460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Upstream Production Revenue &amp; Net Crack Spread &amp; Refining Margin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Upstream Production Revenue</c:v>
                </c:pt>
              </c:strCache>
            </c:strRef>
          </c:tx>
          <c:spPr>
            <a:solidFill>
              <a:srgbClr val="B45309"/>
            </a:solidFill>
            <a:ln w="9525">
              <a:solidFill>
                <a:srgbClr val="B45309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336010</c:v>
                </c:pt>
                <c:pt idx="1">
                  <c:v>915400</c:v>
                </c:pt>
                <c:pt idx="2">
                  <c:v>662535</c:v>
                </c:pt>
                <c:pt idx="3">
                  <c:v>435620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Crack Spread &amp; Refining Margin</c:v>
                </c:pt>
              </c:strCache>
            </c:strRef>
          </c:tx>
          <c:spPr>
            <a:solidFill>
              <a:srgbClr val="475569"/>
            </a:solidFill>
            <a:ln w="9525">
              <a:solidFill>
                <a:srgbClr val="475569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220310</c:v>
                </c:pt>
                <c:pt idx="1">
                  <c:v>572500</c:v>
                </c:pt>
                <c:pt idx="2">
                  <c:v>427135</c:v>
                </c:pt>
                <c:pt idx="3">
                  <c:v>274420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Basins", G4="All Channels"), SUM('Sales Transactions'!T3:T82), IF(C4="All Basins",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3769345</v>
      </c>
      <c r="C7" s="11"/>
      <c r="D7" s="12">
        <f>IF(AND(C4="All Basins", G4="All Channels"), SUM('Sales Transactions'!V3:V82), IF(C4="All Basins",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2392445</v>
      </c>
      <c r="E7" s="12"/>
      <c r="F7" s="13">
        <f>IF(B7&gt;0, D7/B7, "N/A")</f>
        <v>0.6347</v>
      </c>
      <c r="G7" s="13"/>
      <c r="H7" s="14">
        <f>IF(AND(C4="All Basins", G4="All Channels"), SUM('Sales Transactions'!R3:R82), IF(C4="All Basins",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Basins", G4="All Channels"), COUNTA('Sales Transactions'!A3:A82), IF(C4="All Basins",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47116.81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Basins", $G$4="All Channels"), SUMIFS('Sales Transactions'!$T$3:$T$82, 'Sales Transactions'!$B$3:$B$82, "2024-01*"), IF($C$4="All Basins",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70670</v>
      </c>
      <c r="D46" s="27">
        <f>C46-E46</f>
        <v>24200</v>
      </c>
      <c r="E46" s="28">
        <f>IF(AND($C$4="All Basins", $G$4="All Channels"), SUMIFS('Sales Transactions'!$V$3:$V$82, 'Sales Transactions'!$B$3:$B$82, "2024-01*"), IF($C$4="All Basins",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46470</v>
      </c>
      <c r="F46" s="29">
        <f>IF(C46&gt;0, E46/C46, 0)</f>
        <v>0.6576</v>
      </c>
      <c r="G46" s="30">
        <f>IF(AND($C$4="All Basins", $G$4="All Channels"), COUNTIFS('Sales Transactions'!$B$3:$B$82, "2024-01*"), IF($C$4="All Basins",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ROUND(C46/483600*8, 0)))), "")</f>
        <v>█</v>
      </c>
      <c r="I46" s="32" t="s">
        <v>38</v>
      </c>
      <c r="J46" s="33">
        <f>IF(AND($C$4&lt;&gt;"All Basins", $C$4&lt;&gt;I46), 0, IF($G$4="All Channels", COUNTIFS('Sales Transactions'!$H$3:$H$82, I46), COUNTIFS('Sales Transactions'!$H$3:$H$82, I46, 'Sales Transactions'!$L$3:$L$82, $G$4)))</f>
        <v>21</v>
      </c>
      <c r="K46" s="34">
        <f>IF(AND($C$4&lt;&gt;"All Basins", $C$4&lt;&gt;I46), 0, IF($G$4="All Channels", SUMIFS('Sales Transactions'!$T$3:$T$82, 'Sales Transactions'!$H$3:$H$82, I46), SUMIFS('Sales Transactions'!$T$3:$T$82, 'Sales Transactions'!$H$3:$H$82, I46, 'Sales Transactions'!$L$3:$L$82, $G$4)))</f>
        <v>869830</v>
      </c>
      <c r="L46" s="27">
        <f>IF(AND($C$4&lt;&gt;"All Basins", $C$4&lt;&gt;I46), 0, IF($G$4="All Channels", SUMIFS('Sales Transactions'!$U$3:$U$82, 'Sales Transactions'!$H$3:$H$82, I46), SUMIFS('Sales Transactions'!$U$3:$U$82, 'Sales Transactions'!$H$3:$H$82, I46, 'Sales Transactions'!$L$3:$L$82, $G$4)))</f>
        <v>307500</v>
      </c>
      <c r="M46" s="35">
        <f>IF(K46&gt;0, N46/K46, 0)</f>
        <v>0.6465</v>
      </c>
      <c r="N46" s="36">
        <f>IF(AND($C$4&lt;&gt;"All Basins", $C$4&lt;&gt;I46), 0, IF($G$4="All Channels", SUMIFS('Sales Transactions'!$V$3:$V$82, 'Sales Transactions'!$H$3:$H$82, I46), SUMIFS('Sales Transactions'!$V$3:$V$82, 'Sales Transactions'!$H$3:$H$82, I46, 'Sales Transactions'!$L$3:$L$82, $G$4)))</f>
        <v>562330</v>
      </c>
      <c r="O46" s="37" t="str">
        <f>IF(K46&gt;0, REPT("■", MIN(8, MAX(1, ROUND(K46/1057245*8, 0)))), "")</f>
        <v>■■■■■■■</v>
      </c>
    </row>
    <row r="47" ht="19" customHeight="1" spans="2:15" x14ac:dyDescent="0.25">
      <c r="B47" s="38" t="s">
        <v>39</v>
      </c>
      <c r="C47" s="39">
        <f>IF(AND($C$4="All Basins", $G$4="All Channels"), SUMIFS('Sales Transactions'!$T$3:$T$82, 'Sales Transactions'!$B$3:$B$82, "2024-02*"), IF($C$4="All Basins",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188250</v>
      </c>
      <c r="D47" s="40">
        <f>C47-E47</f>
        <v>65000</v>
      </c>
      <c r="E47" s="41">
        <f>IF(AND($C$4="All Basins", $G$4="All Channels"), SUMIFS('Sales Transactions'!$V$3:$V$82, 'Sales Transactions'!$B$3:$B$82, "2024-02*"), IF($C$4="All Basins",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123250</v>
      </c>
      <c r="F47" s="42">
        <f>IF(C47&gt;0, E47/C47, 0)</f>
        <v>0.6547</v>
      </c>
      <c r="G47" s="43">
        <f>IF(AND($C$4="All Basins", $G$4="All Channels"), COUNTIFS('Sales Transactions'!$B$3:$B$82, "2024-02*"), IF($C$4="All Basins",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ROUND(C47/483600*8, 0)))), "")</f>
        <v>███</v>
      </c>
      <c r="I47" s="45" t="s">
        <v>40</v>
      </c>
      <c r="J47" s="46">
        <f>IF(AND($C$4&lt;&gt;"All Basins", $C$4&lt;&gt;I47), 0, IF($G$4="All Channels", COUNTIFS('Sales Transactions'!$H$3:$H$82, I47), COUNTIFS('Sales Transactions'!$H$3:$H$82, I47, 'Sales Transactions'!$L$3:$L$82, $G$4)))</f>
        <v>16</v>
      </c>
      <c r="K47" s="47">
        <f>IF(AND($C$4&lt;&gt;"All Basins", $C$4&lt;&gt;I47), 0, IF($G$4="All Channels", SUMIFS('Sales Transactions'!$T$3:$T$82, 'Sales Transactions'!$H$3:$H$82, I47), SUMIFS('Sales Transactions'!$T$3:$T$82, 'Sales Transactions'!$H$3:$H$82, I47, 'Sales Transactions'!$L$3:$L$82, $G$4)))</f>
        <v>1057245</v>
      </c>
      <c r="L47" s="40">
        <f>IF(AND($C$4&lt;&gt;"All Basins", $C$4&lt;&gt;I47), 0, IF($G$4="All Channels", SUMIFS('Sales Transactions'!$U$3:$U$82, 'Sales Transactions'!$H$3:$H$82, I47), SUMIFS('Sales Transactions'!$U$3:$U$82, 'Sales Transactions'!$H$3:$H$82, I47, 'Sales Transactions'!$L$3:$L$82, $G$4)))</f>
        <v>387100</v>
      </c>
      <c r="M47" s="48">
        <f>IF(K47&gt;0, N47/K47, 0)</f>
        <v>0.6339</v>
      </c>
      <c r="N47" s="49">
        <f>IF(AND($C$4&lt;&gt;"All Basins", $C$4&lt;&gt;I47), 0, IF($G$4="All Channels", SUMIFS('Sales Transactions'!$V$3:$V$82, 'Sales Transactions'!$H$3:$H$82, I47), SUMIFS('Sales Transactions'!$V$3:$V$82, 'Sales Transactions'!$H$3:$H$82, I47, 'Sales Transactions'!$L$3:$L$82, $G$4)))</f>
        <v>670145</v>
      </c>
      <c r="O47" s="50" t="str">
        <f>IF(K47&gt;0, REPT("■", MIN(8, MAX(1, ROUND(K47/1057245*8, 0)))), "")</f>
        <v>■■■■■■■■</v>
      </c>
    </row>
    <row r="48" ht="19" customHeight="1" spans="2:15" x14ac:dyDescent="0.25">
      <c r="B48" s="25" t="s">
        <v>41</v>
      </c>
      <c r="C48" s="26">
        <f>IF(AND($C$4="All Basins", $G$4="All Channels"), SUMIFS('Sales Transactions'!$T$3:$T$82, 'Sales Transactions'!$B$3:$B$82, "2024-03*"), IF($C$4="All Basins",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77090</v>
      </c>
      <c r="D48" s="27">
        <f>C48-E48</f>
        <v>26500</v>
      </c>
      <c r="E48" s="28">
        <f>IF(AND($C$4="All Basins", $G$4="All Channels"), SUMIFS('Sales Transactions'!$V$3:$V$82, 'Sales Transactions'!$B$3:$B$82, "2024-03*"), IF($C$4="All Basins",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50590</v>
      </c>
      <c r="F48" s="29">
        <f>IF(C48&gt;0, E48/C48, 0)</f>
        <v>0.6562</v>
      </c>
      <c r="G48" s="30">
        <f>IF(AND($C$4="All Basins", $G$4="All Channels"), COUNTIFS('Sales Transactions'!$B$3:$B$82, "2024-03*"), IF($C$4="All Basins",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ROUND(C48/483600*8, 0)))), "")</f>
        <v>█</v>
      </c>
      <c r="I48" s="32" t="s">
        <v>42</v>
      </c>
      <c r="J48" s="33">
        <f>IF(AND($C$4&lt;&gt;"All Basins", $C$4&lt;&gt;I48), 0, IF($G$4="All Channels", COUNTIFS('Sales Transactions'!$H$3:$H$82, I48), COUNTIFS('Sales Transactions'!$H$3:$H$82, I48, 'Sales Transactions'!$L$3:$L$82, $G$4)))</f>
        <v>19</v>
      </c>
      <c r="K48" s="34">
        <f>IF(AND($C$4&lt;&gt;"All Basins", $C$4&lt;&gt;I48), 0, IF($G$4="All Channels", SUMIFS('Sales Transactions'!$T$3:$T$82, 'Sales Transactions'!$H$3:$H$82, I48), SUMIFS('Sales Transactions'!$T$3:$T$82, 'Sales Transactions'!$H$3:$H$82, I48, 'Sales Transactions'!$L$3:$L$82, $G$4)))</f>
        <v>849275</v>
      </c>
      <c r="L48" s="27">
        <f>IF(AND($C$4&lt;&gt;"All Basins", $C$4&lt;&gt;I48), 0, IF($G$4="All Channels", SUMIFS('Sales Transactions'!$U$3:$U$82, 'Sales Transactions'!$H$3:$H$82, I48), SUMIFS('Sales Transactions'!$U$3:$U$82, 'Sales Transactions'!$H$3:$H$82, I48, 'Sales Transactions'!$L$3:$L$82, $G$4)))</f>
        <v>304300</v>
      </c>
      <c r="M48" s="35">
        <f>IF(K48&gt;0, N48/K48, 0)</f>
        <v>0.6417</v>
      </c>
      <c r="N48" s="36">
        <f>IF(AND($C$4&lt;&gt;"All Basins", $C$4&lt;&gt;I48), 0, IF($G$4="All Channels", SUMIFS('Sales Transactions'!$V$3:$V$82, 'Sales Transactions'!$H$3:$H$82, I48), SUMIFS('Sales Transactions'!$V$3:$V$82, 'Sales Transactions'!$H$3:$H$82, I48, 'Sales Transactions'!$L$3:$L$82, $G$4)))</f>
        <v>544975</v>
      </c>
      <c r="O48" s="37" t="str">
        <f>IF(K48&gt;0, REPT("■", MIN(8, MAX(1, ROUND(K48/1057245*8, 0)))), "")</f>
        <v>■■■■■■</v>
      </c>
    </row>
    <row r="49" ht="19" customHeight="1" spans="2:15" x14ac:dyDescent="0.25">
      <c r="B49" s="38" t="s">
        <v>43</v>
      </c>
      <c r="C49" s="39">
        <f>IF(AND($C$4="All Basins", $G$4="All Channels"), SUMIFS('Sales Transactions'!$T$3:$T$82, 'Sales Transactions'!$B$3:$B$82, "2024-04*"), IF($C$4="All Basins",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483600</v>
      </c>
      <c r="D49" s="40">
        <f>C49-E49</f>
        <v>185800</v>
      </c>
      <c r="E49" s="41">
        <f>IF(AND($C$4="All Basins", $G$4="All Channels"), SUMIFS('Sales Transactions'!$V$3:$V$82, 'Sales Transactions'!$B$3:$B$82, "2024-04*"), IF($C$4="All Basins",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297800</v>
      </c>
      <c r="F49" s="42">
        <f>IF(C49&gt;0, E49/C49, 0)</f>
        <v>0.6158</v>
      </c>
      <c r="G49" s="43">
        <f>IF(AND($C$4="All Basins", $G$4="All Channels"), COUNTIFS('Sales Transactions'!$B$3:$B$82, "2024-04*"), IF($C$4="All Basins",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ROUND(C49/483600*8, 0)))), "")</f>
        <v>████████</v>
      </c>
      <c r="I49" s="45" t="s">
        <v>44</v>
      </c>
      <c r="J49" s="46">
        <f>IF(AND($C$4&lt;&gt;"All Basins", $C$4&lt;&gt;I49), 0, IF($G$4="All Channels", COUNTIFS('Sales Transactions'!$H$3:$H$82, I49), COUNTIFS('Sales Transactions'!$H$3:$H$82, I49, 'Sales Transactions'!$L$3:$L$82, $G$4)))</f>
        <v>13</v>
      </c>
      <c r="K49" s="47">
        <f>IF(AND($C$4&lt;&gt;"All Basins", $C$4&lt;&gt;I49), 0, IF($G$4="All Channels", SUMIFS('Sales Transactions'!$T$3:$T$82, 'Sales Transactions'!$H$3:$H$82, I49), SUMIFS('Sales Transactions'!$T$3:$T$82, 'Sales Transactions'!$H$3:$H$82, I49, 'Sales Transactions'!$L$3:$L$82, $G$4)))</f>
        <v>744675</v>
      </c>
      <c r="L49" s="40">
        <f>IF(AND($C$4&lt;&gt;"All Basins", $C$4&lt;&gt;I49), 0, IF($G$4="All Channels", SUMIFS('Sales Transactions'!$U$3:$U$82, 'Sales Transactions'!$H$3:$H$82, I49), SUMIFS('Sales Transactions'!$U$3:$U$82, 'Sales Transactions'!$H$3:$H$82, I49, 'Sales Transactions'!$L$3:$L$82, $G$4)))</f>
        <v>288100</v>
      </c>
      <c r="M49" s="48">
        <f>IF(K49&gt;0, N49/K49, 0)</f>
        <v>0.6131</v>
      </c>
      <c r="N49" s="49">
        <f>IF(AND($C$4&lt;&gt;"All Basins", $C$4&lt;&gt;I49), 0, IF($G$4="All Channels", SUMIFS('Sales Transactions'!$V$3:$V$82, 'Sales Transactions'!$H$3:$H$82, I49), SUMIFS('Sales Transactions'!$V$3:$V$82, 'Sales Transactions'!$H$3:$H$82, I49, 'Sales Transactions'!$L$3:$L$82, $G$4)))</f>
        <v>456575</v>
      </c>
      <c r="O49" s="50" t="str">
        <f>IF(K49&gt;0, REPT("■", MIN(8, MAX(1, ROUND(K49/1057245*8, 0)))), "")</f>
        <v>■■■■■■</v>
      </c>
    </row>
    <row r="50" ht="22" customHeight="1" spans="2:15" x14ac:dyDescent="0.25">
      <c r="B50" s="25" t="s">
        <v>45</v>
      </c>
      <c r="C50" s="26">
        <f>IF(AND($C$4="All Basins", $G$4="All Channels"), SUMIFS('Sales Transactions'!$T$3:$T$82, 'Sales Transactions'!$B$3:$B$82, "2024-05*"), IF($C$4="All Basins",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321375</v>
      </c>
      <c r="D50" s="27">
        <f>C50-E50</f>
        <v>116800</v>
      </c>
      <c r="E50" s="28">
        <f>IF(AND($C$4="All Basins", $G$4="All Channels"), SUMIFS('Sales Transactions'!$V$3:$V$82, 'Sales Transactions'!$B$3:$B$82, "2024-05*"), IF($C$4="All Basins",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204575</v>
      </c>
      <c r="F50" s="29">
        <f>IF(C50&gt;0, E50/C50, 0)</f>
        <v>0.6366</v>
      </c>
      <c r="G50" s="30">
        <f>IF(AND($C$4="All Basins", $G$4="All Channels"), COUNTIFS('Sales Transactions'!$B$3:$B$82, "2024-05*"), IF($C$4="All Basins",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ROUND(C50/483600*8, 0)))), "")</f>
        <v>█████</v>
      </c>
      <c r="I50" s="51" t="s">
        <v>46</v>
      </c>
      <c r="J50" s="52">
        <f>SUM(J46:J49)</f>
        <v>80</v>
      </c>
      <c r="K50" s="53">
        <f>SUM(K46:K49)</f>
        <v>3769345</v>
      </c>
      <c r="L50" s="53">
        <f>SUM(L46:L49)</f>
        <v>1376900</v>
      </c>
      <c r="M50" s="54">
        <f>IF(K50&gt;0, N50/K50, 0)</f>
        <v>0.6347</v>
      </c>
      <c r="N50" s="53">
        <f>SUM(N46:N49)</f>
        <v>2392445</v>
      </c>
      <c r="O50" s="51" t="s">
        <v>47</v>
      </c>
    </row>
    <row r="51" ht="22" customHeight="1" spans="2:15" x14ac:dyDescent="0.25">
      <c r="B51" s="38" t="s">
        <v>48</v>
      </c>
      <c r="C51" s="39">
        <f>IF(AND($C$4="All Basins", $G$4="All Channels"), SUMIFS('Sales Transactions'!$T$3:$T$82, 'Sales Transactions'!$B$3:$B$82, "2024-06*"), IF($C$4="All Basins",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110425</v>
      </c>
      <c r="D51" s="40">
        <f>C51-E51</f>
        <v>40300</v>
      </c>
      <c r="E51" s="41">
        <f>IF(AND($C$4="All Basins", $G$4="All Channels"), SUMIFS('Sales Transactions'!$V$3:$V$82, 'Sales Transactions'!$B$3:$B$82, "2024-06*"), IF($C$4="All Basins",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70125</v>
      </c>
      <c r="F51" s="42">
        <f>IF(C51&gt;0, E51/C51, 0)</f>
        <v>0.635</v>
      </c>
      <c r="G51" s="43">
        <f>IF(AND($C$4="All Basins", $G$4="All Channels"), COUNTIFS('Sales Transactions'!$B$3:$B$82, "2024-06*"), IF($C$4="All Basins",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ROUND(C51/483600*8, 0)))), "")</f>
        <v>██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Basins", $G$4="All Channels"), SUMIFS('Sales Transactions'!$T$3:$T$82, 'Sales Transactions'!$B$3:$B$82, "2024-07*"), IF($C$4="All Basins",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226315</v>
      </c>
      <c r="D52" s="27">
        <f>C52-E52</f>
        <v>78900</v>
      </c>
      <c r="E52" s="28">
        <f>IF(AND($C$4="All Basins", $G$4="All Channels"), SUMIFS('Sales Transactions'!$V$3:$V$82, 'Sales Transactions'!$B$3:$B$82, "2024-07*"), IF($C$4="All Basins",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147415</v>
      </c>
      <c r="F52" s="29">
        <f>IF(C52&gt;0, E52/C52, 0)</f>
        <v>0.6514</v>
      </c>
      <c r="G52" s="30">
        <f>IF(AND($C$4="All Basins", $G$4="All Channels"), COUNTIFS('Sales Transactions'!$B$3:$B$82, "2024-07*"), IF($C$4="All Basins",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ROUND(C52/483600*8, 0)))), "")</f>
        <v>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Basins", $G$4="All Channels"), SUMIFS('Sales Transactions'!$T$3:$T$82, 'Sales Transactions'!$B$3:$B$82, "2024-08*"), IF($C$4="All Basins",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272750</v>
      </c>
      <c r="D53" s="40">
        <f>C53-E53</f>
        <v>100200</v>
      </c>
      <c r="E53" s="41">
        <f>IF(AND($C$4="All Basins", $G$4="All Channels"), SUMIFS('Sales Transactions'!$V$3:$V$82, 'Sales Transactions'!$B$3:$B$82, "2024-08*"), IF($C$4="All Basins",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172550</v>
      </c>
      <c r="F53" s="42">
        <f>IF(C53&gt;0, E53/C53, 0)</f>
        <v>0.6326</v>
      </c>
      <c r="G53" s="43">
        <f>IF(AND($C$4="All Basins", $G$4="All Channels"), COUNTIFS('Sales Transactions'!$B$3:$B$82, "2024-08*"), IF($C$4="All Basins",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ROUND(C53/483600*8, 0)))), "")</f>
        <v>█████</v>
      </c>
      <c r="I53" s="57" t="s">
        <v>56</v>
      </c>
      <c r="J53" s="57"/>
      <c r="K53" s="57"/>
      <c r="L53" s="58" t="s">
        <v>57</v>
      </c>
      <c r="M53" s="33">
        <f>IF(AND($C$4="All Basins", $G$4="All Channels"), COUNTIFS('Sales Transactions'!$E$3:$E$82, I53), IF($C$4="All Basins",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15</v>
      </c>
      <c r="N53" s="28">
        <f>IF(AND($C$4="All Basins", $G$4="All Channels"), SUMIFS('Sales Transactions'!$T$3:$T$82, 'Sales Transactions'!$E$3:$E$82, I53), IF($C$4="All Basins",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1060545</v>
      </c>
      <c r="O53" s="59" t="s">
        <v>58</v>
      </c>
    </row>
    <row r="54" ht="19" customHeight="1" spans="2:15" x14ac:dyDescent="0.25">
      <c r="B54" s="25" t="s">
        <v>59</v>
      </c>
      <c r="C54" s="26">
        <f>IF(AND($C$4="All Basins", $G$4="All Channels"), SUMIFS('Sales Transactions'!$T$3:$T$82, 'Sales Transactions'!$B$3:$B$82, "2024-09*"), IF($C$4="All Basins",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163470</v>
      </c>
      <c r="D54" s="27">
        <f>C54-E54</f>
        <v>56300</v>
      </c>
      <c r="E54" s="28">
        <f>IF(AND($C$4="All Basins", $G$4="All Channels"), SUMIFS('Sales Transactions'!$V$3:$V$82, 'Sales Transactions'!$B$3:$B$82, "2024-09*"), IF($C$4="All Basins",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107170</v>
      </c>
      <c r="F54" s="29">
        <f>IF(C54&gt;0, E54/C54, 0)</f>
        <v>0.6556</v>
      </c>
      <c r="G54" s="30">
        <f>IF(AND($C$4="All Basins", $G$4="All Channels"), COUNTIFS('Sales Transactions'!$B$3:$B$82, "2024-09*"), IF($C$4="All Basins",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ROUND(C54/483600*8, 0)))), "")</f>
        <v>███</v>
      </c>
      <c r="I54" s="60" t="s">
        <v>60</v>
      </c>
      <c r="J54" s="60"/>
      <c r="K54" s="60"/>
      <c r="L54" s="61" t="s">
        <v>61</v>
      </c>
      <c r="M54" s="46">
        <f>IF(AND($C$4="All Basins", $G$4="All Channels"), COUNTIFS('Sales Transactions'!$E$3:$E$82, I54), IF($C$4="All Basins",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20</v>
      </c>
      <c r="N54" s="41">
        <f>IF(AND($C$4="All Basins", $G$4="All Channels"), SUMIFS('Sales Transactions'!$T$3:$T$82, 'Sales Transactions'!$E$3:$E$82, I54), IF($C$4="All Basins",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683315</v>
      </c>
      <c r="O54" s="62" t="s">
        <v>58</v>
      </c>
    </row>
    <row r="55" ht="19" customHeight="1" spans="2:15" x14ac:dyDescent="0.25">
      <c r="B55" s="38" t="s">
        <v>62</v>
      </c>
      <c r="C55" s="39">
        <f>IF(AND($C$4="All Basins", $G$4="All Channels"), SUMIFS('Sales Transactions'!$T$3:$T$82, 'Sales Transactions'!$B$3:$B$82, "2024-11*"), IF($C$4="All Basins",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135170</v>
      </c>
      <c r="D55" s="40">
        <f>C55-E55</f>
        <v>48200</v>
      </c>
      <c r="E55" s="41">
        <f>IF(AND($C$4="All Basins", $G$4="All Channels"), SUMIFS('Sales Transactions'!$V$3:$V$82, 'Sales Transactions'!$B$3:$B$82, "2024-11*"), IF($C$4="All Basins",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86970</v>
      </c>
      <c r="F55" s="42">
        <f>IF(C55&gt;0, E55/C55, 0)</f>
        <v>0.6434</v>
      </c>
      <c r="G55" s="43">
        <f>IF(AND($C$4="All Basins", $G$4="All Channels"), COUNTIFS('Sales Transactions'!$B$3:$B$82, "2024-11*"), IF($C$4="All Basins",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ROUND(C55/483600*8, 0)))), "")</f>
        <v>██</v>
      </c>
      <c r="I55" s="57" t="s">
        <v>63</v>
      </c>
      <c r="J55" s="57"/>
      <c r="K55" s="57"/>
      <c r="L55" s="58" t="s">
        <v>64</v>
      </c>
      <c r="M55" s="33">
        <f>IF(AND($C$4="All Basins", $G$4="All Channels"), COUNTIFS('Sales Transactions'!$E$3:$E$82, I55), IF($C$4="All Basins",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8</v>
      </c>
      <c r="N55" s="28">
        <f>IF(AND($C$4="All Basins", $G$4="All Channels"), SUMIFS('Sales Transactions'!$T$3:$T$82, 'Sales Transactions'!$E$3:$E$82, I55), IF($C$4="All Basins",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613300</v>
      </c>
      <c r="O55" s="59" t="s">
        <v>58</v>
      </c>
    </row>
    <row r="56" ht="19" customHeight="1" spans="2:15" x14ac:dyDescent="0.25">
      <c r="B56" s="25" t="s">
        <v>65</v>
      </c>
      <c r="C56" s="26">
        <f>IF(AND($C$4="All Basins", $G$4="All Channels"), SUMIFS('Sales Transactions'!$T$3:$T$82, 'Sales Transactions'!$B$3:$B$82, "2024-12*"), IF($C$4="All Basins",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300450</v>
      </c>
      <c r="D56" s="27">
        <f>C56-E56</f>
        <v>113000</v>
      </c>
      <c r="E56" s="28">
        <f>IF(AND($C$4="All Basins", $G$4="All Channels"), SUMIFS('Sales Transactions'!$V$3:$V$82, 'Sales Transactions'!$B$3:$B$82, "2024-12*"), IF($C$4="All Basins",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187450</v>
      </c>
      <c r="F56" s="29">
        <f>IF(C56&gt;0, E56/C56, 0)</f>
        <v>0.6239</v>
      </c>
      <c r="G56" s="30">
        <f>IF(AND($C$4="All Basins", $G$4="All Channels"), COUNTIFS('Sales Transactions'!$B$3:$B$82, "2024-12*"), IF($C$4="All Basins",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ROUND(C56/483600*8, 0)))), "")</f>
        <v>█████</v>
      </c>
      <c r="I56" s="60" t="s">
        <v>66</v>
      </c>
      <c r="J56" s="60"/>
      <c r="K56" s="60"/>
      <c r="L56" s="61" t="s">
        <v>61</v>
      </c>
      <c r="M56" s="46">
        <f>IF(AND($C$4="All Basins", $G$4="All Channels"), COUNTIFS('Sales Transactions'!$E$3:$E$82, I56), IF($C$4="All Basins",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21</v>
      </c>
      <c r="N56" s="41">
        <f>IF(AND($C$4="All Basins", $G$4="All Channels"), SUMIFS('Sales Transactions'!$T$3:$T$82, 'Sales Transactions'!$E$3:$E$82, I56), IF($C$4="All Basins",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569965</v>
      </c>
      <c r="O56" s="62" t="s">
        <v>58</v>
      </c>
    </row>
    <row r="57" ht="19" customHeight="1" spans="2:15" x14ac:dyDescent="0.25">
      <c r="B57" s="38" t="s">
        <v>67</v>
      </c>
      <c r="C57" s="39">
        <f>IF(AND($C$4="All Basins", $G$4="All Channels"), SUMIFS('Sales Transactions'!$T$3:$T$82, 'Sales Transactions'!$B$3:$B$82, "2025-01*"), IF($C$4="All Basins",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360000</v>
      </c>
      <c r="D57" s="40">
        <f>C57-E57</f>
        <v>135800</v>
      </c>
      <c r="E57" s="41">
        <f>IF(AND($C$4="All Basins", $G$4="All Channels"), SUMIFS('Sales Transactions'!$V$3:$V$82, 'Sales Transactions'!$B$3:$B$82, "2025-01*"), IF($C$4="All Basins",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224200</v>
      </c>
      <c r="F57" s="42">
        <f>IF(C57&gt;0, E57/C57, 0)</f>
        <v>0.6228</v>
      </c>
      <c r="G57" s="43">
        <f>IF(AND($C$4="All Basins", $G$4="All Channels"), COUNTIFS('Sales Transactions'!$B$3:$B$82, "2025-01*"), IF($C$4="All Basins",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ROUND(C57/483600*8, 0)))), "")</f>
        <v>██████</v>
      </c>
      <c r="I57" s="57" t="s">
        <v>68</v>
      </c>
      <c r="J57" s="57"/>
      <c r="K57" s="57"/>
      <c r="L57" s="58" t="s">
        <v>57</v>
      </c>
      <c r="M57" s="33">
        <f>IF(AND($C$4="All Basins", $G$4="All Channels"), COUNTIFS('Sales Transactions'!$E$3:$E$82, I57), IF($C$4="All Basins",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10</v>
      </c>
      <c r="N57" s="28">
        <f>IF(AND($C$4="All Basins", $G$4="All Channels"), SUMIFS('Sales Transactions'!$T$3:$T$82, 'Sales Transactions'!$E$3:$E$82, I57), IF($C$4="All Basins",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470430</v>
      </c>
      <c r="O57" s="63" t="s">
        <v>69</v>
      </c>
    </row>
    <row r="58" ht="22" customHeight="1" spans="2:15" x14ac:dyDescent="0.25">
      <c r="B58" s="64" t="s">
        <v>70</v>
      </c>
      <c r="C58" s="65">
        <f>SUM(C46:C57)</f>
        <v>3769345</v>
      </c>
      <c r="D58" s="66">
        <f>SUM(D46:D57)</f>
        <v>1376900</v>
      </c>
      <c r="E58" s="67">
        <f>SUM(E46:E57)</f>
        <v>2392445</v>
      </c>
      <c r="F58" s="68">
        <f>IF(C58&gt;0, E58/C58, 0)</f>
        <v>0.6347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74</v>
      </c>
      <c r="N58" s="74">
        <f>SUM(N53:N57)</f>
        <v>3397555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Basins", $G$4="All Channels"), SUMIFS('Sales Transactions'!$R$3:$R$82, 'Sales Transactions'!$O$3:$O$82, B62), IF($C$4="All Basins",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66</v>
      </c>
      <c r="D62" s="80">
        <f>IF(AND($C$4="All Basins", $G$4="All Channels"), SUMIFS('Sales Transactions'!$T$3:$T$82, 'Sales Transactions'!$O$3:$O$82, B62), IF($C$4="All Basins",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1427500</v>
      </c>
      <c r="E62" s="81">
        <f>IF($D$67&gt;0, D62/$D$67, 0)</f>
        <v>0.3787</v>
      </c>
      <c r="F62" s="36">
        <f>IF(AND($C$4="All Basins", $G$4="All Channels"), SUMIFS('Sales Transactions'!$V$3:$V$82, 'Sales Transactions'!$O$3:$O$82, B62), IF($C$4="All Basins",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886300</v>
      </c>
      <c r="G62" s="35">
        <f>IF(D62&gt;0, F62/D62, 0)</f>
        <v>0.6209</v>
      </c>
      <c r="H62" s="82" t="str">
        <f>IF(D62&gt;0, REPT("█", MIN(8, MAX(1, ROUND(D62/1427500*8, 0)))), "")</f>
        <v>████████</v>
      </c>
      <c r="I62" s="57" t="s">
        <v>90</v>
      </c>
      <c r="J62" s="81">
        <f>IF($K$66&gt;0, K62/$K$66, 0)</f>
        <v>0.317</v>
      </c>
      <c r="K62" s="83">
        <f>IF(AND($G$4&lt;&gt;"All Channels", $G$4&lt;&gt;I62), 0, IF($C$4="All Basins", SUMIFS('Sales Transactions'!$T$3:$T$82, 'Sales Transactions'!$L$3:$L$82, I62), SUMIFS('Sales Transactions'!$T$3:$T$82, 'Sales Transactions'!$L$3:$L$82, I62, 'Sales Transactions'!$H$3:$H$82, $C$4)))</f>
        <v>1194420</v>
      </c>
      <c r="L62" s="36">
        <f>IF(AND($G$4&lt;&gt;"All Channels", $G$4&lt;&gt;I62), 0, IF($C$4="All Basins", SUMIFS('Sales Transactions'!$V$3:$V$82, 'Sales Transactions'!$L$3:$L$82, I62), SUMIFS('Sales Transactions'!$V$3:$V$82, 'Sales Transactions'!$L$3:$L$82, I62, 'Sales Transactions'!$H$3:$H$82, $C$4)))</f>
        <v>751220</v>
      </c>
      <c r="M62" s="84">
        <f>IF(K62&gt;0, L62/K62, 0)</f>
        <v>0.6289412434487032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Basins", $G$4="All Channels"), SUMIFS('Sales Transactions'!$R$3:$R$82, 'Sales Transactions'!$O$3:$O$82, B63), IF($C$4="All Basins",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44</v>
      </c>
      <c r="D63" s="87">
        <f>IF(AND($C$4="All Basins", $G$4="All Channels"), SUMIFS('Sales Transactions'!$T$3:$T$82, 'Sales Transactions'!$O$3:$O$82, B63), IF($C$4="All Basins",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819000</v>
      </c>
      <c r="E63" s="88">
        <f>IF($D$67&gt;0, D63/$D$67, 0)</f>
        <v>0.2173</v>
      </c>
      <c r="F63" s="49">
        <f>IF(AND($C$4="All Basins", $G$4="All Channels"), SUMIFS('Sales Transactions'!$V$3:$V$82, 'Sales Transactions'!$O$3:$O$82, B63), IF($C$4="All Basins",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519800</v>
      </c>
      <c r="G63" s="48">
        <f>IF(D63&gt;0, F63/D63, 0)</f>
        <v>0.6347</v>
      </c>
      <c r="H63" s="89" t="str">
        <f>IF(D63&gt;0, REPT("█", MIN(8, MAX(1, ROUND(D63/1427500*8, 0)))), "")</f>
        <v>█████</v>
      </c>
      <c r="I63" s="60" t="s">
        <v>94</v>
      </c>
      <c r="J63" s="88">
        <f>IF($K$66&gt;0, K63/$K$66, 0)</f>
        <v>0.267</v>
      </c>
      <c r="K63" s="90">
        <f>IF(AND($G$4&lt;&gt;"All Channels", $G$4&lt;&gt;I63), 0, IF($C$4="All Basins", SUMIFS('Sales Transactions'!$T$3:$T$82, 'Sales Transactions'!$L$3:$L$82, I63), SUMIFS('Sales Transactions'!$T$3:$T$82, 'Sales Transactions'!$L$3:$L$82, I63, 'Sales Transactions'!$H$3:$H$82, $C$4)))</f>
        <v>1004910</v>
      </c>
      <c r="L63" s="49">
        <f>IF(AND($G$4&lt;&gt;"All Channels", $G$4&lt;&gt;I63), 0, IF($C$4="All Basins", SUMIFS('Sales Transactions'!$V$3:$V$82, 'Sales Transactions'!$L$3:$L$82, I63), SUMIFS('Sales Transactions'!$V$3:$V$82, 'Sales Transactions'!$L$3:$L$82, I63, 'Sales Transactions'!$H$3:$H$82, $C$4)))</f>
        <v>652410</v>
      </c>
      <c r="M63" s="91">
        <f>IF(K63&gt;0, L63/K63, 0)</f>
        <v>0.6492223184165746</v>
      </c>
      <c r="N63" s="92" t="s">
        <v>95</v>
      </c>
      <c r="O63" s="93" t="s">
        <v>96</v>
      </c>
    </row>
    <row r="64" ht="19" customHeight="1" spans="2:15" x14ac:dyDescent="0.25">
      <c r="B64" s="57" t="s">
        <v>97</v>
      </c>
      <c r="C64" s="33">
        <f>IF(AND($C$4="All Basins", $G$4="All Channels"), SUMIFS('Sales Transactions'!$R$3:$R$82, 'Sales Transactions'!$O$3:$O$82, B64), IF($C$4="All Basins",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59</v>
      </c>
      <c r="D64" s="80">
        <f>IF(AND($C$4="All Basins", $G$4="All Channels"), SUMIFS('Sales Transactions'!$T$3:$T$82, 'Sales Transactions'!$O$3:$O$82, B64), IF($C$4="All Basins",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573825</v>
      </c>
      <c r="E64" s="81">
        <f>IF($D$67&gt;0, D64/$D$67, 0)</f>
        <v>0.1522</v>
      </c>
      <c r="F64" s="36">
        <f>IF(AND($C$4="All Basins", $G$4="All Channels"), SUMIFS('Sales Transactions'!$V$3:$V$82, 'Sales Transactions'!$O$3:$O$82, B64), IF($C$4="All Basins",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373225</v>
      </c>
      <c r="G64" s="35">
        <f>IF(D64&gt;0, F64/D64, 0)</f>
        <v>0.6504</v>
      </c>
      <c r="H64" s="82" t="str">
        <f>IF(D64&gt;0, REPT("█", MIN(8, MAX(1, ROUND(D64/1427500*8, 0)))), "")</f>
        <v>███</v>
      </c>
      <c r="I64" s="57" t="s">
        <v>98</v>
      </c>
      <c r="J64" s="81">
        <f>IF($K$66&gt;0, K64/$K$66, 0)</f>
        <v>0.219</v>
      </c>
      <c r="K64" s="83">
        <f>IF(AND($G$4&lt;&gt;"All Channels", $G$4&lt;&gt;I64), 0, IF($C$4="All Basins", SUMIFS('Sales Transactions'!$T$3:$T$82, 'Sales Transactions'!$L$3:$L$82, I64), SUMIFS('Sales Transactions'!$T$3:$T$82, 'Sales Transactions'!$L$3:$L$82, I64, 'Sales Transactions'!$H$3:$H$82, $C$4)))</f>
        <v>826730</v>
      </c>
      <c r="L64" s="36">
        <f>IF(AND($G$4&lt;&gt;"All Channels", $G$4&lt;&gt;I64), 0, IF($C$4="All Basins", SUMIFS('Sales Transactions'!$V$3:$V$82, 'Sales Transactions'!$L$3:$L$82, I64), SUMIFS('Sales Transactions'!$V$3:$V$82, 'Sales Transactions'!$L$3:$L$82, I64, 'Sales Transactions'!$H$3:$H$82, $C$4)))</f>
        <v>514730</v>
      </c>
      <c r="M64" s="84">
        <f>IF(K64&gt;0, L64/K64, 0)</f>
        <v>0.622609558138691</v>
      </c>
      <c r="N64" s="85" t="s">
        <v>69</v>
      </c>
      <c r="O64" s="86" t="s">
        <v>99</v>
      </c>
    </row>
    <row r="65" ht="19" customHeight="1" spans="2:15" x14ac:dyDescent="0.25">
      <c r="B65" s="60" t="s">
        <v>100</v>
      </c>
      <c r="C65" s="46">
        <f>IF(AND($C$4="All Basins", $G$4="All Channels"), SUMIFS('Sales Transactions'!$R$3:$R$82, 'Sales Transactions'!$O$3:$O$82, B65), IF($C$4="All Basins",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36</v>
      </c>
      <c r="D65" s="87">
        <f>IF(AND($C$4="All Basins", $G$4="All Channels"), SUMIFS('Sales Transactions'!$T$3:$T$82, 'Sales Transactions'!$O$3:$O$82, B65), IF($C$4="All Basins",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552500</v>
      </c>
      <c r="E65" s="88">
        <f>IF($D$67&gt;0, D65/$D$67, 0)</f>
        <v>0.1466</v>
      </c>
      <c r="F65" s="49">
        <f>IF(AND($C$4="All Basins", $G$4="All Channels"), SUMIFS('Sales Transactions'!$V$3:$V$82, 'Sales Transactions'!$O$3:$O$82, B65), IF($C$4="All Basins",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354500</v>
      </c>
      <c r="G65" s="48">
        <f>IF(D65&gt;0, F65/D65, 0)</f>
        <v>0.6416</v>
      </c>
      <c r="H65" s="89" t="str">
        <f>IF(D65&gt;0, REPT("█", MIN(8, MAX(1, ROUND(D65/1427500*8, 0)))), "")</f>
        <v>███</v>
      </c>
      <c r="I65" s="60" t="s">
        <v>101</v>
      </c>
      <c r="J65" s="88">
        <f>IF($K$66&gt;0, K65/$K$66, 0)</f>
        <v>0.197</v>
      </c>
      <c r="K65" s="90">
        <f>IF(AND($G$4&lt;&gt;"All Channels", $G$4&lt;&gt;I65), 0, IF($C$4="All Basins", SUMIFS('Sales Transactions'!$T$3:$T$82, 'Sales Transactions'!$L$3:$L$82, I65), SUMIFS('Sales Transactions'!$T$3:$T$82, 'Sales Transactions'!$L$3:$L$82, I65, 'Sales Transactions'!$H$3:$H$82, $C$4)))</f>
        <v>743285</v>
      </c>
      <c r="L65" s="49">
        <f>IF(AND($G$4&lt;&gt;"All Channels", $G$4&lt;&gt;I65), 0, IF($C$4="All Basins", SUMIFS('Sales Transactions'!$V$3:$V$82, 'Sales Transactions'!$L$3:$L$82, I65), SUMIFS('Sales Transactions'!$V$3:$V$82, 'Sales Transactions'!$L$3:$L$82, I65, 'Sales Transactions'!$H$3:$H$82, $C$4)))</f>
        <v>474085</v>
      </c>
      <c r="M65" s="91">
        <f>IF(K65&gt;0, L65/K65, 0)</f>
        <v>0.6378239840707132</v>
      </c>
      <c r="N65" s="92" t="s">
        <v>102</v>
      </c>
      <c r="O65" s="93" t="s">
        <v>99</v>
      </c>
    </row>
    <row r="66" ht="22" customHeight="1" spans="2:15" x14ac:dyDescent="0.25">
      <c r="B66" s="57" t="s">
        <v>103</v>
      </c>
      <c r="C66" s="33">
        <f>IF(AND($C$4="All Basins", $G$4="All Channels"), SUMIFS('Sales Transactions'!$R$3:$R$82, 'Sales Transactions'!$O$3:$O$82, B66), IF($C$4="All Basins",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35</v>
      </c>
      <c r="D66" s="80">
        <f>IF(AND($C$4="All Basins", $G$4="All Channels"), SUMIFS('Sales Transactions'!$T$3:$T$82, 'Sales Transactions'!$O$3:$O$82, B66), IF($C$4="All Basins",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231460</v>
      </c>
      <c r="E66" s="81">
        <f>IF($D$67&gt;0, D66/$D$67, 0)</f>
        <v>0.0614</v>
      </c>
      <c r="F66" s="36">
        <f>IF(AND($C$4="All Basins", $G$4="All Channels"), SUMIFS('Sales Transactions'!$V$3:$V$82, 'Sales Transactions'!$O$3:$O$82, B66), IF($C$4="All Basins",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150960</v>
      </c>
      <c r="G66" s="35">
        <f>IF(D66&gt;0, F66/D66, 0)</f>
        <v>0.6522</v>
      </c>
      <c r="H66" s="82" t="str">
        <f>IF(D66&gt;0, REPT("█", MIN(8, MAX(1, ROUND(D66/1427500*8, 0)))), "")</f>
        <v>█</v>
      </c>
      <c r="I66" s="71" t="s">
        <v>104</v>
      </c>
      <c r="J66" s="94">
        <v>1</v>
      </c>
      <c r="K66" s="95">
        <f>SUM(K62:K65)</f>
        <v>3769345</v>
      </c>
      <c r="L66" s="96">
        <f>SUM(L62:L65)</f>
        <v>2392445</v>
      </c>
      <c r="M66" s="97">
        <f>IF(K66&gt;0, L66/K66, 0)</f>
        <v>0.6347</v>
      </c>
      <c r="N66" s="98"/>
      <c r="O66" s="98"/>
    </row>
    <row r="67" ht="22" customHeight="1" spans="2:15" x14ac:dyDescent="0.25">
      <c r="B67" s="51" t="s">
        <v>105</v>
      </c>
      <c r="C67" s="99">
        <f>SUM(C62:C66)</f>
        <v>240</v>
      </c>
      <c r="D67" s="53">
        <f>SUM(D62:D66)</f>
        <v>3769345</v>
      </c>
      <c r="E67" s="100">
        <v>1</v>
      </c>
      <c r="F67" s="101">
        <f>SUM(F62:F66)</f>
        <v>2392445</v>
      </c>
      <c r="G67" s="54">
        <f>IF(D67&gt;0, F67/D67, 0)</f>
        <v>0.6347</v>
      </c>
      <c r="H67" s="102" t="s">
        <v>71</v>
      </c>
      <c r="I67" s="103" t="s">
        <v>106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107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108</v>
      </c>
      <c r="C70" s="105"/>
      <c r="D70" s="105"/>
      <c r="E70" s="106" t="s">
        <v>109</v>
      </c>
      <c r="F70" s="106"/>
      <c r="G70" s="106"/>
      <c r="H70" s="106"/>
      <c r="I70" s="106"/>
      <c r="J70" s="107" t="s">
        <v>110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111</v>
      </c>
      <c r="C71" s="105"/>
      <c r="D71" s="105"/>
      <c r="E71" s="106" t="s">
        <v>112</v>
      </c>
      <c r="F71" s="106"/>
      <c r="G71" s="106"/>
      <c r="H71" s="106"/>
      <c r="I71" s="106"/>
      <c r="J71" s="107" t="s">
        <v>113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114</v>
      </c>
      <c r="C72" s="105"/>
      <c r="D72" s="105"/>
      <c r="E72" s="106" t="s">
        <v>115</v>
      </c>
      <c r="F72" s="106"/>
      <c r="G72" s="106"/>
      <c r="H72" s="106"/>
      <c r="I72" s="106"/>
      <c r="J72" s="107" t="s">
        <v>116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117</v>
      </c>
      <c r="C73" s="105"/>
      <c r="D73" s="105"/>
      <c r="E73" s="106" t="s">
        <v>118</v>
      </c>
      <c r="F73" s="106"/>
      <c r="G73" s="106"/>
      <c r="H73" s="106"/>
      <c r="I73" s="106"/>
      <c r="J73" s="107" t="s">
        <v>119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120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121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122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123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d9edEKYGABxw86v0A48TpY1LzYejV4nHsqAPF9Tu1o8rkpNP2baiAYwrwRDX99rE9etpNSGTm6qGyUj/+wCIZQ==" saltValue="9q4iaItZ1OWUf9pQfKh6rg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Basins,Permian Delaware Basin,Bakken Formation,Athabasca Resource Zone,Eagle Ford Shale Play,Gulf of Mexico Deepwater"</formula1>
    </dataValidation>
    <dataValidation type="list" sqref="G4">
      <formula1>"All Channels,Export LNG Terminal,Spot Commodity Clearing,Long-Term Pipeline Offtake,Refinery Direct Supply,Industrial Bulk Wholesale"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124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126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127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101</v>
      </c>
      <c r="G6" s="22" t="s">
        <v>128</v>
      </c>
      <c r="H6" s="22" t="s">
        <v>129</v>
      </c>
      <c r="I6" s="22" t="s">
        <v>130</v>
      </c>
    </row>
    <row r="7" ht="19" customHeight="1" spans="2:9" x14ac:dyDescent="0.25">
      <c r="B7" s="57" t="s">
        <v>38</v>
      </c>
      <c r="C7" s="116">
        <f>IF(AND($C$4&lt;&gt;"All Basins", $C$4&lt;&gt;$B7), 0, IF(AND($F$4&lt;&gt;"All Channels", $F$4&lt;&gt;"Export LNG Terminal"), 0, SUMIFS('Sales Transactions'!$T$3:$T$82, 'Sales Transactions'!$H$3:$H$82, $B7, 'Sales Transactions'!$L$3:$L$82, "Export LNG Terminal")))</f>
        <v>186095</v>
      </c>
      <c r="D7" s="116">
        <f>IF(AND($C$4&lt;&gt;"All Basins", $C$4&lt;&gt;$B7), 0, IF(AND($F$4&lt;&gt;"All Channels", $F$4&lt;&gt;"Spot Commodity Clearing"), 0, SUMIFS('Sales Transactions'!$T$3:$T$82, 'Sales Transactions'!$H$3:$H$82, $B7, 'Sales Transactions'!$L$3:$L$82, "Spot Commodity Clearing")))</f>
        <v>375970</v>
      </c>
      <c r="E7" s="116">
        <f>IF(AND($C$4&lt;&gt;"All Basins", $C$4&lt;&gt;$B7), 0, IF(AND($F$4&lt;&gt;"All Channels", $F$4&lt;&gt;"Long-Term Pipeline Offtake"), 0, SUMIFS('Sales Transactions'!$T$3:$T$82, 'Sales Transactions'!$H$3:$H$82, $B7, 'Sales Transactions'!$L$3:$L$82, "Long-Term Pipeline Offtake")))</f>
        <v>112840</v>
      </c>
      <c r="F7" s="116">
        <f>IF(AND($C$4&lt;&gt;"All Basins", $C$4&lt;&gt;$B7), 0, IF($F$4&lt;&gt;"All Channels", IF(OR($F$4="Export LNG Terminal", $F$4="Spot Commodity Clearing", $F$4="Long-Term Pipeline Offtake"), 0, SUMIFS('Sales Transactions'!$T$3:$T$82, 'Sales Transactions'!$H$3:$H$82, $B7, 'Sales Transactions'!$L$3:$L$82, $F$4)), MAX(0, SUMIFS('Sales Transactions'!$T$3:$T$82, 'Sales Transactions'!$H$3:$H$82, $B7) - SUM($C7:$E7))))</f>
        <v>194925</v>
      </c>
      <c r="G7" s="26">
        <f>SUM(C7:F7)</f>
        <v>869830</v>
      </c>
      <c r="H7" s="28">
        <f>IF(AND($C$4&lt;&gt;"All Basins", $C$4&lt;&gt;$B7), 0, IF($F$4="All Channels", SUMIFS('Sales Transactions'!$V$3:$V$82, 'Sales Transactions'!$H$3:$H$82, $B7), SUMIFS('Sales Transactions'!$V$3:$V$82, 'Sales Transactions'!$H$3:$H$82, $B7, 'Sales Transactions'!$L$3:$L$82, $F$4)))</f>
        <v>562330</v>
      </c>
      <c r="I7" s="117">
        <f>IF(G7&gt;0, H7/G7, 0)</f>
        <v>0.6465</v>
      </c>
    </row>
    <row r="8" ht="19" customHeight="1" spans="2:9" x14ac:dyDescent="0.25">
      <c r="B8" s="60" t="s">
        <v>40</v>
      </c>
      <c r="C8" s="118">
        <f>IF(AND($C$4&lt;&gt;"All Basins", $C$4&lt;&gt;$B8), 0, IF(AND($F$4&lt;&gt;"All Channels", $F$4&lt;&gt;"Export LNG Terminal"), 0, SUMIFS('Sales Transactions'!$T$3:$T$82, 'Sales Transactions'!$H$3:$H$82, $B8, 'Sales Transactions'!$L$3:$L$82, "Export LNG Terminal")))</f>
        <v>629100</v>
      </c>
      <c r="D8" s="118">
        <f>IF(AND($C$4&lt;&gt;"All Basins", $C$4&lt;&gt;$B8), 0, IF(AND($F$4&lt;&gt;"All Channels", $F$4&lt;&gt;"Spot Commodity Clearing"), 0, SUMIFS('Sales Transactions'!$T$3:$T$82, 'Sales Transactions'!$H$3:$H$82, $B8, 'Sales Transactions'!$L$3:$L$82, "Spot Commodity Clearing")))</f>
        <v>213595</v>
      </c>
      <c r="E8" s="118">
        <f>IF(AND($C$4&lt;&gt;"All Basins", $C$4&lt;&gt;$B8), 0, IF(AND($F$4&lt;&gt;"All Channels", $F$4&lt;&gt;"Long-Term Pipeline Offtake"), 0, SUMIFS('Sales Transactions'!$T$3:$T$82, 'Sales Transactions'!$H$3:$H$82, $B8, 'Sales Transactions'!$L$3:$L$82, "Long-Term Pipeline Offtake")))</f>
        <v>77950</v>
      </c>
      <c r="F8" s="118">
        <f>IF(AND($C$4&lt;&gt;"All Basins", $C$4&lt;&gt;$B8), 0, IF($F$4&lt;&gt;"All Channels", IF(OR($F$4="Export LNG Terminal", $F$4="Spot Commodity Clearing", $F$4="Long-Term Pipeline Offtake"), 0, SUMIFS('Sales Transactions'!$T$3:$T$82, 'Sales Transactions'!$H$3:$H$82, $B8, 'Sales Transactions'!$L$3:$L$82, $F$4)), MAX(0, SUMIFS('Sales Transactions'!$T$3:$T$82, 'Sales Transactions'!$H$3:$H$82, $B8) - SUM($C8:$E8))))</f>
        <v>136600</v>
      </c>
      <c r="G8" s="39">
        <f>SUM(C8:F8)</f>
        <v>1057245</v>
      </c>
      <c r="H8" s="41">
        <f>IF(AND($C$4&lt;&gt;"All Basins", $C$4&lt;&gt;$B8), 0, IF($F$4="All Channels", SUMIFS('Sales Transactions'!$V$3:$V$82, 'Sales Transactions'!$H$3:$H$82, $B8), SUMIFS('Sales Transactions'!$V$3:$V$82, 'Sales Transactions'!$H$3:$H$82, $B8, 'Sales Transactions'!$L$3:$L$82, $F$4)))</f>
        <v>670145</v>
      </c>
      <c r="I8" s="119">
        <f>IF(G8&gt;0, H8/G8, 0)</f>
        <v>0.6339</v>
      </c>
    </row>
    <row r="9" ht="19" customHeight="1" spans="2:9" x14ac:dyDescent="0.25">
      <c r="B9" s="57" t="s">
        <v>42</v>
      </c>
      <c r="C9" s="116">
        <f>IF(AND($C$4&lt;&gt;"All Basins", $C$4&lt;&gt;$B9), 0, IF(AND($F$4&lt;&gt;"All Channels", $F$4&lt;&gt;"Export LNG Terminal"), 0, SUMIFS('Sales Transactions'!$T$3:$T$82, 'Sales Transactions'!$H$3:$H$82, $B9, 'Sales Transactions'!$L$3:$L$82, "Export LNG Terminal")))</f>
        <v>59850</v>
      </c>
      <c r="D9" s="116">
        <f>IF(AND($C$4&lt;&gt;"All Basins", $C$4&lt;&gt;$B9), 0, IF(AND($F$4&lt;&gt;"All Channels", $F$4&lt;&gt;"Spot Commodity Clearing"), 0, SUMIFS('Sales Transactions'!$T$3:$T$82, 'Sales Transactions'!$H$3:$H$82, $B9, 'Sales Transactions'!$L$3:$L$82, "Spot Commodity Clearing")))</f>
        <v>321895</v>
      </c>
      <c r="E9" s="116">
        <f>IF(AND($C$4&lt;&gt;"All Basins", $C$4&lt;&gt;$B9), 0, IF(AND($F$4&lt;&gt;"All Channels", $F$4&lt;&gt;"Long-Term Pipeline Offtake"), 0, SUMIFS('Sales Transactions'!$T$3:$T$82, 'Sales Transactions'!$H$3:$H$82, $B9, 'Sales Transactions'!$L$3:$L$82, "Long-Term Pipeline Offtake")))</f>
        <v>297890</v>
      </c>
      <c r="F9" s="116">
        <f>IF(AND($C$4&lt;&gt;"All Basins", $C$4&lt;&gt;$B9), 0, IF($F$4&lt;&gt;"All Channels", IF(OR($F$4="Export LNG Terminal", $F$4="Spot Commodity Clearing", $F$4="Long-Term Pipeline Offtake"), 0, SUMIFS('Sales Transactions'!$T$3:$T$82, 'Sales Transactions'!$H$3:$H$82, $B9, 'Sales Transactions'!$L$3:$L$82, $F$4)), MAX(0, SUMIFS('Sales Transactions'!$T$3:$T$82, 'Sales Transactions'!$H$3:$H$82, $B9) - SUM($C9:$E9))))</f>
        <v>169640</v>
      </c>
      <c r="G9" s="26">
        <f>SUM(C9:F9)</f>
        <v>849275</v>
      </c>
      <c r="H9" s="28">
        <f>IF(AND($C$4&lt;&gt;"All Basins", $C$4&lt;&gt;$B9), 0, IF($F$4="All Channels", SUMIFS('Sales Transactions'!$V$3:$V$82, 'Sales Transactions'!$H$3:$H$82, $B9), SUMIFS('Sales Transactions'!$V$3:$V$82, 'Sales Transactions'!$H$3:$H$82, $B9, 'Sales Transactions'!$L$3:$L$82, $F$4)))</f>
        <v>544975</v>
      </c>
      <c r="I9" s="117">
        <f>IF(G9&gt;0, H9/G9, 0)</f>
        <v>0.6417</v>
      </c>
    </row>
    <row r="10" ht="19" customHeight="1" spans="2:9" x14ac:dyDescent="0.25">
      <c r="B10" s="60" t="s">
        <v>44</v>
      </c>
      <c r="C10" s="118">
        <f>IF(AND($C$4&lt;&gt;"All Basins", $C$4&lt;&gt;$B10), 0, IF(AND($F$4&lt;&gt;"All Channels", $F$4&lt;&gt;"Export LNG Terminal"), 0, SUMIFS('Sales Transactions'!$T$3:$T$82, 'Sales Transactions'!$H$3:$H$82, $B10, 'Sales Transactions'!$L$3:$L$82, "Export LNG Terminal")))</f>
        <v>226025</v>
      </c>
      <c r="D10" s="118">
        <f>IF(AND($C$4&lt;&gt;"All Basins", $C$4&lt;&gt;$B10), 0, IF(AND($F$4&lt;&gt;"All Channels", $F$4&lt;&gt;"Spot Commodity Clearing"), 0, SUMIFS('Sales Transactions'!$T$3:$T$82, 'Sales Transactions'!$H$3:$H$82, $B10, 'Sales Transactions'!$L$3:$L$82, "Spot Commodity Clearing")))</f>
        <v>19950</v>
      </c>
      <c r="E10" s="118">
        <f>IF(AND($C$4&lt;&gt;"All Basins", $C$4&lt;&gt;$B10), 0, IF(AND($F$4&lt;&gt;"All Channels", $F$4&lt;&gt;"Long-Term Pipeline Offtake"), 0, SUMIFS('Sales Transactions'!$T$3:$T$82, 'Sales Transactions'!$H$3:$H$82, $B10, 'Sales Transactions'!$L$3:$L$82, "Long-Term Pipeline Offtake")))</f>
        <v>321250</v>
      </c>
      <c r="F10" s="118">
        <f>IF(AND($C$4&lt;&gt;"All Basins", $C$4&lt;&gt;$B10), 0, IF($F$4&lt;&gt;"All Channels", IF(OR($F$4="Export LNG Terminal", $F$4="Spot Commodity Clearing", $F$4="Long-Term Pipeline Offtake"), 0, SUMIFS('Sales Transactions'!$T$3:$T$82, 'Sales Transactions'!$H$3:$H$82, $B10, 'Sales Transactions'!$L$3:$L$82, $F$4)), MAX(0, SUMIFS('Sales Transactions'!$T$3:$T$82, 'Sales Transactions'!$H$3:$H$82, $B10) - SUM($C10:$E10))))</f>
        <v>177450</v>
      </c>
      <c r="G10" s="39">
        <f>SUM(C10:F10)</f>
        <v>744675</v>
      </c>
      <c r="H10" s="41">
        <f>IF(AND($C$4&lt;&gt;"All Basins", $C$4&lt;&gt;$B10), 0, IF($F$4="All Channels", SUMIFS('Sales Transactions'!$V$3:$V$82, 'Sales Transactions'!$H$3:$H$82, $B10), SUMIFS('Sales Transactions'!$V$3:$V$82, 'Sales Transactions'!$H$3:$H$82, $B10, 'Sales Transactions'!$L$3:$L$82, $F$4)))</f>
        <v>456575</v>
      </c>
      <c r="I10" s="119">
        <f>IF(G10&gt;0, H10/G10, 0)</f>
        <v>0.6131</v>
      </c>
    </row>
    <row r="11" ht="20" customHeight="1" spans="2:9" x14ac:dyDescent="0.25">
      <c r="B11" s="51" t="s">
        <v>131</v>
      </c>
      <c r="C11" s="53">
        <f>SUM(C7:C10)</f>
        <v>1194420</v>
      </c>
      <c r="D11" s="53">
        <f>SUM(D7:D10)</f>
        <v>1004910</v>
      </c>
      <c r="E11" s="53">
        <f>SUM(E7:E10)</f>
        <v>826730</v>
      </c>
      <c r="F11" s="53">
        <f>SUM(F7:F10)</f>
        <v>743285</v>
      </c>
      <c r="G11" s="53">
        <f>SUM(G7:G10)</f>
        <v>3769345</v>
      </c>
      <c r="H11" s="53">
        <f>SUM(H7:H10)</f>
        <v>2392445</v>
      </c>
      <c r="I11" s="120">
        <f>IF(G11&gt;0, H11/G11, 0)</f>
        <v>0.6347</v>
      </c>
    </row>
    <row r="13" ht="22" customHeight="1" spans="2:9" x14ac:dyDescent="0.25">
      <c r="B13" s="20" t="s">
        <v>132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128</v>
      </c>
      <c r="H14" s="22" t="s">
        <v>133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Basins", $C$4&lt;&gt;"Bakken Formation"), 0, IF($F$4="All Channels", SUMIFS('Sales Transactions'!$T$3:$T$82, 'Sales Transactions'!$O$3:$O$82, $B15, 'Sales Transactions'!$H$3:$H$82, "Bakken Formation"), SUMIFS('Sales Transactions'!$T$3:$T$82, 'Sales Transactions'!$O$3:$O$82, $B15, 'Sales Transactions'!$H$3:$H$82, "Bakken Formation", 'Sales Transactions'!$L$3:$L$82, $F$4)))</f>
        <v>366250</v>
      </c>
      <c r="D15" s="116">
        <f>IF(AND($C$4&lt;&gt;"All Basins", $C$4&lt;&gt;"Permian Delaware Basin"), 0, IF($F$4="All Channels", SUMIFS('Sales Transactions'!$T$3:$T$82, 'Sales Transactions'!$O$3:$O$82, $B15, 'Sales Transactions'!$H$3:$H$82, "Permian Delaware Basin"), SUMIFS('Sales Transactions'!$T$3:$T$82, 'Sales Transactions'!$O$3:$O$82, $B15, 'Sales Transactions'!$H$3:$H$82, "Permian Delaware Basin", 'Sales Transactions'!$L$3:$L$82, $F$4)))</f>
        <v>386250</v>
      </c>
      <c r="E15" s="116">
        <f>IF(AND($C$4&lt;&gt;"All Basins", $C$4&lt;&gt;"Athabasca Resource Zone"), 0, IF($F$4="All Channels", SUMIFS('Sales Transactions'!$T$3:$T$82, 'Sales Transactions'!$O$3:$O$82, $B15, 'Sales Transactions'!$H$3:$H$82, "Athabasca Resource Zone"), SUMIFS('Sales Transactions'!$T$3:$T$82, 'Sales Transactions'!$O$3:$O$82, $B15, 'Sales Transactions'!$H$3:$H$82, "Athabasca Resource Zone", 'Sales Transactions'!$L$3:$L$82, $F$4)))</f>
        <v>313750</v>
      </c>
      <c r="F15" s="116">
        <f>IF(AND($C$4&lt;&gt;"All Basins", $C$4&lt;&gt;"Eagle Ford Shale Play"), 0, IF($F$4="All Channels", SUMIFS('Sales Transactions'!$T$3:$T$82, 'Sales Transactions'!$O$3:$O$82, $B15, 'Sales Transactions'!$H$3:$H$82, "Eagle Ford Shale Play"), SUMIFS('Sales Transactions'!$T$3:$T$82, 'Sales Transactions'!$O$3:$O$82, $B15, 'Sales Transactions'!$H$3:$H$82, "Eagle Ford Shale Play", 'Sales Transactions'!$L$3:$L$82, $F$4)))</f>
        <v>321250</v>
      </c>
      <c r="G15" s="26">
        <f>SUM(C15:F15)</f>
        <v>1427500</v>
      </c>
      <c r="H15" s="33">
        <f>IF(AND($C$4="All Basins", $F$4="All Channels"), SUMIFS('Sales Transactions'!$R$3:$R$82, 'Sales Transactions'!$O$3:$O$82, $B15), IF($C$4="All Basins",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66</v>
      </c>
      <c r="I15" s="117">
        <f>IF(G15&gt;0, (IF(AND($C$4="All Basins", $F$4="All Channels"), SUMIFS('Sales Transactions'!$V$3:$V$82, 'Sales Transactions'!$O$3:$O$82, $B15), IF($C$4="All Basins",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0.6209</v>
      </c>
    </row>
    <row r="16" ht="19" customHeight="1" spans="2:9" x14ac:dyDescent="0.25">
      <c r="B16" s="60" t="s">
        <v>93</v>
      </c>
      <c r="C16" s="118">
        <f>IF(AND($C$4&lt;&gt;"All Basins", $C$4&lt;&gt;"Bakken Formation"), 0, IF($F$4="All Channels", SUMIFS('Sales Transactions'!$T$3:$T$82, 'Sales Transactions'!$O$3:$O$82, $B16, 'Sales Transactions'!$H$3:$H$82, "Bakken Formation"), SUMIFS('Sales Transactions'!$T$3:$T$82, 'Sales Transactions'!$O$3:$O$82, $B16, 'Sales Transactions'!$H$3:$H$82, "Bakken Formation", 'Sales Transactions'!$L$3:$L$82, $F$4)))</f>
        <v>179550</v>
      </c>
      <c r="D16" s="118">
        <f>IF(AND($C$4&lt;&gt;"All Basins", $C$4&lt;&gt;"Permian Delaware Basin"), 0, IF($F$4="All Channels", SUMIFS('Sales Transactions'!$T$3:$T$82, 'Sales Transactions'!$O$3:$O$82, $B16, 'Sales Transactions'!$H$3:$H$82, "Permian Delaware Basin"), SUMIFS('Sales Transactions'!$T$3:$T$82, 'Sales Transactions'!$O$3:$O$82, $B16, 'Sales Transactions'!$H$3:$H$82, "Permian Delaware Basin", 'Sales Transactions'!$L$3:$L$82, $F$4)))</f>
        <v>352800</v>
      </c>
      <c r="E16" s="118">
        <f>IF(AND($C$4&lt;&gt;"All Basins", $C$4&lt;&gt;"Athabasca Resource Zone"), 0, IF($F$4="All Channels", SUMIFS('Sales Transactions'!$T$3:$T$82, 'Sales Transactions'!$O$3:$O$82, $B16, 'Sales Transactions'!$H$3:$H$82, "Athabasca Resource Zone"), SUMIFS('Sales Transactions'!$T$3:$T$82, 'Sales Transactions'!$O$3:$O$82, $B16, 'Sales Transactions'!$H$3:$H$82, "Athabasca Resource Zone", 'Sales Transactions'!$L$3:$L$82, $F$4)))</f>
        <v>55650</v>
      </c>
      <c r="F16" s="118">
        <f>IF(AND($C$4&lt;&gt;"All Basins", $C$4&lt;&gt;"Eagle Ford Shale Play"), 0, IF($F$4="All Channels", SUMIFS('Sales Transactions'!$T$3:$T$82, 'Sales Transactions'!$O$3:$O$82, $B16, 'Sales Transactions'!$H$3:$H$82, "Eagle Ford Shale Play"), SUMIFS('Sales Transactions'!$T$3:$T$82, 'Sales Transactions'!$O$3:$O$82, $B16, 'Sales Transactions'!$H$3:$H$82, "Eagle Ford Shale Play", 'Sales Transactions'!$L$3:$L$82, $F$4)))</f>
        <v>156450</v>
      </c>
      <c r="G16" s="39">
        <f>SUM(C16:F16)</f>
        <v>819000</v>
      </c>
      <c r="H16" s="46">
        <f>IF(AND($C$4="All Basins", $F$4="All Channels"), SUMIFS('Sales Transactions'!$R$3:$R$82, 'Sales Transactions'!$O$3:$O$82, $B16), IF($C$4="All Basins",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44</v>
      </c>
      <c r="I16" s="119">
        <f>IF(G16&gt;0, (IF(AND($C$4="All Basins", $F$4="All Channels"), SUMIFS('Sales Transactions'!$V$3:$V$82, 'Sales Transactions'!$O$3:$O$82, $B16), IF($C$4="All Basins",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0.6347</v>
      </c>
    </row>
    <row r="17" ht="19" customHeight="1" spans="2:9" x14ac:dyDescent="0.25">
      <c r="B17" s="57" t="s">
        <v>97</v>
      </c>
      <c r="C17" s="116">
        <f>IF(AND($C$4&lt;&gt;"All Basins", $C$4&lt;&gt;"Bakken Formation"), 0, IF($F$4="All Channels", SUMIFS('Sales Transactions'!$T$3:$T$82, 'Sales Transactions'!$O$3:$O$82, $B17, 'Sales Transactions'!$H$3:$H$82, "Bakken Formation"), SUMIFS('Sales Transactions'!$T$3:$T$82, 'Sales Transactions'!$O$3:$O$82, $B17, 'Sales Transactions'!$H$3:$H$82, "Bakken Formation", 'Sales Transactions'!$L$3:$L$82, $F$4)))</f>
        <v>27825</v>
      </c>
      <c r="D17" s="116">
        <f>IF(AND($C$4&lt;&gt;"All Basins", $C$4&lt;&gt;"Permian Delaware Basin"), 0, IF($F$4="All Channels", SUMIFS('Sales Transactions'!$T$3:$T$82, 'Sales Transactions'!$O$3:$O$82, $B17, 'Sales Transactions'!$H$3:$H$82, "Permian Delaware Basin"), SUMIFS('Sales Transactions'!$T$3:$T$82, 'Sales Transactions'!$O$3:$O$82, $B17, 'Sales Transactions'!$H$3:$H$82, "Permian Delaware Basin", 'Sales Transactions'!$L$3:$L$82, $F$4)))</f>
        <v>240450</v>
      </c>
      <c r="E17" s="116">
        <f>IF(AND($C$4&lt;&gt;"All Basins", $C$4&lt;&gt;"Athabasca Resource Zone"), 0, IF($F$4="All Channels", SUMIFS('Sales Transactions'!$T$3:$T$82, 'Sales Transactions'!$O$3:$O$82, $B17, 'Sales Transactions'!$H$3:$H$82, "Athabasca Resource Zone"), SUMIFS('Sales Transactions'!$T$3:$T$82, 'Sales Transactions'!$O$3:$O$82, $B17, 'Sales Transactions'!$H$3:$H$82, "Athabasca Resource Zone", 'Sales Transactions'!$L$3:$L$82, $F$4)))</f>
        <v>172725</v>
      </c>
      <c r="F17" s="116">
        <f>IF(AND($C$4&lt;&gt;"All Basins", $C$4&lt;&gt;"Eagle Ford Shale Play"), 0, IF($F$4="All Channels", SUMIFS('Sales Transactions'!$T$3:$T$82, 'Sales Transactions'!$O$3:$O$82, $B17, 'Sales Transactions'!$H$3:$H$82, "Eagle Ford Shale Play"), SUMIFS('Sales Transactions'!$T$3:$T$82, 'Sales Transactions'!$O$3:$O$82, $B17, 'Sales Transactions'!$H$3:$H$82, "Eagle Ford Shale Play", 'Sales Transactions'!$L$3:$L$82, $F$4)))</f>
        <v>88725</v>
      </c>
      <c r="G17" s="26">
        <f>SUM(C17:F17)</f>
        <v>573825</v>
      </c>
      <c r="H17" s="33">
        <f>IF(AND($C$4="All Basins", $F$4="All Channels"), SUMIFS('Sales Transactions'!$R$3:$R$82, 'Sales Transactions'!$O$3:$O$82, $B17), IF($C$4="All Basins",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59</v>
      </c>
      <c r="I17" s="117">
        <f>IF(G17&gt;0, (IF(AND($C$4="All Basins", $F$4="All Channels"), SUMIFS('Sales Transactions'!$V$3:$V$82, 'Sales Transactions'!$O$3:$O$82, $B17), IF($C$4="All Basins",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0.6504</v>
      </c>
    </row>
    <row r="18" ht="19" customHeight="1" spans="2:9" x14ac:dyDescent="0.25">
      <c r="B18" s="60" t="s">
        <v>100</v>
      </c>
      <c r="C18" s="118">
        <f>IF(AND($C$4&lt;&gt;"All Basins", $C$4&lt;&gt;"Bakken Formation"), 0, IF($F$4="All Channels", SUMIFS('Sales Transactions'!$T$3:$T$82, 'Sales Transactions'!$O$3:$O$82, $B18, 'Sales Transactions'!$H$3:$H$82, "Bakken Formation"), SUMIFS('Sales Transactions'!$T$3:$T$82, 'Sales Transactions'!$O$3:$O$82, $B18, 'Sales Transactions'!$H$3:$H$82, "Bakken Formation", 'Sales Transactions'!$L$3:$L$82, $F$4)))</f>
        <v>163200</v>
      </c>
      <c r="D18" s="118">
        <f>IF(AND($C$4&lt;&gt;"All Basins", $C$4&lt;&gt;"Permian Delaware Basin"), 0, IF($F$4="All Channels", SUMIFS('Sales Transactions'!$T$3:$T$82, 'Sales Transactions'!$O$3:$O$82, $B18, 'Sales Transactions'!$H$3:$H$82, "Permian Delaware Basin"), SUMIFS('Sales Transactions'!$T$3:$T$82, 'Sales Transactions'!$O$3:$O$82, $B18, 'Sales Transactions'!$H$3:$H$82, "Permian Delaware Basin", 'Sales Transactions'!$L$3:$L$82, $F$4)))</f>
        <v>0</v>
      </c>
      <c r="E18" s="118">
        <f>IF(AND($C$4&lt;&gt;"All Basins", $C$4&lt;&gt;"Athabasca Resource Zone"), 0, IF($F$4="All Channels", SUMIFS('Sales Transactions'!$T$3:$T$82, 'Sales Transactions'!$O$3:$O$82, $B18, 'Sales Transactions'!$H$3:$H$82, "Athabasca Resource Zone"), SUMIFS('Sales Transactions'!$T$3:$T$82, 'Sales Transactions'!$O$3:$O$82, $B18, 'Sales Transactions'!$H$3:$H$82, "Athabasca Resource Zone", 'Sales Transactions'!$L$3:$L$82, $F$4)))</f>
        <v>208250</v>
      </c>
      <c r="F18" s="118">
        <f>IF(AND($C$4&lt;&gt;"All Basins", $C$4&lt;&gt;"Eagle Ford Shale Play"), 0, IF($F$4="All Channels", SUMIFS('Sales Transactions'!$T$3:$T$82, 'Sales Transactions'!$O$3:$O$82, $B18, 'Sales Transactions'!$H$3:$H$82, "Eagle Ford Shale Play"), SUMIFS('Sales Transactions'!$T$3:$T$82, 'Sales Transactions'!$O$3:$O$82, $B18, 'Sales Transactions'!$H$3:$H$82, "Eagle Ford Shale Play", 'Sales Transactions'!$L$3:$L$82, $F$4)))</f>
        <v>164050</v>
      </c>
      <c r="G18" s="39">
        <f>SUM(C18:F18)</f>
        <v>552500</v>
      </c>
      <c r="H18" s="46">
        <f>IF(AND($C$4="All Basins", $F$4="All Channels"), SUMIFS('Sales Transactions'!$R$3:$R$82, 'Sales Transactions'!$O$3:$O$82, $B18), IF($C$4="All Basins",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36</v>
      </c>
      <c r="I18" s="119">
        <f>IF(G18&gt;0, (IF(AND($C$4="All Basins", $F$4="All Channels"), SUMIFS('Sales Transactions'!$V$3:$V$82, 'Sales Transactions'!$O$3:$O$82, $B18), IF($C$4="All Basins",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0.6416</v>
      </c>
    </row>
    <row r="19" ht="19" customHeight="1" spans="2:9" x14ac:dyDescent="0.25">
      <c r="B19" s="57" t="s">
        <v>103</v>
      </c>
      <c r="C19" s="116">
        <f>IF(AND($C$4&lt;&gt;"All Basins", $C$4&lt;&gt;"Bakken Formation"), 0, IF($F$4="All Channels", SUMIFS('Sales Transactions'!$T$3:$T$82, 'Sales Transactions'!$O$3:$O$82, $B19, 'Sales Transactions'!$H$3:$H$82, "Bakken Formation"), SUMIFS('Sales Transactions'!$T$3:$T$82, 'Sales Transactions'!$O$3:$O$82, $B19, 'Sales Transactions'!$H$3:$H$82, "Bakken Formation", 'Sales Transactions'!$L$3:$L$82, $F$4)))</f>
        <v>64965</v>
      </c>
      <c r="D19" s="116">
        <f>IF(AND($C$4&lt;&gt;"All Basins", $C$4&lt;&gt;"Permian Delaware Basin"), 0, IF($F$4="All Channels", SUMIFS('Sales Transactions'!$T$3:$T$82, 'Sales Transactions'!$O$3:$O$82, $B19, 'Sales Transactions'!$H$3:$H$82, "Permian Delaware Basin"), SUMIFS('Sales Transactions'!$T$3:$T$82, 'Sales Transactions'!$O$3:$O$82, $B19, 'Sales Transactions'!$H$3:$H$82, "Permian Delaware Basin", 'Sales Transactions'!$L$3:$L$82, $F$4)))</f>
        <v>77745</v>
      </c>
      <c r="E19" s="116">
        <f>IF(AND($C$4&lt;&gt;"All Basins", $C$4&lt;&gt;"Athabasca Resource Zone"), 0, IF($F$4="All Channels", SUMIFS('Sales Transactions'!$T$3:$T$82, 'Sales Transactions'!$O$3:$O$82, $B19, 'Sales Transactions'!$H$3:$H$82, "Athabasca Resource Zone"), SUMIFS('Sales Transactions'!$T$3:$T$82, 'Sales Transactions'!$O$3:$O$82, $B19, 'Sales Transactions'!$H$3:$H$82, "Athabasca Resource Zone", 'Sales Transactions'!$L$3:$L$82, $F$4)))</f>
        <v>39050</v>
      </c>
      <c r="F19" s="116">
        <f>IF(AND($C$4&lt;&gt;"All Basins", $C$4&lt;&gt;"Eagle Ford Shale Play"), 0, IF($F$4="All Channels", SUMIFS('Sales Transactions'!$T$3:$T$82, 'Sales Transactions'!$O$3:$O$82, $B19, 'Sales Transactions'!$H$3:$H$82, "Eagle Ford Shale Play"), SUMIFS('Sales Transactions'!$T$3:$T$82, 'Sales Transactions'!$O$3:$O$82, $B19, 'Sales Transactions'!$H$3:$H$82, "Eagle Ford Shale Play", 'Sales Transactions'!$L$3:$L$82, $F$4)))</f>
        <v>14200</v>
      </c>
      <c r="G19" s="26">
        <f>SUM(C19:F19)</f>
        <v>231460</v>
      </c>
      <c r="H19" s="33">
        <f>IF(AND($C$4="All Basins", $F$4="All Channels"), SUMIFS('Sales Transactions'!$R$3:$R$82, 'Sales Transactions'!$O$3:$O$82, $B19), IF($C$4="All Basins",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35</v>
      </c>
      <c r="I19" s="117">
        <f>IF(G19&gt;0, (IF(AND($C$4="All Basins", $F$4="All Channels"), SUMIFS('Sales Transactions'!$V$3:$V$82, 'Sales Transactions'!$O$3:$O$82, $B19), IF($C$4="All Basins",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0.6522</v>
      </c>
    </row>
    <row r="20" ht="20" customHeight="1" spans="2:9" x14ac:dyDescent="0.25">
      <c r="B20" s="51" t="s">
        <v>134</v>
      </c>
      <c r="C20" s="53">
        <f>SUM(C15:C19)</f>
        <v>869830</v>
      </c>
      <c r="D20" s="53">
        <f>SUM(D15:D19)</f>
        <v>1057245</v>
      </c>
      <c r="E20" s="53">
        <f>SUM(E15:E19)</f>
        <v>849275</v>
      </c>
      <c r="F20" s="53">
        <f>SUM(F15:F19)</f>
        <v>744675</v>
      </c>
      <c r="G20" s="53">
        <f>SUM(G15:G19)</f>
        <v>3769345</v>
      </c>
      <c r="H20" s="52">
        <f>SUM(H15:H19)</f>
        <v>254</v>
      </c>
      <c r="I20" s="120">
        <f>IF(G20&gt;0, SUMPRODUCT(G15:G19, I15:I19)/G20, 0)</f>
        <v>0.6347</v>
      </c>
    </row>
    <row r="22" ht="22" customHeight="1" spans="2:9" x14ac:dyDescent="0.25">
      <c r="B22" s="20" t="s">
        <v>135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136</v>
      </c>
      <c r="C23" s="22" t="s">
        <v>128</v>
      </c>
      <c r="D23" s="22" t="s">
        <v>137</v>
      </c>
      <c r="E23" s="22" t="s">
        <v>35</v>
      </c>
      <c r="F23" s="22" t="s">
        <v>27</v>
      </c>
      <c r="G23" s="22" t="s">
        <v>138</v>
      </c>
      <c r="H23" s="22" t="s">
        <v>139</v>
      </c>
      <c r="I23" s="22" t="s">
        <v>140</v>
      </c>
    </row>
    <row r="24" ht="19" customHeight="1" spans="2:9" x14ac:dyDescent="0.25">
      <c r="B24" s="57" t="s">
        <v>141</v>
      </c>
      <c r="C24" s="26">
        <f>IF(AND($C$4="All Basins", $F$4="All Channels"), SUMIFS('Sales Transactions'!$T$3:$T$82, 'Sales Transactions'!$C$3:$C$82, "Q1-2024"), IF($C$4="All Basins",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336010</v>
      </c>
      <c r="D24" s="116">
        <f>IF(AND($C$4="All Basins", $F$4="All Channels"), SUMIFS('Sales Transactions'!$U$3:$U$82, 'Sales Transactions'!$C$3:$C$82, "Q1-2024"), IF($C$4="All Basins",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115700</v>
      </c>
      <c r="E24" s="28">
        <f>C24-D24</f>
        <v>220310</v>
      </c>
      <c r="F24" s="117">
        <f>IF(C24&gt;0, E24/C24, 0)</f>
        <v>0.6557</v>
      </c>
      <c r="G24" s="33">
        <f>IF(AND($C$4="All Basins", $F$4="All Channels"), COUNTIFS('Sales Transactions'!$C$3:$C$82, "Q1-2024"), IF($C$4="All Basins",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24000.71</v>
      </c>
      <c r="I24" s="122" t="str">
        <f>REPT("■", ROUND(F24*20, 0))</f>
        <v>■■■■■■■■■■■■■</v>
      </c>
    </row>
    <row r="25" ht="19" customHeight="1" spans="2:9" x14ac:dyDescent="0.25">
      <c r="B25" s="60" t="s">
        <v>142</v>
      </c>
      <c r="C25" s="39">
        <f>IF(AND($C$4="All Basins", $F$4="All Channels"), SUMIFS('Sales Transactions'!$T$3:$T$82, 'Sales Transactions'!$C$3:$C$82, "Q2-2024"), IF($C$4="All Basins",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915400</v>
      </c>
      <c r="D25" s="118">
        <f>IF(AND($C$4="All Basins", $F$4="All Channels"), SUMIFS('Sales Transactions'!$U$3:$U$82, 'Sales Transactions'!$C$3:$C$82, "Q2-2024"), IF($C$4="All Basins",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342900</v>
      </c>
      <c r="E25" s="41">
        <f>C25-D25</f>
        <v>572500</v>
      </c>
      <c r="F25" s="119">
        <f>IF(C25&gt;0, E25/C25, 0)</f>
        <v>0.6254</v>
      </c>
      <c r="G25" s="46">
        <f>IF(AND($C$4="All Basins", $F$4="All Channels"), COUNTIFS('Sales Transactions'!$C$3:$C$82, "Q2-2024"), IF($C$4="All Basins",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70415.38</v>
      </c>
      <c r="I25" s="124" t="str">
        <f>REPT("■", ROUND(F25*20, 0))</f>
        <v>■■■■■■■■■■■■■</v>
      </c>
    </row>
    <row r="26" ht="19" customHeight="1" spans="2:9" x14ac:dyDescent="0.25">
      <c r="B26" s="57" t="s">
        <v>143</v>
      </c>
      <c r="C26" s="26">
        <f>IF(AND($C$4="All Basins", $F$4="All Channels"), SUMIFS('Sales Transactions'!$T$3:$T$82, 'Sales Transactions'!$C$3:$C$82, "Q3-2024"), IF($C$4="All Basins",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662535</v>
      </c>
      <c r="D26" s="116">
        <f>IF(AND($C$4="All Basins", $F$4="All Channels"), SUMIFS('Sales Transactions'!$U$3:$U$82, 'Sales Transactions'!$C$3:$C$82, "Q3-2024"), IF($C$4="All Basins",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235400</v>
      </c>
      <c r="E26" s="28">
        <f>C26-D26</f>
        <v>427135</v>
      </c>
      <c r="F26" s="117">
        <f>IF(C26&gt;0, E26/C26, 0)</f>
        <v>0.6447</v>
      </c>
      <c r="G26" s="33">
        <f>IF(AND($C$4="All Basins", $F$4="All Channels"), COUNTIFS('Sales Transactions'!$C$3:$C$82, "Q3-2024"), IF($C$4="All Basins",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55211.25</v>
      </c>
      <c r="I26" s="122" t="str">
        <f>REPT("■", ROUND(F26*20, 0))</f>
        <v>■■■■■■■■■■■■■</v>
      </c>
    </row>
    <row r="27" ht="19" customHeight="1" spans="2:9" x14ac:dyDescent="0.25">
      <c r="B27" s="60" t="s">
        <v>144</v>
      </c>
      <c r="C27" s="39">
        <f>IF(AND($C$4="All Basins", $F$4="All Channels"), SUMIFS('Sales Transactions'!$T$3:$T$82, 'Sales Transactions'!$C$3:$C$82, "Q4-2024"), IF($C$4="All Basins",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435620</v>
      </c>
      <c r="D27" s="118">
        <f>IF(AND($C$4="All Basins", $F$4="All Channels"), SUMIFS('Sales Transactions'!$U$3:$U$82, 'Sales Transactions'!$C$3:$C$82, "Q4-2024"), IF($C$4="All Basins",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161200</v>
      </c>
      <c r="E27" s="41">
        <f>C27-D27</f>
        <v>274420</v>
      </c>
      <c r="F27" s="119">
        <f>IF(C27&gt;0, E27/C27, 0)</f>
        <v>0.63</v>
      </c>
      <c r="G27" s="46">
        <f>IF(AND($C$4="All Basins", $F$4="All Channels"), COUNTIFS('Sales Transactions'!$C$3:$C$82, "Q4-2024"), IF($C$4="All Basins",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62231.43</v>
      </c>
      <c r="I27" s="124" t="str">
        <f>REPT("■", ROUND(F27*20, 0))</f>
        <v>■■■■■■■■■■■■■</v>
      </c>
    </row>
    <row r="28" ht="20" customHeight="1" spans="2:9" x14ac:dyDescent="0.25">
      <c r="B28" s="51" t="s">
        <v>145</v>
      </c>
      <c r="C28" s="53">
        <f>SUM(C24:C27)</f>
        <v>3769345</v>
      </c>
      <c r="D28" s="53">
        <f>SUM(D24:D27)</f>
        <v>1376900</v>
      </c>
      <c r="E28" s="53">
        <f>SUM(E24:E27)</f>
        <v>2392445</v>
      </c>
      <c r="F28" s="120">
        <f>IF(C28&gt;0, E28/C28, 0)</f>
        <v>0.6347</v>
      </c>
      <c r="G28" s="52">
        <f>SUM(G24:G27)</f>
        <v>80</v>
      </c>
      <c r="H28" s="125">
        <f>IF(G28&gt;0, C28/G28, 0)</f>
        <v>47116.81</v>
      </c>
      <c r="I28" s="126"/>
    </row>
    <row r="31" ht="14" customHeight="1" x14ac:dyDescent="0.25"/>
    <row r="32" ht="28" customHeight="1" spans="2:18" x14ac:dyDescent="0.25">
      <c r="B32" s="109" t="s">
        <v>146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122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123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d9edEKYGABxw86v0A48TpY1LzYejV4nHsqAPF9Tu1o8rkpNP2baiAYwrwRDX99rE9etpNSGTm6qGyUj/+wCIZQ==" saltValue="9q4iaItZ1OWUf9pQfKh6rg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Basins,Permian Delaware Basin,Bakken Formation,Athabasca Resource Zone,Eagle Ford Shale Play,Gulf of Mexico Deepwater"</formula1>
    </dataValidation>
    <dataValidation type="list" sqref="F4">
      <formula1>"All Channels,Export LNG Terminal,Spot Commodity Clearing,Long-Term Pipeline Offtake,Refinery Direct Supply,Industrial Bulk Wholesale"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148</v>
      </c>
      <c r="B2" s="128" t="s">
        <v>149</v>
      </c>
      <c r="C2" s="128" t="s">
        <v>150</v>
      </c>
      <c r="D2" s="128" t="s">
        <v>151</v>
      </c>
      <c r="E2" s="128" t="s">
        <v>152</v>
      </c>
      <c r="F2" s="128" t="s">
        <v>153</v>
      </c>
      <c r="G2" s="128" t="s">
        <v>154</v>
      </c>
      <c r="H2" s="128" t="s">
        <v>155</v>
      </c>
      <c r="I2" s="128" t="s">
        <v>156</v>
      </c>
      <c r="J2" s="128" t="s">
        <v>157</v>
      </c>
      <c r="K2" s="128" t="s">
        <v>158</v>
      </c>
      <c r="L2" s="128" t="s">
        <v>159</v>
      </c>
      <c r="M2" s="128" t="s">
        <v>160</v>
      </c>
      <c r="N2" s="128" t="s">
        <v>161</v>
      </c>
      <c r="O2" s="128" t="s">
        <v>162</v>
      </c>
      <c r="P2" s="128" t="s">
        <v>163</v>
      </c>
      <c r="Q2" s="128" t="s">
        <v>164</v>
      </c>
      <c r="R2" s="128" t="s">
        <v>165</v>
      </c>
      <c r="S2" s="128" t="s">
        <v>166</v>
      </c>
      <c r="T2" s="128" t="s">
        <v>167</v>
      </c>
      <c r="U2" s="128" t="s">
        <v>33</v>
      </c>
      <c r="V2" s="128" t="s">
        <v>168</v>
      </c>
      <c r="W2" s="128" t="s">
        <v>86</v>
      </c>
      <c r="X2" s="128" t="s">
        <v>169</v>
      </c>
      <c r="Y2" s="128" t="s">
        <v>170</v>
      </c>
      <c r="Z2" s="128" t="s">
        <v>171</v>
      </c>
      <c r="AA2" s="128" t="s">
        <v>172</v>
      </c>
      <c r="AB2" s="128" t="s">
        <v>173</v>
      </c>
    </row>
    <row r="3" ht="19" customHeight="1" spans="1:28" x14ac:dyDescent="0.25">
      <c r="A3" s="129" t="s">
        <v>174</v>
      </c>
      <c r="B3" s="130" t="s">
        <v>175</v>
      </c>
      <c r="C3" s="131" t="s">
        <v>141</v>
      </c>
      <c r="D3" s="131" t="s">
        <v>176</v>
      </c>
      <c r="E3" s="129" t="s">
        <v>60</v>
      </c>
      <c r="F3" s="132" t="s">
        <v>177</v>
      </c>
      <c r="G3" s="132" t="s">
        <v>178</v>
      </c>
      <c r="H3" s="132" t="s">
        <v>38</v>
      </c>
      <c r="I3" s="132" t="s">
        <v>179</v>
      </c>
      <c r="J3" s="132" t="s">
        <v>180</v>
      </c>
      <c r="K3" s="132" t="s">
        <v>181</v>
      </c>
      <c r="L3" s="132" t="s">
        <v>90</v>
      </c>
      <c r="M3" s="131" t="s">
        <v>182</v>
      </c>
      <c r="N3" s="132" t="s">
        <v>183</v>
      </c>
      <c r="O3" s="132" t="s">
        <v>184</v>
      </c>
      <c r="P3" s="133">
        <v>4100</v>
      </c>
      <c r="Q3" s="133">
        <v>12600</v>
      </c>
      <c r="R3" s="134">
        <v>1</v>
      </c>
      <c r="S3" s="135">
        <v>0</v>
      </c>
      <c r="T3" s="136">
        <f>R3*Q3*(1-S3)</f>
        <v>12600</v>
      </c>
      <c r="U3" s="133">
        <f>R3*P3</f>
        <v>4100</v>
      </c>
      <c r="V3" s="136">
        <f>T3-U3</f>
        <v>8500</v>
      </c>
      <c r="W3" s="137">
        <f>IF(T3&gt;0, V3/T3, 0)</f>
        <v>0.6746</v>
      </c>
      <c r="X3" s="131" t="s">
        <v>185</v>
      </c>
      <c r="Y3" s="131" t="s">
        <v>186</v>
      </c>
      <c r="Z3" s="136">
        <f>R3*Q3</f>
        <v>12600</v>
      </c>
      <c r="AA3" s="133">
        <f>Z3*S3</f>
        <v>0</v>
      </c>
      <c r="AB3" s="131" t="s">
        <v>186</v>
      </c>
    </row>
    <row r="4" ht="19" customHeight="1" spans="1:28" x14ac:dyDescent="0.25">
      <c r="A4" s="138" t="s">
        <v>187</v>
      </c>
      <c r="B4" s="139" t="s">
        <v>188</v>
      </c>
      <c r="C4" s="140" t="s">
        <v>141</v>
      </c>
      <c r="D4" s="140" t="s">
        <v>189</v>
      </c>
      <c r="E4" s="138" t="s">
        <v>68</v>
      </c>
      <c r="F4" s="141" t="s">
        <v>57</v>
      </c>
      <c r="G4" s="141" t="s">
        <v>190</v>
      </c>
      <c r="H4" s="141" t="s">
        <v>40</v>
      </c>
      <c r="I4" s="141" t="s">
        <v>179</v>
      </c>
      <c r="J4" s="141" t="s">
        <v>180</v>
      </c>
      <c r="K4" s="141" t="s">
        <v>191</v>
      </c>
      <c r="L4" s="141" t="s">
        <v>94</v>
      </c>
      <c r="M4" s="140" t="s">
        <v>192</v>
      </c>
      <c r="N4" s="141" t="s">
        <v>193</v>
      </c>
      <c r="O4" s="141" t="s">
        <v>103</v>
      </c>
      <c r="P4" s="142">
        <v>2300</v>
      </c>
      <c r="Q4" s="142">
        <v>7100</v>
      </c>
      <c r="R4" s="143">
        <v>1</v>
      </c>
      <c r="S4" s="144">
        <v>0.05</v>
      </c>
      <c r="T4" s="145">
        <f>R4*Q4*(1-S4)</f>
        <v>6745</v>
      </c>
      <c r="U4" s="142">
        <f>R4*P4</f>
        <v>2300</v>
      </c>
      <c r="V4" s="145">
        <f>T4-U4</f>
        <v>4445</v>
      </c>
      <c r="W4" s="146">
        <f>IF(T4&gt;0, V4/T4, 0)</f>
        <v>0.659</v>
      </c>
      <c r="X4" s="140" t="s">
        <v>194</v>
      </c>
      <c r="Y4" s="140" t="s">
        <v>186</v>
      </c>
      <c r="Z4" s="145">
        <f>R4*Q4</f>
        <v>7100</v>
      </c>
      <c r="AA4" s="142">
        <f>Z4*S4</f>
        <v>355</v>
      </c>
      <c r="AB4" s="140" t="s">
        <v>186</v>
      </c>
    </row>
    <row r="5" ht="19" customHeight="1" spans="1:28" x14ac:dyDescent="0.25">
      <c r="A5" s="129" t="s">
        <v>195</v>
      </c>
      <c r="B5" s="130" t="s">
        <v>196</v>
      </c>
      <c r="C5" s="131" t="s">
        <v>141</v>
      </c>
      <c r="D5" s="131" t="s">
        <v>197</v>
      </c>
      <c r="E5" s="129" t="s">
        <v>56</v>
      </c>
      <c r="F5" s="132" t="s">
        <v>57</v>
      </c>
      <c r="G5" s="132" t="s">
        <v>198</v>
      </c>
      <c r="H5" s="132" t="s">
        <v>38</v>
      </c>
      <c r="I5" s="132" t="s">
        <v>179</v>
      </c>
      <c r="J5" s="132" t="s">
        <v>180</v>
      </c>
      <c r="K5" s="132" t="s">
        <v>199</v>
      </c>
      <c r="L5" s="132" t="s">
        <v>200</v>
      </c>
      <c r="M5" s="131" t="s">
        <v>201</v>
      </c>
      <c r="N5" s="132" t="s">
        <v>202</v>
      </c>
      <c r="O5" s="132" t="s">
        <v>97</v>
      </c>
      <c r="P5" s="133">
        <v>3400</v>
      </c>
      <c r="Q5" s="133">
        <v>10500</v>
      </c>
      <c r="R5" s="134">
        <v>1</v>
      </c>
      <c r="S5" s="135">
        <v>0.15</v>
      </c>
      <c r="T5" s="136">
        <f>R5*Q5*(1-S5)</f>
        <v>8925</v>
      </c>
      <c r="U5" s="133">
        <f>R5*P5</f>
        <v>3400</v>
      </c>
      <c r="V5" s="136">
        <f>T5-U5</f>
        <v>5525</v>
      </c>
      <c r="W5" s="137">
        <f>IF(T5&gt;0, V5/T5, 0)</f>
        <v>0.619</v>
      </c>
      <c r="X5" s="131" t="s">
        <v>194</v>
      </c>
      <c r="Y5" s="131" t="s">
        <v>186</v>
      </c>
      <c r="Z5" s="136">
        <f>R5*Q5</f>
        <v>10500</v>
      </c>
      <c r="AA5" s="133">
        <f>Z5*S5</f>
        <v>1575</v>
      </c>
      <c r="AB5" s="131" t="s">
        <v>186</v>
      </c>
    </row>
    <row r="6" ht="19" customHeight="1" spans="1:28" x14ac:dyDescent="0.25">
      <c r="A6" s="138" t="s">
        <v>203</v>
      </c>
      <c r="B6" s="139" t="s">
        <v>204</v>
      </c>
      <c r="C6" s="140" t="s">
        <v>141</v>
      </c>
      <c r="D6" s="140" t="s">
        <v>189</v>
      </c>
      <c r="E6" s="138" t="s">
        <v>68</v>
      </c>
      <c r="F6" s="141" t="s">
        <v>57</v>
      </c>
      <c r="G6" s="141" t="s">
        <v>190</v>
      </c>
      <c r="H6" s="141" t="s">
        <v>42</v>
      </c>
      <c r="I6" s="141" t="s">
        <v>179</v>
      </c>
      <c r="J6" s="141" t="s">
        <v>205</v>
      </c>
      <c r="K6" s="141" t="s">
        <v>191</v>
      </c>
      <c r="L6" s="141" t="s">
        <v>94</v>
      </c>
      <c r="M6" s="140" t="s">
        <v>201</v>
      </c>
      <c r="N6" s="141" t="s">
        <v>202</v>
      </c>
      <c r="O6" s="141" t="s">
        <v>97</v>
      </c>
      <c r="P6" s="142">
        <v>3400</v>
      </c>
      <c r="Q6" s="142">
        <v>10500</v>
      </c>
      <c r="R6" s="143">
        <v>1</v>
      </c>
      <c r="S6" s="144">
        <v>0.2</v>
      </c>
      <c r="T6" s="145">
        <f>R6*Q6*(1-S6)</f>
        <v>8400</v>
      </c>
      <c r="U6" s="142">
        <f>R6*P6</f>
        <v>3400</v>
      </c>
      <c r="V6" s="145">
        <f>T6-U6</f>
        <v>5000</v>
      </c>
      <c r="W6" s="146">
        <f>IF(T6&gt;0, V6/T6, 0)</f>
        <v>0.5952</v>
      </c>
      <c r="X6" s="140" t="s">
        <v>185</v>
      </c>
      <c r="Y6" s="140" t="s">
        <v>186</v>
      </c>
      <c r="Z6" s="145">
        <f>R6*Q6</f>
        <v>10500</v>
      </c>
      <c r="AA6" s="142">
        <f>Z6*S6</f>
        <v>2100</v>
      </c>
      <c r="AB6" s="140" t="s">
        <v>186</v>
      </c>
    </row>
    <row r="7" ht="19" customHeight="1" spans="1:28" x14ac:dyDescent="0.25">
      <c r="A7" s="129" t="s">
        <v>206</v>
      </c>
      <c r="B7" s="130" t="s">
        <v>207</v>
      </c>
      <c r="C7" s="131" t="s">
        <v>141</v>
      </c>
      <c r="D7" s="131" t="s">
        <v>208</v>
      </c>
      <c r="E7" s="129" t="s">
        <v>66</v>
      </c>
      <c r="F7" s="132" t="s">
        <v>177</v>
      </c>
      <c r="G7" s="132" t="s">
        <v>209</v>
      </c>
      <c r="H7" s="132" t="s">
        <v>44</v>
      </c>
      <c r="I7" s="132" t="s">
        <v>179</v>
      </c>
      <c r="J7" s="132" t="s">
        <v>180</v>
      </c>
      <c r="K7" s="132" t="s">
        <v>210</v>
      </c>
      <c r="L7" s="132" t="s">
        <v>90</v>
      </c>
      <c r="M7" s="131" t="s">
        <v>211</v>
      </c>
      <c r="N7" s="132" t="s">
        <v>212</v>
      </c>
      <c r="O7" s="132" t="s">
        <v>100</v>
      </c>
      <c r="P7" s="133">
        <v>5500</v>
      </c>
      <c r="Q7" s="133">
        <v>17000</v>
      </c>
      <c r="R7" s="134">
        <v>2</v>
      </c>
      <c r="S7" s="135">
        <v>0</v>
      </c>
      <c r="T7" s="136">
        <f>R7*Q7*(1-S7)</f>
        <v>34000</v>
      </c>
      <c r="U7" s="133">
        <f>R7*P7</f>
        <v>11000</v>
      </c>
      <c r="V7" s="136">
        <f>T7-U7</f>
        <v>23000</v>
      </c>
      <c r="W7" s="137">
        <f>IF(T7&gt;0, V7/T7, 0)</f>
        <v>0.6765</v>
      </c>
      <c r="X7" s="131" t="s">
        <v>185</v>
      </c>
      <c r="Y7" s="131" t="s">
        <v>213</v>
      </c>
      <c r="Z7" s="136">
        <f>R7*Q7</f>
        <v>34000</v>
      </c>
      <c r="AA7" s="133">
        <f>Z7*S7</f>
        <v>0</v>
      </c>
      <c r="AB7" s="131" t="s">
        <v>213</v>
      </c>
    </row>
    <row r="8" ht="19" customHeight="1" spans="1:28" x14ac:dyDescent="0.25">
      <c r="A8" s="138" t="s">
        <v>214</v>
      </c>
      <c r="B8" s="139" t="s">
        <v>215</v>
      </c>
      <c r="C8" s="140" t="s">
        <v>141</v>
      </c>
      <c r="D8" s="140" t="s">
        <v>208</v>
      </c>
      <c r="E8" s="138" t="s">
        <v>66</v>
      </c>
      <c r="F8" s="141" t="s">
        <v>177</v>
      </c>
      <c r="G8" s="141" t="s">
        <v>209</v>
      </c>
      <c r="H8" s="141" t="s">
        <v>40</v>
      </c>
      <c r="I8" s="141" t="s">
        <v>179</v>
      </c>
      <c r="J8" s="141" t="s">
        <v>180</v>
      </c>
      <c r="K8" s="141" t="s">
        <v>216</v>
      </c>
      <c r="L8" s="141" t="s">
        <v>200</v>
      </c>
      <c r="M8" s="140" t="s">
        <v>192</v>
      </c>
      <c r="N8" s="141" t="s">
        <v>193</v>
      </c>
      <c r="O8" s="141" t="s">
        <v>103</v>
      </c>
      <c r="P8" s="142">
        <v>2300</v>
      </c>
      <c r="Q8" s="142">
        <v>7100</v>
      </c>
      <c r="R8" s="143">
        <v>2</v>
      </c>
      <c r="S8" s="144">
        <v>0</v>
      </c>
      <c r="T8" s="145">
        <f>R8*Q8*(1-S8)</f>
        <v>14200</v>
      </c>
      <c r="U8" s="142">
        <f>R8*P8</f>
        <v>4600</v>
      </c>
      <c r="V8" s="145">
        <f>T8-U8</f>
        <v>9600</v>
      </c>
      <c r="W8" s="146">
        <f>IF(T8&gt;0, V8/T8, 0)</f>
        <v>0.6761</v>
      </c>
      <c r="X8" s="140" t="s">
        <v>217</v>
      </c>
      <c r="Y8" s="140" t="s">
        <v>186</v>
      </c>
      <c r="Z8" s="145">
        <f>R8*Q8</f>
        <v>14200</v>
      </c>
      <c r="AA8" s="142">
        <f>Z8*S8</f>
        <v>0</v>
      </c>
      <c r="AB8" s="140" t="s">
        <v>186</v>
      </c>
    </row>
    <row r="9" ht="19" customHeight="1" spans="1:28" x14ac:dyDescent="0.25">
      <c r="A9" s="129" t="s">
        <v>218</v>
      </c>
      <c r="B9" s="130" t="s">
        <v>219</v>
      </c>
      <c r="C9" s="131" t="s">
        <v>141</v>
      </c>
      <c r="D9" s="131" t="s">
        <v>197</v>
      </c>
      <c r="E9" s="129" t="s">
        <v>56</v>
      </c>
      <c r="F9" s="132" t="s">
        <v>57</v>
      </c>
      <c r="G9" s="132" t="s">
        <v>198</v>
      </c>
      <c r="H9" s="132" t="s">
        <v>40</v>
      </c>
      <c r="I9" s="132" t="s">
        <v>179</v>
      </c>
      <c r="J9" s="132" t="s">
        <v>180</v>
      </c>
      <c r="K9" s="132" t="s">
        <v>220</v>
      </c>
      <c r="L9" s="132" t="s">
        <v>98</v>
      </c>
      <c r="M9" s="131" t="s">
        <v>192</v>
      </c>
      <c r="N9" s="132" t="s">
        <v>193</v>
      </c>
      <c r="O9" s="132" t="s">
        <v>103</v>
      </c>
      <c r="P9" s="133">
        <v>2300</v>
      </c>
      <c r="Q9" s="133">
        <v>7100</v>
      </c>
      <c r="R9" s="134">
        <v>2</v>
      </c>
      <c r="S9" s="135">
        <v>0</v>
      </c>
      <c r="T9" s="136">
        <f>R9*Q9*(1-S9)</f>
        <v>14200</v>
      </c>
      <c r="U9" s="133">
        <f>R9*P9</f>
        <v>4600</v>
      </c>
      <c r="V9" s="136">
        <f>T9-U9</f>
        <v>9600</v>
      </c>
      <c r="W9" s="137">
        <f>IF(T9&gt;0, V9/T9, 0)</f>
        <v>0.6761</v>
      </c>
      <c r="X9" s="131" t="s">
        <v>221</v>
      </c>
      <c r="Y9" s="131" t="s">
        <v>186</v>
      </c>
      <c r="Z9" s="136">
        <f>R9*Q9</f>
        <v>14200</v>
      </c>
      <c r="AA9" s="133">
        <f>Z9*S9</f>
        <v>0</v>
      </c>
      <c r="AB9" s="131" t="s">
        <v>186</v>
      </c>
    </row>
    <row r="10" ht="19" customHeight="1" spans="1:28" x14ac:dyDescent="0.25">
      <c r="A10" s="138" t="s">
        <v>222</v>
      </c>
      <c r="B10" s="139" t="s">
        <v>223</v>
      </c>
      <c r="C10" s="140" t="s">
        <v>141</v>
      </c>
      <c r="D10" s="140" t="s">
        <v>208</v>
      </c>
      <c r="E10" s="138" t="s">
        <v>66</v>
      </c>
      <c r="F10" s="141" t="s">
        <v>177</v>
      </c>
      <c r="G10" s="141" t="s">
        <v>209</v>
      </c>
      <c r="H10" s="141" t="s">
        <v>38</v>
      </c>
      <c r="I10" s="141" t="s">
        <v>179</v>
      </c>
      <c r="J10" s="141" t="s">
        <v>180</v>
      </c>
      <c r="K10" s="141" t="s">
        <v>210</v>
      </c>
      <c r="L10" s="141" t="s">
        <v>224</v>
      </c>
      <c r="M10" s="140" t="s">
        <v>225</v>
      </c>
      <c r="N10" s="141" t="s">
        <v>226</v>
      </c>
      <c r="O10" s="141" t="s">
        <v>89</v>
      </c>
      <c r="P10" s="142">
        <v>8200</v>
      </c>
      <c r="Q10" s="142">
        <v>25000</v>
      </c>
      <c r="R10" s="143">
        <v>1</v>
      </c>
      <c r="S10" s="144">
        <v>0.15</v>
      </c>
      <c r="T10" s="145">
        <f>R10*Q10*(1-S10)</f>
        <v>21250</v>
      </c>
      <c r="U10" s="142">
        <f>R10*P10</f>
        <v>8200</v>
      </c>
      <c r="V10" s="145">
        <f>T10-U10</f>
        <v>13050</v>
      </c>
      <c r="W10" s="146">
        <f>IF(T10&gt;0, V10/T10, 0)</f>
        <v>0.6141</v>
      </c>
      <c r="X10" s="140" t="s">
        <v>217</v>
      </c>
      <c r="Y10" s="140" t="s">
        <v>186</v>
      </c>
      <c r="Z10" s="145">
        <f>R10*Q10</f>
        <v>25000</v>
      </c>
      <c r="AA10" s="142">
        <f>Z10*S10</f>
        <v>3750</v>
      </c>
      <c r="AB10" s="140" t="s">
        <v>186</v>
      </c>
    </row>
    <row r="11" ht="19" customHeight="1" spans="1:28" x14ac:dyDescent="0.25">
      <c r="A11" s="129" t="s">
        <v>227</v>
      </c>
      <c r="B11" s="130" t="s">
        <v>228</v>
      </c>
      <c r="C11" s="131" t="s">
        <v>141</v>
      </c>
      <c r="D11" s="131" t="s">
        <v>208</v>
      </c>
      <c r="E11" s="129" t="s">
        <v>66</v>
      </c>
      <c r="F11" s="132" t="s">
        <v>177</v>
      </c>
      <c r="G11" s="132" t="s">
        <v>209</v>
      </c>
      <c r="H11" s="132" t="s">
        <v>229</v>
      </c>
      <c r="I11" s="132" t="s">
        <v>179</v>
      </c>
      <c r="J11" s="132" t="s">
        <v>180</v>
      </c>
      <c r="K11" s="132" t="s">
        <v>230</v>
      </c>
      <c r="L11" s="132" t="s">
        <v>200</v>
      </c>
      <c r="M11" s="131" t="s">
        <v>201</v>
      </c>
      <c r="N11" s="132" t="s">
        <v>202</v>
      </c>
      <c r="O11" s="132" t="s">
        <v>97</v>
      </c>
      <c r="P11" s="133">
        <v>3400</v>
      </c>
      <c r="Q11" s="133">
        <v>10500</v>
      </c>
      <c r="R11" s="134">
        <v>2</v>
      </c>
      <c r="S11" s="135">
        <v>0.1</v>
      </c>
      <c r="T11" s="136">
        <f>R11*Q11*(1-S11)</f>
        <v>18900</v>
      </c>
      <c r="U11" s="133">
        <f>R11*P11</f>
        <v>6800</v>
      </c>
      <c r="V11" s="136">
        <f>T11-U11</f>
        <v>12100</v>
      </c>
      <c r="W11" s="137">
        <f>IF(T11&gt;0, V11/T11, 0)</f>
        <v>0.6402</v>
      </c>
      <c r="X11" s="131" t="s">
        <v>217</v>
      </c>
      <c r="Y11" s="131" t="s">
        <v>186</v>
      </c>
      <c r="Z11" s="136">
        <f>R11*Q11</f>
        <v>21000</v>
      </c>
      <c r="AA11" s="133">
        <f>Z11*S11</f>
        <v>2100</v>
      </c>
      <c r="AB11" s="131" t="s">
        <v>186</v>
      </c>
    </row>
    <row r="12" ht="19" customHeight="1" spans="1:28" x14ac:dyDescent="0.25">
      <c r="A12" s="138" t="s">
        <v>231</v>
      </c>
      <c r="B12" s="139" t="s">
        <v>232</v>
      </c>
      <c r="C12" s="140" t="s">
        <v>141</v>
      </c>
      <c r="D12" s="140" t="s">
        <v>233</v>
      </c>
      <c r="E12" s="138" t="s">
        <v>234</v>
      </c>
      <c r="F12" s="141" t="s">
        <v>177</v>
      </c>
      <c r="G12" s="141" t="s">
        <v>235</v>
      </c>
      <c r="H12" s="141" t="s">
        <v>229</v>
      </c>
      <c r="I12" s="141" t="s">
        <v>179</v>
      </c>
      <c r="J12" s="141" t="s">
        <v>180</v>
      </c>
      <c r="K12" s="141" t="s">
        <v>220</v>
      </c>
      <c r="L12" s="141" t="s">
        <v>94</v>
      </c>
      <c r="M12" s="140" t="s">
        <v>236</v>
      </c>
      <c r="N12" s="141" t="s">
        <v>237</v>
      </c>
      <c r="O12" s="141" t="s">
        <v>93</v>
      </c>
      <c r="P12" s="142">
        <v>6800</v>
      </c>
      <c r="Q12" s="142">
        <v>21000</v>
      </c>
      <c r="R12" s="143">
        <v>2</v>
      </c>
      <c r="S12" s="144">
        <v>0.05</v>
      </c>
      <c r="T12" s="145">
        <f>R12*Q12*(1-S12)</f>
        <v>39900</v>
      </c>
      <c r="U12" s="142">
        <f>R12*P12</f>
        <v>13600</v>
      </c>
      <c r="V12" s="145">
        <f>T12-U12</f>
        <v>26300</v>
      </c>
      <c r="W12" s="146">
        <f>IF(T12&gt;0, V12/T12, 0)</f>
        <v>0.6591</v>
      </c>
      <c r="X12" s="140" t="s">
        <v>185</v>
      </c>
      <c r="Y12" s="140" t="s">
        <v>213</v>
      </c>
      <c r="Z12" s="145">
        <f>R12*Q12</f>
        <v>42000</v>
      </c>
      <c r="AA12" s="142">
        <f>Z12*S12</f>
        <v>2100</v>
      </c>
      <c r="AB12" s="140" t="s">
        <v>213</v>
      </c>
    </row>
    <row r="13" ht="19" customHeight="1" spans="1:28" x14ac:dyDescent="0.25">
      <c r="A13" s="129" t="s">
        <v>238</v>
      </c>
      <c r="B13" s="130" t="s">
        <v>232</v>
      </c>
      <c r="C13" s="131" t="s">
        <v>141</v>
      </c>
      <c r="D13" s="131" t="s">
        <v>176</v>
      </c>
      <c r="E13" s="129" t="s">
        <v>60</v>
      </c>
      <c r="F13" s="132" t="s">
        <v>177</v>
      </c>
      <c r="G13" s="132" t="s">
        <v>178</v>
      </c>
      <c r="H13" s="132" t="s">
        <v>40</v>
      </c>
      <c r="I13" s="132" t="s">
        <v>179</v>
      </c>
      <c r="J13" s="132" t="s">
        <v>180</v>
      </c>
      <c r="K13" s="132" t="s">
        <v>230</v>
      </c>
      <c r="L13" s="132" t="s">
        <v>224</v>
      </c>
      <c r="M13" s="131" t="s">
        <v>201</v>
      </c>
      <c r="N13" s="132" t="s">
        <v>202</v>
      </c>
      <c r="O13" s="132" t="s">
        <v>97</v>
      </c>
      <c r="P13" s="133">
        <v>3400</v>
      </c>
      <c r="Q13" s="133">
        <v>10500</v>
      </c>
      <c r="R13" s="134">
        <v>8</v>
      </c>
      <c r="S13" s="135">
        <v>0.05</v>
      </c>
      <c r="T13" s="136">
        <f>R13*Q13*(1-S13)</f>
        <v>79800</v>
      </c>
      <c r="U13" s="133">
        <f>R13*P13</f>
        <v>27200</v>
      </c>
      <c r="V13" s="136">
        <f>T13-U13</f>
        <v>52600</v>
      </c>
      <c r="W13" s="137">
        <f>IF(T13&gt;0, V13/T13, 0)</f>
        <v>0.6591</v>
      </c>
      <c r="X13" s="131" t="s">
        <v>221</v>
      </c>
      <c r="Y13" s="131" t="s">
        <v>186</v>
      </c>
      <c r="Z13" s="136">
        <f>R13*Q13</f>
        <v>84000</v>
      </c>
      <c r="AA13" s="133">
        <f>Z13*S13</f>
        <v>4200</v>
      </c>
      <c r="AB13" s="131" t="s">
        <v>186</v>
      </c>
    </row>
    <row r="14" ht="19" customHeight="1" spans="1:28" x14ac:dyDescent="0.25">
      <c r="A14" s="138" t="s">
        <v>239</v>
      </c>
      <c r="B14" s="139" t="s">
        <v>240</v>
      </c>
      <c r="C14" s="140" t="s">
        <v>141</v>
      </c>
      <c r="D14" s="140" t="s">
        <v>197</v>
      </c>
      <c r="E14" s="138" t="s">
        <v>56</v>
      </c>
      <c r="F14" s="141" t="s">
        <v>57</v>
      </c>
      <c r="G14" s="141" t="s">
        <v>198</v>
      </c>
      <c r="H14" s="141" t="s">
        <v>38</v>
      </c>
      <c r="I14" s="141" t="s">
        <v>179</v>
      </c>
      <c r="J14" s="141" t="s">
        <v>180</v>
      </c>
      <c r="K14" s="141" t="s">
        <v>241</v>
      </c>
      <c r="L14" s="141" t="s">
        <v>200</v>
      </c>
      <c r="M14" s="140" t="s">
        <v>225</v>
      </c>
      <c r="N14" s="141" t="s">
        <v>226</v>
      </c>
      <c r="O14" s="141" t="s">
        <v>89</v>
      </c>
      <c r="P14" s="142">
        <v>8200</v>
      </c>
      <c r="Q14" s="142">
        <v>25000</v>
      </c>
      <c r="R14" s="143">
        <v>2</v>
      </c>
      <c r="S14" s="144">
        <v>0</v>
      </c>
      <c r="T14" s="145">
        <f>R14*Q14*(1-S14)</f>
        <v>50000</v>
      </c>
      <c r="U14" s="142">
        <f>R14*P14</f>
        <v>16400</v>
      </c>
      <c r="V14" s="145">
        <f>T14-U14</f>
        <v>33600</v>
      </c>
      <c r="W14" s="146">
        <f>IF(T14&gt;0, V14/T14, 0)</f>
        <v>0.672</v>
      </c>
      <c r="X14" s="140" t="s">
        <v>221</v>
      </c>
      <c r="Y14" s="140" t="s">
        <v>186</v>
      </c>
      <c r="Z14" s="145">
        <f>R14*Q14</f>
        <v>50000</v>
      </c>
      <c r="AA14" s="142">
        <f>Z14*S14</f>
        <v>0</v>
      </c>
      <c r="AB14" s="140" t="s">
        <v>186</v>
      </c>
    </row>
    <row r="15" ht="19" customHeight="1" spans="1:28" x14ac:dyDescent="0.25">
      <c r="A15" s="129" t="s">
        <v>242</v>
      </c>
      <c r="B15" s="130" t="s">
        <v>243</v>
      </c>
      <c r="C15" s="131" t="s">
        <v>141</v>
      </c>
      <c r="D15" s="131" t="s">
        <v>208</v>
      </c>
      <c r="E15" s="129" t="s">
        <v>66</v>
      </c>
      <c r="F15" s="132" t="s">
        <v>177</v>
      </c>
      <c r="G15" s="132" t="s">
        <v>209</v>
      </c>
      <c r="H15" s="132" t="s">
        <v>42</v>
      </c>
      <c r="I15" s="132" t="s">
        <v>179</v>
      </c>
      <c r="J15" s="132" t="s">
        <v>205</v>
      </c>
      <c r="K15" s="132" t="s">
        <v>241</v>
      </c>
      <c r="L15" s="132" t="s">
        <v>200</v>
      </c>
      <c r="M15" s="131" t="s">
        <v>211</v>
      </c>
      <c r="N15" s="132" t="s">
        <v>212</v>
      </c>
      <c r="O15" s="132" t="s">
        <v>100</v>
      </c>
      <c r="P15" s="133">
        <v>5500</v>
      </c>
      <c r="Q15" s="133">
        <v>17000</v>
      </c>
      <c r="R15" s="134">
        <v>1</v>
      </c>
      <c r="S15" s="135">
        <v>0.2</v>
      </c>
      <c r="T15" s="136">
        <f>R15*Q15*(1-S15)</f>
        <v>13600</v>
      </c>
      <c r="U15" s="133">
        <f>R15*P15</f>
        <v>5500</v>
      </c>
      <c r="V15" s="136">
        <f>T15-U15</f>
        <v>8100</v>
      </c>
      <c r="W15" s="137">
        <f>IF(T15&gt;0, V15/T15, 0)</f>
        <v>0.5956</v>
      </c>
      <c r="X15" s="131" t="s">
        <v>185</v>
      </c>
      <c r="Y15" s="131" t="s">
        <v>186</v>
      </c>
      <c r="Z15" s="136">
        <f>R15*Q15</f>
        <v>17000</v>
      </c>
      <c r="AA15" s="133">
        <f>Z15*S15</f>
        <v>3400</v>
      </c>
      <c r="AB15" s="131" t="s">
        <v>186</v>
      </c>
    </row>
    <row r="16" ht="19" customHeight="1" spans="1:28" x14ac:dyDescent="0.25">
      <c r="A16" s="138" t="s">
        <v>244</v>
      </c>
      <c r="B16" s="139" t="s">
        <v>245</v>
      </c>
      <c r="C16" s="140" t="s">
        <v>141</v>
      </c>
      <c r="D16" s="140" t="s">
        <v>176</v>
      </c>
      <c r="E16" s="138" t="s">
        <v>60</v>
      </c>
      <c r="F16" s="141" t="s">
        <v>177</v>
      </c>
      <c r="G16" s="141" t="s">
        <v>178</v>
      </c>
      <c r="H16" s="141" t="s">
        <v>42</v>
      </c>
      <c r="I16" s="141" t="s">
        <v>179</v>
      </c>
      <c r="J16" s="141" t="s">
        <v>205</v>
      </c>
      <c r="K16" s="141" t="s">
        <v>230</v>
      </c>
      <c r="L16" s="141" t="s">
        <v>200</v>
      </c>
      <c r="M16" s="140" t="s">
        <v>192</v>
      </c>
      <c r="N16" s="141" t="s">
        <v>193</v>
      </c>
      <c r="O16" s="141" t="s">
        <v>103</v>
      </c>
      <c r="P16" s="142">
        <v>2300</v>
      </c>
      <c r="Q16" s="142">
        <v>7100</v>
      </c>
      <c r="R16" s="143">
        <v>2</v>
      </c>
      <c r="S16" s="144">
        <v>0.05</v>
      </c>
      <c r="T16" s="145">
        <f>R16*Q16*(1-S16)</f>
        <v>13490</v>
      </c>
      <c r="U16" s="142">
        <f>R16*P16</f>
        <v>4600</v>
      </c>
      <c r="V16" s="145">
        <f>T16-U16</f>
        <v>8890</v>
      </c>
      <c r="W16" s="146">
        <f>IF(T16&gt;0, V16/T16, 0)</f>
        <v>0.659</v>
      </c>
      <c r="X16" s="140" t="s">
        <v>221</v>
      </c>
      <c r="Y16" s="140" t="s">
        <v>186</v>
      </c>
      <c r="Z16" s="145">
        <f>R16*Q16</f>
        <v>14200</v>
      </c>
      <c r="AA16" s="142">
        <f>Z16*S16</f>
        <v>710</v>
      </c>
      <c r="AB16" s="140" t="s">
        <v>186</v>
      </c>
    </row>
    <row r="17" ht="19" customHeight="1" spans="1:28" x14ac:dyDescent="0.25">
      <c r="A17" s="129" t="s">
        <v>246</v>
      </c>
      <c r="B17" s="130" t="s">
        <v>247</v>
      </c>
      <c r="C17" s="131" t="s">
        <v>142</v>
      </c>
      <c r="D17" s="131" t="s">
        <v>248</v>
      </c>
      <c r="E17" s="129" t="s">
        <v>63</v>
      </c>
      <c r="F17" s="132" t="s">
        <v>64</v>
      </c>
      <c r="G17" s="132" t="s">
        <v>249</v>
      </c>
      <c r="H17" s="132" t="s">
        <v>42</v>
      </c>
      <c r="I17" s="132" t="s">
        <v>179</v>
      </c>
      <c r="J17" s="132" t="s">
        <v>205</v>
      </c>
      <c r="K17" s="132" t="s">
        <v>220</v>
      </c>
      <c r="L17" s="132" t="s">
        <v>90</v>
      </c>
      <c r="M17" s="131" t="s">
        <v>182</v>
      </c>
      <c r="N17" s="132" t="s">
        <v>183</v>
      </c>
      <c r="O17" s="132" t="s">
        <v>184</v>
      </c>
      <c r="P17" s="133">
        <v>4100</v>
      </c>
      <c r="Q17" s="133">
        <v>12600</v>
      </c>
      <c r="R17" s="134">
        <v>5</v>
      </c>
      <c r="S17" s="135">
        <v>0.05</v>
      </c>
      <c r="T17" s="136">
        <f>R17*Q17*(1-S17)</f>
        <v>59850</v>
      </c>
      <c r="U17" s="133">
        <f>R17*P17</f>
        <v>20500</v>
      </c>
      <c r="V17" s="136">
        <f>T17-U17</f>
        <v>39350</v>
      </c>
      <c r="W17" s="137">
        <f>IF(T17&gt;0, V17/T17, 0)</f>
        <v>0.6575</v>
      </c>
      <c r="X17" s="131" t="s">
        <v>221</v>
      </c>
      <c r="Y17" s="131" t="s">
        <v>186</v>
      </c>
      <c r="Z17" s="136">
        <f>R17*Q17</f>
        <v>63000</v>
      </c>
      <c r="AA17" s="133">
        <f>Z17*S17</f>
        <v>3150</v>
      </c>
      <c r="AB17" s="131" t="s">
        <v>186</v>
      </c>
    </row>
    <row r="18" ht="19" customHeight="1" spans="1:28" x14ac:dyDescent="0.25">
      <c r="A18" s="138" t="s">
        <v>250</v>
      </c>
      <c r="B18" s="139" t="s">
        <v>251</v>
      </c>
      <c r="C18" s="140" t="s">
        <v>142</v>
      </c>
      <c r="D18" s="140" t="s">
        <v>176</v>
      </c>
      <c r="E18" s="138" t="s">
        <v>60</v>
      </c>
      <c r="F18" s="141" t="s">
        <v>177</v>
      </c>
      <c r="G18" s="141" t="s">
        <v>178</v>
      </c>
      <c r="H18" s="141" t="s">
        <v>44</v>
      </c>
      <c r="I18" s="141" t="s">
        <v>179</v>
      </c>
      <c r="J18" s="141" t="s">
        <v>180</v>
      </c>
      <c r="K18" s="141" t="s">
        <v>230</v>
      </c>
      <c r="L18" s="141" t="s">
        <v>98</v>
      </c>
      <c r="M18" s="140" t="s">
        <v>225</v>
      </c>
      <c r="N18" s="141" t="s">
        <v>226</v>
      </c>
      <c r="O18" s="141" t="s">
        <v>89</v>
      </c>
      <c r="P18" s="142">
        <v>8200</v>
      </c>
      <c r="Q18" s="142">
        <v>25000</v>
      </c>
      <c r="R18" s="143">
        <v>1</v>
      </c>
      <c r="S18" s="144">
        <v>0.15</v>
      </c>
      <c r="T18" s="145">
        <f>R18*Q18*(1-S18)</f>
        <v>21250</v>
      </c>
      <c r="U18" s="142">
        <f>R18*P18</f>
        <v>8200</v>
      </c>
      <c r="V18" s="145">
        <f>T18-U18</f>
        <v>13050</v>
      </c>
      <c r="W18" s="146">
        <f>IF(T18&gt;0, V18/T18, 0)</f>
        <v>0.6141</v>
      </c>
      <c r="X18" s="140" t="s">
        <v>217</v>
      </c>
      <c r="Y18" s="140" t="s">
        <v>186</v>
      </c>
      <c r="Z18" s="145">
        <f>R18*Q18</f>
        <v>25000</v>
      </c>
      <c r="AA18" s="142">
        <f>Z18*S18</f>
        <v>3750</v>
      </c>
      <c r="AB18" s="140" t="s">
        <v>186</v>
      </c>
    </row>
    <row r="19" ht="19" customHeight="1" spans="1:28" x14ac:dyDescent="0.25">
      <c r="A19" s="129" t="s">
        <v>252</v>
      </c>
      <c r="B19" s="130" t="s">
        <v>253</v>
      </c>
      <c r="C19" s="131" t="s">
        <v>142</v>
      </c>
      <c r="D19" s="131" t="s">
        <v>197</v>
      </c>
      <c r="E19" s="129" t="s">
        <v>56</v>
      </c>
      <c r="F19" s="132" t="s">
        <v>57</v>
      </c>
      <c r="G19" s="132" t="s">
        <v>198</v>
      </c>
      <c r="H19" s="132" t="s">
        <v>44</v>
      </c>
      <c r="I19" s="132" t="s">
        <v>179</v>
      </c>
      <c r="J19" s="132" t="s">
        <v>180</v>
      </c>
      <c r="K19" s="132" t="s">
        <v>191</v>
      </c>
      <c r="L19" s="132" t="s">
        <v>98</v>
      </c>
      <c r="M19" s="131" t="s">
        <v>225</v>
      </c>
      <c r="N19" s="132" t="s">
        <v>226</v>
      </c>
      <c r="O19" s="132" t="s">
        <v>89</v>
      </c>
      <c r="P19" s="133">
        <v>8200</v>
      </c>
      <c r="Q19" s="133">
        <v>25000</v>
      </c>
      <c r="R19" s="134">
        <v>14</v>
      </c>
      <c r="S19" s="135">
        <v>0.2</v>
      </c>
      <c r="T19" s="136">
        <f>R19*Q19*(1-S19)</f>
        <v>280000</v>
      </c>
      <c r="U19" s="133">
        <f>R19*P19</f>
        <v>114800</v>
      </c>
      <c r="V19" s="136">
        <f>T19-U19</f>
        <v>165200</v>
      </c>
      <c r="W19" s="137">
        <f>IF(T19&gt;0, V19/T19, 0)</f>
        <v>0.59</v>
      </c>
      <c r="X19" s="131" t="s">
        <v>185</v>
      </c>
      <c r="Y19" s="131" t="s">
        <v>186</v>
      </c>
      <c r="Z19" s="136">
        <f>R19*Q19</f>
        <v>350000</v>
      </c>
      <c r="AA19" s="133">
        <f>Z19*S19</f>
        <v>70000</v>
      </c>
      <c r="AB19" s="131" t="s">
        <v>186</v>
      </c>
    </row>
    <row r="20" ht="19" customHeight="1" spans="1:28" x14ac:dyDescent="0.25">
      <c r="A20" s="138" t="s">
        <v>254</v>
      </c>
      <c r="B20" s="139" t="s">
        <v>255</v>
      </c>
      <c r="C20" s="140" t="s">
        <v>142</v>
      </c>
      <c r="D20" s="140" t="s">
        <v>208</v>
      </c>
      <c r="E20" s="138" t="s">
        <v>66</v>
      </c>
      <c r="F20" s="141" t="s">
        <v>177</v>
      </c>
      <c r="G20" s="141" t="s">
        <v>209</v>
      </c>
      <c r="H20" s="141" t="s">
        <v>229</v>
      </c>
      <c r="I20" s="141" t="s">
        <v>179</v>
      </c>
      <c r="J20" s="141" t="s">
        <v>180</v>
      </c>
      <c r="K20" s="141" t="s">
        <v>210</v>
      </c>
      <c r="L20" s="141" t="s">
        <v>200</v>
      </c>
      <c r="M20" s="140" t="s">
        <v>211</v>
      </c>
      <c r="N20" s="141" t="s">
        <v>212</v>
      </c>
      <c r="O20" s="141" t="s">
        <v>100</v>
      </c>
      <c r="P20" s="142">
        <v>5500</v>
      </c>
      <c r="Q20" s="142">
        <v>17000</v>
      </c>
      <c r="R20" s="143">
        <v>1</v>
      </c>
      <c r="S20" s="144">
        <v>0</v>
      </c>
      <c r="T20" s="145">
        <f>R20*Q20*(1-S20)</f>
        <v>17000</v>
      </c>
      <c r="U20" s="142">
        <f>R20*P20</f>
        <v>5500</v>
      </c>
      <c r="V20" s="145">
        <f>T20-U20</f>
        <v>11500</v>
      </c>
      <c r="W20" s="146">
        <f>IF(T20&gt;0, V20/T20, 0)</f>
        <v>0.6765</v>
      </c>
      <c r="X20" s="140" t="s">
        <v>185</v>
      </c>
      <c r="Y20" s="140" t="s">
        <v>186</v>
      </c>
      <c r="Z20" s="145">
        <f>R20*Q20</f>
        <v>17000</v>
      </c>
      <c r="AA20" s="142">
        <f>Z20*S20</f>
        <v>0</v>
      </c>
      <c r="AB20" s="140" t="s">
        <v>186</v>
      </c>
    </row>
    <row r="21" ht="19" customHeight="1" spans="1:28" x14ac:dyDescent="0.25">
      <c r="A21" s="129" t="s">
        <v>256</v>
      </c>
      <c r="B21" s="130" t="s">
        <v>257</v>
      </c>
      <c r="C21" s="131" t="s">
        <v>142</v>
      </c>
      <c r="D21" s="131" t="s">
        <v>176</v>
      </c>
      <c r="E21" s="129" t="s">
        <v>60</v>
      </c>
      <c r="F21" s="132" t="s">
        <v>177</v>
      </c>
      <c r="G21" s="132" t="s">
        <v>178</v>
      </c>
      <c r="H21" s="132" t="s">
        <v>40</v>
      </c>
      <c r="I21" s="132" t="s">
        <v>179</v>
      </c>
      <c r="J21" s="132" t="s">
        <v>180</v>
      </c>
      <c r="K21" s="132" t="s">
        <v>241</v>
      </c>
      <c r="L21" s="132" t="s">
        <v>98</v>
      </c>
      <c r="M21" s="131" t="s">
        <v>225</v>
      </c>
      <c r="N21" s="132" t="s">
        <v>226</v>
      </c>
      <c r="O21" s="132" t="s">
        <v>89</v>
      </c>
      <c r="P21" s="133">
        <v>8200</v>
      </c>
      <c r="Q21" s="133">
        <v>25000</v>
      </c>
      <c r="R21" s="134">
        <v>2</v>
      </c>
      <c r="S21" s="135">
        <v>0.15</v>
      </c>
      <c r="T21" s="136">
        <f>R21*Q21*(1-S21)</f>
        <v>42500</v>
      </c>
      <c r="U21" s="133">
        <f>R21*P21</f>
        <v>16400</v>
      </c>
      <c r="V21" s="136">
        <f>T21-U21</f>
        <v>26100</v>
      </c>
      <c r="W21" s="137">
        <f>IF(T21&gt;0, V21/T21, 0)</f>
        <v>0.6141</v>
      </c>
      <c r="X21" s="131" t="s">
        <v>221</v>
      </c>
      <c r="Y21" s="131" t="s">
        <v>186</v>
      </c>
      <c r="Z21" s="136">
        <f>R21*Q21</f>
        <v>50000</v>
      </c>
      <c r="AA21" s="133">
        <f>Z21*S21</f>
        <v>7500</v>
      </c>
      <c r="AB21" s="131" t="s">
        <v>186</v>
      </c>
    </row>
    <row r="22" ht="19" customHeight="1" spans="1:28" x14ac:dyDescent="0.25">
      <c r="A22" s="138" t="s">
        <v>258</v>
      </c>
      <c r="B22" s="139" t="s">
        <v>259</v>
      </c>
      <c r="C22" s="140" t="s">
        <v>142</v>
      </c>
      <c r="D22" s="140" t="s">
        <v>176</v>
      </c>
      <c r="E22" s="138" t="s">
        <v>60</v>
      </c>
      <c r="F22" s="141" t="s">
        <v>177</v>
      </c>
      <c r="G22" s="141" t="s">
        <v>178</v>
      </c>
      <c r="H22" s="141" t="s">
        <v>40</v>
      </c>
      <c r="I22" s="141" t="s">
        <v>179</v>
      </c>
      <c r="J22" s="141" t="s">
        <v>180</v>
      </c>
      <c r="K22" s="141" t="s">
        <v>181</v>
      </c>
      <c r="L22" s="141" t="s">
        <v>94</v>
      </c>
      <c r="M22" s="140" t="s">
        <v>236</v>
      </c>
      <c r="N22" s="141" t="s">
        <v>237</v>
      </c>
      <c r="O22" s="141" t="s">
        <v>93</v>
      </c>
      <c r="P22" s="142">
        <v>6800</v>
      </c>
      <c r="Q22" s="142">
        <v>21000</v>
      </c>
      <c r="R22" s="143">
        <v>3</v>
      </c>
      <c r="S22" s="144">
        <v>0</v>
      </c>
      <c r="T22" s="145">
        <f>R22*Q22*(1-S22)</f>
        <v>63000</v>
      </c>
      <c r="U22" s="142">
        <f>R22*P22</f>
        <v>20400</v>
      </c>
      <c r="V22" s="145">
        <f>T22-U22</f>
        <v>42600</v>
      </c>
      <c r="W22" s="146">
        <f>IF(T22&gt;0, V22/T22, 0)</f>
        <v>0.6762</v>
      </c>
      <c r="X22" s="140" t="s">
        <v>185</v>
      </c>
      <c r="Y22" s="140" t="s">
        <v>186</v>
      </c>
      <c r="Z22" s="145">
        <f>R22*Q22</f>
        <v>63000</v>
      </c>
      <c r="AA22" s="142">
        <f>Z22*S22</f>
        <v>0</v>
      </c>
      <c r="AB22" s="140" t="s">
        <v>186</v>
      </c>
    </row>
    <row r="23" ht="19" customHeight="1" spans="1:28" x14ac:dyDescent="0.25">
      <c r="A23" s="129" t="s">
        <v>260</v>
      </c>
      <c r="B23" s="130" t="s">
        <v>261</v>
      </c>
      <c r="C23" s="131" t="s">
        <v>142</v>
      </c>
      <c r="D23" s="131" t="s">
        <v>176</v>
      </c>
      <c r="E23" s="129" t="s">
        <v>60</v>
      </c>
      <c r="F23" s="132" t="s">
        <v>177</v>
      </c>
      <c r="G23" s="132" t="s">
        <v>178</v>
      </c>
      <c r="H23" s="132" t="s">
        <v>44</v>
      </c>
      <c r="I23" s="132" t="s">
        <v>179</v>
      </c>
      <c r="J23" s="132" t="s">
        <v>180</v>
      </c>
      <c r="K23" s="132" t="s">
        <v>241</v>
      </c>
      <c r="L23" s="132" t="s">
        <v>90</v>
      </c>
      <c r="M23" s="131" t="s">
        <v>201</v>
      </c>
      <c r="N23" s="132" t="s">
        <v>202</v>
      </c>
      <c r="O23" s="132" t="s">
        <v>97</v>
      </c>
      <c r="P23" s="133">
        <v>3400</v>
      </c>
      <c r="Q23" s="133">
        <v>10500</v>
      </c>
      <c r="R23" s="134">
        <v>1</v>
      </c>
      <c r="S23" s="135">
        <v>0.15</v>
      </c>
      <c r="T23" s="136">
        <f>R23*Q23*(1-S23)</f>
        <v>8925</v>
      </c>
      <c r="U23" s="133">
        <f>R23*P23</f>
        <v>3400</v>
      </c>
      <c r="V23" s="136">
        <f>T23-U23</f>
        <v>5525</v>
      </c>
      <c r="W23" s="137">
        <f>IF(T23&gt;0, V23/T23, 0)</f>
        <v>0.619</v>
      </c>
      <c r="X23" s="131" t="s">
        <v>221</v>
      </c>
      <c r="Y23" s="131" t="s">
        <v>186</v>
      </c>
      <c r="Z23" s="136">
        <f>R23*Q23</f>
        <v>10500</v>
      </c>
      <c r="AA23" s="133">
        <f>Z23*S23</f>
        <v>1575</v>
      </c>
      <c r="AB23" s="131" t="s">
        <v>186</v>
      </c>
    </row>
    <row r="24" ht="19" customHeight="1" spans="1:28" x14ac:dyDescent="0.25">
      <c r="A24" s="138" t="s">
        <v>262</v>
      </c>
      <c r="B24" s="139" t="s">
        <v>263</v>
      </c>
      <c r="C24" s="140" t="s">
        <v>142</v>
      </c>
      <c r="D24" s="140" t="s">
        <v>189</v>
      </c>
      <c r="E24" s="138" t="s">
        <v>68</v>
      </c>
      <c r="F24" s="141" t="s">
        <v>57</v>
      </c>
      <c r="G24" s="141" t="s">
        <v>190</v>
      </c>
      <c r="H24" s="141" t="s">
        <v>42</v>
      </c>
      <c r="I24" s="141" t="s">
        <v>179</v>
      </c>
      <c r="J24" s="141" t="s">
        <v>205</v>
      </c>
      <c r="K24" s="141" t="s">
        <v>216</v>
      </c>
      <c r="L24" s="141" t="s">
        <v>94</v>
      </c>
      <c r="M24" s="140" t="s">
        <v>225</v>
      </c>
      <c r="N24" s="141" t="s">
        <v>226</v>
      </c>
      <c r="O24" s="141" t="s">
        <v>89</v>
      </c>
      <c r="P24" s="142">
        <v>8200</v>
      </c>
      <c r="Q24" s="142">
        <v>25000</v>
      </c>
      <c r="R24" s="143">
        <v>13</v>
      </c>
      <c r="S24" s="144">
        <v>0.1</v>
      </c>
      <c r="T24" s="145">
        <f>R24*Q24*(1-S24)</f>
        <v>292500</v>
      </c>
      <c r="U24" s="142">
        <f>R24*P24</f>
        <v>106600</v>
      </c>
      <c r="V24" s="145">
        <f>T24-U24</f>
        <v>185900</v>
      </c>
      <c r="W24" s="146">
        <f>IF(T24&gt;0, V24/T24, 0)</f>
        <v>0.6356</v>
      </c>
      <c r="X24" s="140" t="s">
        <v>194</v>
      </c>
      <c r="Y24" s="140" t="s">
        <v>186</v>
      </c>
      <c r="Z24" s="145">
        <f>R24*Q24</f>
        <v>325000</v>
      </c>
      <c r="AA24" s="142">
        <f>Z24*S24</f>
        <v>32500</v>
      </c>
      <c r="AB24" s="140" t="s">
        <v>186</v>
      </c>
    </row>
    <row r="25" ht="19" customHeight="1" spans="1:28" x14ac:dyDescent="0.25">
      <c r="A25" s="129" t="s">
        <v>264</v>
      </c>
      <c r="B25" s="130" t="s">
        <v>265</v>
      </c>
      <c r="C25" s="131" t="s">
        <v>142</v>
      </c>
      <c r="D25" s="131" t="s">
        <v>197</v>
      </c>
      <c r="E25" s="129" t="s">
        <v>56</v>
      </c>
      <c r="F25" s="132" t="s">
        <v>57</v>
      </c>
      <c r="G25" s="132" t="s">
        <v>198</v>
      </c>
      <c r="H25" s="132" t="s">
        <v>44</v>
      </c>
      <c r="I25" s="132" t="s">
        <v>179</v>
      </c>
      <c r="J25" s="132" t="s">
        <v>180</v>
      </c>
      <c r="K25" s="132" t="s">
        <v>230</v>
      </c>
      <c r="L25" s="132" t="s">
        <v>90</v>
      </c>
      <c r="M25" s="131" t="s">
        <v>201</v>
      </c>
      <c r="N25" s="132" t="s">
        <v>202</v>
      </c>
      <c r="O25" s="132" t="s">
        <v>97</v>
      </c>
      <c r="P25" s="133">
        <v>3400</v>
      </c>
      <c r="Q25" s="133">
        <v>10500</v>
      </c>
      <c r="R25" s="134">
        <v>2</v>
      </c>
      <c r="S25" s="135">
        <v>0.05</v>
      </c>
      <c r="T25" s="136">
        <f>R25*Q25*(1-S25)</f>
        <v>19950</v>
      </c>
      <c r="U25" s="133">
        <f>R25*P25</f>
        <v>6800</v>
      </c>
      <c r="V25" s="136">
        <f>T25-U25</f>
        <v>13150</v>
      </c>
      <c r="W25" s="137">
        <f>IF(T25&gt;0, V25/T25, 0)</f>
        <v>0.6591</v>
      </c>
      <c r="X25" s="131" t="s">
        <v>221</v>
      </c>
      <c r="Y25" s="131" t="s">
        <v>186</v>
      </c>
      <c r="Z25" s="136">
        <f>R25*Q25</f>
        <v>21000</v>
      </c>
      <c r="AA25" s="133">
        <f>Z25*S25</f>
        <v>1050</v>
      </c>
      <c r="AB25" s="131" t="s">
        <v>186</v>
      </c>
    </row>
    <row r="26" ht="19" customHeight="1" spans="1:28" x14ac:dyDescent="0.25">
      <c r="A26" s="138" t="s">
        <v>266</v>
      </c>
      <c r="B26" s="139" t="s">
        <v>267</v>
      </c>
      <c r="C26" s="140" t="s">
        <v>142</v>
      </c>
      <c r="D26" s="140" t="s">
        <v>176</v>
      </c>
      <c r="E26" s="138" t="s">
        <v>60</v>
      </c>
      <c r="F26" s="141" t="s">
        <v>177</v>
      </c>
      <c r="G26" s="141" t="s">
        <v>178</v>
      </c>
      <c r="H26" s="141" t="s">
        <v>42</v>
      </c>
      <c r="I26" s="141" t="s">
        <v>179</v>
      </c>
      <c r="J26" s="141" t="s">
        <v>205</v>
      </c>
      <c r="K26" s="141" t="s">
        <v>230</v>
      </c>
      <c r="L26" s="141" t="s">
        <v>224</v>
      </c>
      <c r="M26" s="140" t="s">
        <v>211</v>
      </c>
      <c r="N26" s="141" t="s">
        <v>212</v>
      </c>
      <c r="O26" s="141" t="s">
        <v>100</v>
      </c>
      <c r="P26" s="142">
        <v>5500</v>
      </c>
      <c r="Q26" s="142">
        <v>17000</v>
      </c>
      <c r="R26" s="143">
        <v>1</v>
      </c>
      <c r="S26" s="144">
        <v>0.05</v>
      </c>
      <c r="T26" s="145">
        <f>R26*Q26*(1-S26)</f>
        <v>16150</v>
      </c>
      <c r="U26" s="142">
        <f>R26*P26</f>
        <v>5500</v>
      </c>
      <c r="V26" s="145">
        <f>T26-U26</f>
        <v>10650</v>
      </c>
      <c r="W26" s="146">
        <f>IF(T26&gt;0, V26/T26, 0)</f>
        <v>0.6594</v>
      </c>
      <c r="X26" s="140" t="s">
        <v>217</v>
      </c>
      <c r="Y26" s="140" t="s">
        <v>186</v>
      </c>
      <c r="Z26" s="145">
        <f>R26*Q26</f>
        <v>17000</v>
      </c>
      <c r="AA26" s="142">
        <f>Z26*S26</f>
        <v>850</v>
      </c>
      <c r="AB26" s="140" t="s">
        <v>186</v>
      </c>
    </row>
    <row r="27" ht="19" customHeight="1" spans="1:28" x14ac:dyDescent="0.25">
      <c r="A27" s="129" t="s">
        <v>268</v>
      </c>
      <c r="B27" s="130" t="s">
        <v>269</v>
      </c>
      <c r="C27" s="131" t="s">
        <v>142</v>
      </c>
      <c r="D27" s="131" t="s">
        <v>176</v>
      </c>
      <c r="E27" s="129" t="s">
        <v>60</v>
      </c>
      <c r="F27" s="132" t="s">
        <v>177</v>
      </c>
      <c r="G27" s="132" t="s">
        <v>178</v>
      </c>
      <c r="H27" s="132" t="s">
        <v>42</v>
      </c>
      <c r="I27" s="132" t="s">
        <v>179</v>
      </c>
      <c r="J27" s="132" t="s">
        <v>205</v>
      </c>
      <c r="K27" s="132" t="s">
        <v>220</v>
      </c>
      <c r="L27" s="132" t="s">
        <v>224</v>
      </c>
      <c r="M27" s="131" t="s">
        <v>201</v>
      </c>
      <c r="N27" s="132" t="s">
        <v>202</v>
      </c>
      <c r="O27" s="132" t="s">
        <v>97</v>
      </c>
      <c r="P27" s="133">
        <v>3400</v>
      </c>
      <c r="Q27" s="133">
        <v>10500</v>
      </c>
      <c r="R27" s="134">
        <v>1</v>
      </c>
      <c r="S27" s="135">
        <v>0.05</v>
      </c>
      <c r="T27" s="136">
        <f>R27*Q27*(1-S27)</f>
        <v>9975</v>
      </c>
      <c r="U27" s="133">
        <f>R27*P27</f>
        <v>3400</v>
      </c>
      <c r="V27" s="136">
        <f>T27-U27</f>
        <v>6575</v>
      </c>
      <c r="W27" s="137">
        <f>IF(T27&gt;0, V27/T27, 0)</f>
        <v>0.6591</v>
      </c>
      <c r="X27" s="131" t="s">
        <v>217</v>
      </c>
      <c r="Y27" s="131" t="s">
        <v>186</v>
      </c>
      <c r="Z27" s="136">
        <f>R27*Q27</f>
        <v>10500</v>
      </c>
      <c r="AA27" s="133">
        <f>Z27*S27</f>
        <v>525</v>
      </c>
      <c r="AB27" s="131" t="s">
        <v>186</v>
      </c>
    </row>
    <row r="28" ht="19" customHeight="1" spans="1:28" x14ac:dyDescent="0.25">
      <c r="A28" s="138" t="s">
        <v>270</v>
      </c>
      <c r="B28" s="139" t="s">
        <v>271</v>
      </c>
      <c r="C28" s="140" t="s">
        <v>142</v>
      </c>
      <c r="D28" s="140" t="s">
        <v>248</v>
      </c>
      <c r="E28" s="138" t="s">
        <v>63</v>
      </c>
      <c r="F28" s="141" t="s">
        <v>64</v>
      </c>
      <c r="G28" s="141" t="s">
        <v>249</v>
      </c>
      <c r="H28" s="141" t="s">
        <v>40</v>
      </c>
      <c r="I28" s="141" t="s">
        <v>179</v>
      </c>
      <c r="J28" s="141" t="s">
        <v>180</v>
      </c>
      <c r="K28" s="141" t="s">
        <v>181</v>
      </c>
      <c r="L28" s="141" t="s">
        <v>90</v>
      </c>
      <c r="M28" s="140" t="s">
        <v>225</v>
      </c>
      <c r="N28" s="141" t="s">
        <v>226</v>
      </c>
      <c r="O28" s="141" t="s">
        <v>89</v>
      </c>
      <c r="P28" s="142">
        <v>8200</v>
      </c>
      <c r="Q28" s="142">
        <v>25000</v>
      </c>
      <c r="R28" s="143">
        <v>3</v>
      </c>
      <c r="S28" s="144">
        <v>0.1</v>
      </c>
      <c r="T28" s="145">
        <f>R28*Q28*(1-S28)</f>
        <v>67500</v>
      </c>
      <c r="U28" s="142">
        <f>R28*P28</f>
        <v>24600</v>
      </c>
      <c r="V28" s="145">
        <f>T28-U28</f>
        <v>42900</v>
      </c>
      <c r="W28" s="146">
        <f>IF(T28&gt;0, V28/T28, 0)</f>
        <v>0.6356</v>
      </c>
      <c r="X28" s="140" t="s">
        <v>194</v>
      </c>
      <c r="Y28" s="140" t="s">
        <v>186</v>
      </c>
      <c r="Z28" s="145">
        <f>R28*Q28</f>
        <v>75000</v>
      </c>
      <c r="AA28" s="142">
        <f>Z28*S28</f>
        <v>7500</v>
      </c>
      <c r="AB28" s="140" t="s">
        <v>186</v>
      </c>
    </row>
    <row r="29" ht="19" customHeight="1" spans="1:28" x14ac:dyDescent="0.25">
      <c r="A29" s="129" t="s">
        <v>272</v>
      </c>
      <c r="B29" s="130" t="s">
        <v>273</v>
      </c>
      <c r="C29" s="131" t="s">
        <v>142</v>
      </c>
      <c r="D29" s="131" t="s">
        <v>176</v>
      </c>
      <c r="E29" s="129" t="s">
        <v>60</v>
      </c>
      <c r="F29" s="132" t="s">
        <v>177</v>
      </c>
      <c r="G29" s="132" t="s">
        <v>178</v>
      </c>
      <c r="H29" s="132" t="s">
        <v>44</v>
      </c>
      <c r="I29" s="132" t="s">
        <v>179</v>
      </c>
      <c r="J29" s="132" t="s">
        <v>180</v>
      </c>
      <c r="K29" s="132" t="s">
        <v>216</v>
      </c>
      <c r="L29" s="132" t="s">
        <v>200</v>
      </c>
      <c r="M29" s="131" t="s">
        <v>236</v>
      </c>
      <c r="N29" s="132" t="s">
        <v>237</v>
      </c>
      <c r="O29" s="132" t="s">
        <v>93</v>
      </c>
      <c r="P29" s="133">
        <v>6800</v>
      </c>
      <c r="Q29" s="133">
        <v>21000</v>
      </c>
      <c r="R29" s="134">
        <v>1</v>
      </c>
      <c r="S29" s="135">
        <v>0.2</v>
      </c>
      <c r="T29" s="136">
        <f>R29*Q29*(1-S29)</f>
        <v>16800</v>
      </c>
      <c r="U29" s="133">
        <f>R29*P29</f>
        <v>6800</v>
      </c>
      <c r="V29" s="136">
        <f>T29-U29</f>
        <v>10000</v>
      </c>
      <c r="W29" s="137">
        <f>IF(T29&gt;0, V29/T29, 0)</f>
        <v>0.5952</v>
      </c>
      <c r="X29" s="131" t="s">
        <v>217</v>
      </c>
      <c r="Y29" s="131" t="s">
        <v>186</v>
      </c>
      <c r="Z29" s="136">
        <f>R29*Q29</f>
        <v>21000</v>
      </c>
      <c r="AA29" s="133">
        <f>Z29*S29</f>
        <v>4200</v>
      </c>
      <c r="AB29" s="131" t="s">
        <v>186</v>
      </c>
    </row>
    <row r="30" ht="19" customHeight="1" spans="1:28" x14ac:dyDescent="0.25">
      <c r="A30" s="138" t="s">
        <v>274</v>
      </c>
      <c r="B30" s="139" t="s">
        <v>275</v>
      </c>
      <c r="C30" s="140" t="s">
        <v>143</v>
      </c>
      <c r="D30" s="140" t="s">
        <v>208</v>
      </c>
      <c r="E30" s="138" t="s">
        <v>66</v>
      </c>
      <c r="F30" s="141" t="s">
        <v>177</v>
      </c>
      <c r="G30" s="141" t="s">
        <v>209</v>
      </c>
      <c r="H30" s="141" t="s">
        <v>38</v>
      </c>
      <c r="I30" s="141" t="s">
        <v>179</v>
      </c>
      <c r="J30" s="141" t="s">
        <v>180</v>
      </c>
      <c r="K30" s="141" t="s">
        <v>216</v>
      </c>
      <c r="L30" s="141" t="s">
        <v>98</v>
      </c>
      <c r="M30" s="140" t="s">
        <v>182</v>
      </c>
      <c r="N30" s="141" t="s">
        <v>183</v>
      </c>
      <c r="O30" s="141" t="s">
        <v>184</v>
      </c>
      <c r="P30" s="142">
        <v>4100</v>
      </c>
      <c r="Q30" s="142">
        <v>12600</v>
      </c>
      <c r="R30" s="143">
        <v>4</v>
      </c>
      <c r="S30" s="144">
        <v>0.15</v>
      </c>
      <c r="T30" s="145">
        <f>R30*Q30*(1-S30)</f>
        <v>42840</v>
      </c>
      <c r="U30" s="142">
        <f>R30*P30</f>
        <v>16400</v>
      </c>
      <c r="V30" s="145">
        <f>T30-U30</f>
        <v>26440</v>
      </c>
      <c r="W30" s="146">
        <f>IF(T30&gt;0, V30/T30, 0)</f>
        <v>0.6172</v>
      </c>
      <c r="X30" s="140" t="s">
        <v>194</v>
      </c>
      <c r="Y30" s="140" t="s">
        <v>186</v>
      </c>
      <c r="Z30" s="145">
        <f>R30*Q30</f>
        <v>50400</v>
      </c>
      <c r="AA30" s="142">
        <f>Z30*S30</f>
        <v>7560</v>
      </c>
      <c r="AB30" s="140" t="s">
        <v>186</v>
      </c>
    </row>
    <row r="31" ht="19" customHeight="1" spans="1:28" x14ac:dyDescent="0.25">
      <c r="A31" s="129" t="s">
        <v>276</v>
      </c>
      <c r="B31" s="130" t="s">
        <v>277</v>
      </c>
      <c r="C31" s="131" t="s">
        <v>143</v>
      </c>
      <c r="D31" s="131" t="s">
        <v>233</v>
      </c>
      <c r="E31" s="129" t="s">
        <v>234</v>
      </c>
      <c r="F31" s="132" t="s">
        <v>177</v>
      </c>
      <c r="G31" s="132" t="s">
        <v>235</v>
      </c>
      <c r="H31" s="132" t="s">
        <v>42</v>
      </c>
      <c r="I31" s="132" t="s">
        <v>179</v>
      </c>
      <c r="J31" s="132" t="s">
        <v>205</v>
      </c>
      <c r="K31" s="132" t="s">
        <v>181</v>
      </c>
      <c r="L31" s="132" t="s">
        <v>98</v>
      </c>
      <c r="M31" s="131" t="s">
        <v>201</v>
      </c>
      <c r="N31" s="132" t="s">
        <v>202</v>
      </c>
      <c r="O31" s="132" t="s">
        <v>97</v>
      </c>
      <c r="P31" s="133">
        <v>3400</v>
      </c>
      <c r="Q31" s="133">
        <v>10500</v>
      </c>
      <c r="R31" s="134">
        <v>13</v>
      </c>
      <c r="S31" s="135">
        <v>0</v>
      </c>
      <c r="T31" s="136">
        <f>R31*Q31*(1-S31)</f>
        <v>136500</v>
      </c>
      <c r="U31" s="133">
        <f>R31*P31</f>
        <v>44200</v>
      </c>
      <c r="V31" s="136">
        <f>T31-U31</f>
        <v>92300</v>
      </c>
      <c r="W31" s="137">
        <f>IF(T31&gt;0, V31/T31, 0)</f>
        <v>0.6762</v>
      </c>
      <c r="X31" s="131" t="s">
        <v>221</v>
      </c>
      <c r="Y31" s="131" t="s">
        <v>186</v>
      </c>
      <c r="Z31" s="136">
        <f>R31*Q31</f>
        <v>136500</v>
      </c>
      <c r="AA31" s="133">
        <f>Z31*S31</f>
        <v>0</v>
      </c>
      <c r="AB31" s="131" t="s">
        <v>186</v>
      </c>
    </row>
    <row r="32" ht="19" customHeight="1" spans="1:28" x14ac:dyDescent="0.25">
      <c r="A32" s="138" t="s">
        <v>278</v>
      </c>
      <c r="B32" s="139" t="s">
        <v>279</v>
      </c>
      <c r="C32" s="140" t="s">
        <v>143</v>
      </c>
      <c r="D32" s="140" t="s">
        <v>176</v>
      </c>
      <c r="E32" s="138" t="s">
        <v>60</v>
      </c>
      <c r="F32" s="141" t="s">
        <v>177</v>
      </c>
      <c r="G32" s="141" t="s">
        <v>178</v>
      </c>
      <c r="H32" s="141" t="s">
        <v>38</v>
      </c>
      <c r="I32" s="141" t="s">
        <v>179</v>
      </c>
      <c r="J32" s="141" t="s">
        <v>180</v>
      </c>
      <c r="K32" s="141" t="s">
        <v>230</v>
      </c>
      <c r="L32" s="141" t="s">
        <v>90</v>
      </c>
      <c r="M32" s="140" t="s">
        <v>192</v>
      </c>
      <c r="N32" s="141" t="s">
        <v>193</v>
      </c>
      <c r="O32" s="141" t="s">
        <v>103</v>
      </c>
      <c r="P32" s="142">
        <v>2300</v>
      </c>
      <c r="Q32" s="142">
        <v>7100</v>
      </c>
      <c r="R32" s="143">
        <v>5</v>
      </c>
      <c r="S32" s="144">
        <v>0.15</v>
      </c>
      <c r="T32" s="145">
        <f>R32*Q32*(1-S32)</f>
        <v>30175</v>
      </c>
      <c r="U32" s="142">
        <f>R32*P32</f>
        <v>11500</v>
      </c>
      <c r="V32" s="145">
        <f>T32-U32</f>
        <v>18675</v>
      </c>
      <c r="W32" s="146">
        <f>IF(T32&gt;0, V32/T32, 0)</f>
        <v>0.6189</v>
      </c>
      <c r="X32" s="140" t="s">
        <v>194</v>
      </c>
      <c r="Y32" s="140" t="s">
        <v>186</v>
      </c>
      <c r="Z32" s="145">
        <f>R32*Q32</f>
        <v>35500</v>
      </c>
      <c r="AA32" s="142">
        <f>Z32*S32</f>
        <v>5325</v>
      </c>
      <c r="AB32" s="140" t="s">
        <v>186</v>
      </c>
    </row>
    <row r="33" ht="19" customHeight="1" spans="1:28" x14ac:dyDescent="0.25">
      <c r="A33" s="129" t="s">
        <v>280</v>
      </c>
      <c r="B33" s="130" t="s">
        <v>281</v>
      </c>
      <c r="C33" s="131" t="s">
        <v>143</v>
      </c>
      <c r="D33" s="131" t="s">
        <v>176</v>
      </c>
      <c r="E33" s="129" t="s">
        <v>60</v>
      </c>
      <c r="F33" s="132" t="s">
        <v>177</v>
      </c>
      <c r="G33" s="132" t="s">
        <v>178</v>
      </c>
      <c r="H33" s="132" t="s">
        <v>229</v>
      </c>
      <c r="I33" s="132" t="s">
        <v>179</v>
      </c>
      <c r="J33" s="132" t="s">
        <v>180</v>
      </c>
      <c r="K33" s="132" t="s">
        <v>241</v>
      </c>
      <c r="L33" s="132" t="s">
        <v>224</v>
      </c>
      <c r="M33" s="131" t="s">
        <v>236</v>
      </c>
      <c r="N33" s="132" t="s">
        <v>237</v>
      </c>
      <c r="O33" s="132" t="s">
        <v>93</v>
      </c>
      <c r="P33" s="133">
        <v>6800</v>
      </c>
      <c r="Q33" s="133">
        <v>21000</v>
      </c>
      <c r="R33" s="134">
        <v>1</v>
      </c>
      <c r="S33" s="135">
        <v>0.2</v>
      </c>
      <c r="T33" s="136">
        <f>R33*Q33*(1-S33)</f>
        <v>16800</v>
      </c>
      <c r="U33" s="133">
        <f>R33*P33</f>
        <v>6800</v>
      </c>
      <c r="V33" s="136">
        <f>T33-U33</f>
        <v>10000</v>
      </c>
      <c r="W33" s="137">
        <f>IF(T33&gt;0, V33/T33, 0)</f>
        <v>0.5952</v>
      </c>
      <c r="X33" s="131" t="s">
        <v>194</v>
      </c>
      <c r="Y33" s="131" t="s">
        <v>186</v>
      </c>
      <c r="Z33" s="136">
        <f>R33*Q33</f>
        <v>21000</v>
      </c>
      <c r="AA33" s="133">
        <f>Z33*S33</f>
        <v>4200</v>
      </c>
      <c r="AB33" s="131" t="s">
        <v>186</v>
      </c>
    </row>
    <row r="34" ht="19" customHeight="1" spans="1:28" x14ac:dyDescent="0.25">
      <c r="A34" s="138" t="s">
        <v>282</v>
      </c>
      <c r="B34" s="139" t="s">
        <v>283</v>
      </c>
      <c r="C34" s="140" t="s">
        <v>143</v>
      </c>
      <c r="D34" s="140" t="s">
        <v>176</v>
      </c>
      <c r="E34" s="138" t="s">
        <v>60</v>
      </c>
      <c r="F34" s="141" t="s">
        <v>177</v>
      </c>
      <c r="G34" s="141" t="s">
        <v>178</v>
      </c>
      <c r="H34" s="141" t="s">
        <v>44</v>
      </c>
      <c r="I34" s="141" t="s">
        <v>179</v>
      </c>
      <c r="J34" s="141" t="s">
        <v>180</v>
      </c>
      <c r="K34" s="141" t="s">
        <v>191</v>
      </c>
      <c r="L34" s="141" t="s">
        <v>200</v>
      </c>
      <c r="M34" s="140" t="s">
        <v>236</v>
      </c>
      <c r="N34" s="141" t="s">
        <v>237</v>
      </c>
      <c r="O34" s="141" t="s">
        <v>93</v>
      </c>
      <c r="P34" s="142">
        <v>6800</v>
      </c>
      <c r="Q34" s="142">
        <v>21000</v>
      </c>
      <c r="R34" s="143">
        <v>6</v>
      </c>
      <c r="S34" s="144">
        <v>0.2</v>
      </c>
      <c r="T34" s="145">
        <f>R34*Q34*(1-S34)</f>
        <v>100800</v>
      </c>
      <c r="U34" s="142">
        <f>R34*P34</f>
        <v>40800</v>
      </c>
      <c r="V34" s="145">
        <f>T34-U34</f>
        <v>60000</v>
      </c>
      <c r="W34" s="146">
        <f>IF(T34&gt;0, V34/T34, 0)</f>
        <v>0.5952</v>
      </c>
      <c r="X34" s="140" t="s">
        <v>221</v>
      </c>
      <c r="Y34" s="140" t="s">
        <v>186</v>
      </c>
      <c r="Z34" s="145">
        <f>R34*Q34</f>
        <v>126000</v>
      </c>
      <c r="AA34" s="142">
        <f>Z34*S34</f>
        <v>25200</v>
      </c>
      <c r="AB34" s="140" t="s">
        <v>186</v>
      </c>
    </row>
    <row r="35" ht="19" customHeight="1" spans="1:28" x14ac:dyDescent="0.25">
      <c r="A35" s="129" t="s">
        <v>284</v>
      </c>
      <c r="B35" s="130" t="s">
        <v>285</v>
      </c>
      <c r="C35" s="131" t="s">
        <v>143</v>
      </c>
      <c r="D35" s="131" t="s">
        <v>248</v>
      </c>
      <c r="E35" s="129" t="s">
        <v>63</v>
      </c>
      <c r="F35" s="132" t="s">
        <v>64</v>
      </c>
      <c r="G35" s="132" t="s">
        <v>249</v>
      </c>
      <c r="H35" s="132" t="s">
        <v>40</v>
      </c>
      <c r="I35" s="132" t="s">
        <v>179</v>
      </c>
      <c r="J35" s="132" t="s">
        <v>180</v>
      </c>
      <c r="K35" s="132" t="s">
        <v>216</v>
      </c>
      <c r="L35" s="132" t="s">
        <v>94</v>
      </c>
      <c r="M35" s="131" t="s">
        <v>201</v>
      </c>
      <c r="N35" s="132" t="s">
        <v>202</v>
      </c>
      <c r="O35" s="132" t="s">
        <v>97</v>
      </c>
      <c r="P35" s="133">
        <v>3400</v>
      </c>
      <c r="Q35" s="133">
        <v>10500</v>
      </c>
      <c r="R35" s="134">
        <v>11</v>
      </c>
      <c r="S35" s="135">
        <v>0.1</v>
      </c>
      <c r="T35" s="136">
        <f>R35*Q35*(1-S35)</f>
        <v>103950</v>
      </c>
      <c r="U35" s="133">
        <f>R35*P35</f>
        <v>37400</v>
      </c>
      <c r="V35" s="136">
        <f>T35-U35</f>
        <v>66550</v>
      </c>
      <c r="W35" s="137">
        <f>IF(T35&gt;0, V35/T35, 0)</f>
        <v>0.6402</v>
      </c>
      <c r="X35" s="131" t="s">
        <v>217</v>
      </c>
      <c r="Y35" s="131" t="s">
        <v>186</v>
      </c>
      <c r="Z35" s="136">
        <f>R35*Q35</f>
        <v>115500</v>
      </c>
      <c r="AA35" s="133">
        <f>Z35*S35</f>
        <v>11550</v>
      </c>
      <c r="AB35" s="131" t="s">
        <v>186</v>
      </c>
    </row>
    <row r="36" ht="19" customHeight="1" spans="1:28" x14ac:dyDescent="0.25">
      <c r="A36" s="138" t="s">
        <v>286</v>
      </c>
      <c r="B36" s="139" t="s">
        <v>287</v>
      </c>
      <c r="C36" s="140" t="s">
        <v>143</v>
      </c>
      <c r="D36" s="140" t="s">
        <v>208</v>
      </c>
      <c r="E36" s="138" t="s">
        <v>66</v>
      </c>
      <c r="F36" s="141" t="s">
        <v>177</v>
      </c>
      <c r="G36" s="141" t="s">
        <v>209</v>
      </c>
      <c r="H36" s="141" t="s">
        <v>38</v>
      </c>
      <c r="I36" s="141" t="s">
        <v>179</v>
      </c>
      <c r="J36" s="141" t="s">
        <v>180</v>
      </c>
      <c r="K36" s="141" t="s">
        <v>230</v>
      </c>
      <c r="L36" s="141" t="s">
        <v>90</v>
      </c>
      <c r="M36" s="140" t="s">
        <v>211</v>
      </c>
      <c r="N36" s="141" t="s">
        <v>212</v>
      </c>
      <c r="O36" s="141" t="s">
        <v>100</v>
      </c>
      <c r="P36" s="142">
        <v>5500</v>
      </c>
      <c r="Q36" s="142">
        <v>17000</v>
      </c>
      <c r="R36" s="143">
        <v>4</v>
      </c>
      <c r="S36" s="144">
        <v>0</v>
      </c>
      <c r="T36" s="145">
        <f>R36*Q36*(1-S36)</f>
        <v>68000</v>
      </c>
      <c r="U36" s="142">
        <f>R36*P36</f>
        <v>22000</v>
      </c>
      <c r="V36" s="145">
        <f>T36-U36</f>
        <v>46000</v>
      </c>
      <c r="W36" s="146">
        <f>IF(T36&gt;0, V36/T36, 0)</f>
        <v>0.6765</v>
      </c>
      <c r="X36" s="140" t="s">
        <v>185</v>
      </c>
      <c r="Y36" s="140" t="s">
        <v>186</v>
      </c>
      <c r="Z36" s="145">
        <f>R36*Q36</f>
        <v>68000</v>
      </c>
      <c r="AA36" s="142">
        <f>Z36*S36</f>
        <v>0</v>
      </c>
      <c r="AB36" s="140" t="s">
        <v>186</v>
      </c>
    </row>
    <row r="37" ht="19" customHeight="1" spans="1:28" x14ac:dyDescent="0.25">
      <c r="A37" s="129" t="s">
        <v>288</v>
      </c>
      <c r="B37" s="130" t="s">
        <v>289</v>
      </c>
      <c r="C37" s="131" t="s">
        <v>143</v>
      </c>
      <c r="D37" s="131" t="s">
        <v>189</v>
      </c>
      <c r="E37" s="129" t="s">
        <v>68</v>
      </c>
      <c r="F37" s="132" t="s">
        <v>57</v>
      </c>
      <c r="G37" s="132" t="s">
        <v>190</v>
      </c>
      <c r="H37" s="132" t="s">
        <v>229</v>
      </c>
      <c r="I37" s="132" t="s">
        <v>179</v>
      </c>
      <c r="J37" s="132" t="s">
        <v>180</v>
      </c>
      <c r="K37" s="132" t="s">
        <v>181</v>
      </c>
      <c r="L37" s="132" t="s">
        <v>224</v>
      </c>
      <c r="M37" s="131" t="s">
        <v>182</v>
      </c>
      <c r="N37" s="132" t="s">
        <v>183</v>
      </c>
      <c r="O37" s="132" t="s">
        <v>184</v>
      </c>
      <c r="P37" s="133">
        <v>4100</v>
      </c>
      <c r="Q37" s="133">
        <v>12600</v>
      </c>
      <c r="R37" s="134">
        <v>1</v>
      </c>
      <c r="S37" s="135">
        <v>0.05</v>
      </c>
      <c r="T37" s="136">
        <f>R37*Q37*(1-S37)</f>
        <v>11970</v>
      </c>
      <c r="U37" s="133">
        <f>R37*P37</f>
        <v>4100</v>
      </c>
      <c r="V37" s="136">
        <f>T37-U37</f>
        <v>7870</v>
      </c>
      <c r="W37" s="137">
        <f>IF(T37&gt;0, V37/T37, 0)</f>
        <v>0.6575</v>
      </c>
      <c r="X37" s="131" t="s">
        <v>185</v>
      </c>
      <c r="Y37" s="131" t="s">
        <v>186</v>
      </c>
      <c r="Z37" s="136">
        <f>R37*Q37</f>
        <v>12600</v>
      </c>
      <c r="AA37" s="133">
        <f>Z37*S37</f>
        <v>630</v>
      </c>
      <c r="AB37" s="131" t="s">
        <v>186</v>
      </c>
    </row>
    <row r="38" ht="19" customHeight="1" spans="1:28" x14ac:dyDescent="0.25">
      <c r="A38" s="138" t="s">
        <v>290</v>
      </c>
      <c r="B38" s="139" t="s">
        <v>291</v>
      </c>
      <c r="C38" s="140" t="s">
        <v>143</v>
      </c>
      <c r="D38" s="140" t="s">
        <v>248</v>
      </c>
      <c r="E38" s="138" t="s">
        <v>63</v>
      </c>
      <c r="F38" s="141" t="s">
        <v>64</v>
      </c>
      <c r="G38" s="141" t="s">
        <v>249</v>
      </c>
      <c r="H38" s="141" t="s">
        <v>40</v>
      </c>
      <c r="I38" s="141" t="s">
        <v>179</v>
      </c>
      <c r="J38" s="141" t="s">
        <v>180</v>
      </c>
      <c r="K38" s="141" t="s">
        <v>230</v>
      </c>
      <c r="L38" s="141" t="s">
        <v>200</v>
      </c>
      <c r="M38" s="140" t="s">
        <v>192</v>
      </c>
      <c r="N38" s="141" t="s">
        <v>193</v>
      </c>
      <c r="O38" s="141" t="s">
        <v>103</v>
      </c>
      <c r="P38" s="142">
        <v>2300</v>
      </c>
      <c r="Q38" s="142">
        <v>7100</v>
      </c>
      <c r="R38" s="143">
        <v>6</v>
      </c>
      <c r="S38" s="144">
        <v>0</v>
      </c>
      <c r="T38" s="145">
        <f>R38*Q38*(1-S38)</f>
        <v>42600</v>
      </c>
      <c r="U38" s="142">
        <f>R38*P38</f>
        <v>13800</v>
      </c>
      <c r="V38" s="145">
        <f>T38-U38</f>
        <v>28800</v>
      </c>
      <c r="W38" s="146">
        <f>IF(T38&gt;0, V38/T38, 0)</f>
        <v>0.6761</v>
      </c>
      <c r="X38" s="140" t="s">
        <v>185</v>
      </c>
      <c r="Y38" s="140" t="s">
        <v>186</v>
      </c>
      <c r="Z38" s="145">
        <f>R38*Q38</f>
        <v>42600</v>
      </c>
      <c r="AA38" s="142">
        <f>Z38*S38</f>
        <v>0</v>
      </c>
      <c r="AB38" s="140" t="s">
        <v>186</v>
      </c>
    </row>
    <row r="39" ht="19" customHeight="1" spans="1:28" x14ac:dyDescent="0.25">
      <c r="A39" s="129" t="s">
        <v>292</v>
      </c>
      <c r="B39" s="130" t="s">
        <v>293</v>
      </c>
      <c r="C39" s="131" t="s">
        <v>143</v>
      </c>
      <c r="D39" s="131" t="s">
        <v>208</v>
      </c>
      <c r="E39" s="129" t="s">
        <v>66</v>
      </c>
      <c r="F39" s="132" t="s">
        <v>177</v>
      </c>
      <c r="G39" s="132" t="s">
        <v>209</v>
      </c>
      <c r="H39" s="132" t="s">
        <v>229</v>
      </c>
      <c r="I39" s="132" t="s">
        <v>179</v>
      </c>
      <c r="J39" s="132" t="s">
        <v>180</v>
      </c>
      <c r="K39" s="132" t="s">
        <v>181</v>
      </c>
      <c r="L39" s="132" t="s">
        <v>94</v>
      </c>
      <c r="M39" s="131" t="s">
        <v>182</v>
      </c>
      <c r="N39" s="132" t="s">
        <v>183</v>
      </c>
      <c r="O39" s="132" t="s">
        <v>184</v>
      </c>
      <c r="P39" s="133">
        <v>4100</v>
      </c>
      <c r="Q39" s="133">
        <v>12600</v>
      </c>
      <c r="R39" s="134">
        <v>2</v>
      </c>
      <c r="S39" s="135">
        <v>0</v>
      </c>
      <c r="T39" s="136">
        <f>R39*Q39*(1-S39)</f>
        <v>25200</v>
      </c>
      <c r="U39" s="133">
        <f>R39*P39</f>
        <v>8200</v>
      </c>
      <c r="V39" s="136">
        <f>T39-U39</f>
        <v>17000</v>
      </c>
      <c r="W39" s="137">
        <f>IF(T39&gt;0, V39/T39, 0)</f>
        <v>0.6746</v>
      </c>
      <c r="X39" s="131" t="s">
        <v>217</v>
      </c>
      <c r="Y39" s="131" t="s">
        <v>186</v>
      </c>
      <c r="Z39" s="136">
        <f>R39*Q39</f>
        <v>25200</v>
      </c>
      <c r="AA39" s="133">
        <f>Z39*S39</f>
        <v>0</v>
      </c>
      <c r="AB39" s="131" t="s">
        <v>186</v>
      </c>
    </row>
    <row r="40" ht="19" customHeight="1" spans="1:28" x14ac:dyDescent="0.25">
      <c r="A40" s="138" t="s">
        <v>294</v>
      </c>
      <c r="B40" s="139" t="s">
        <v>295</v>
      </c>
      <c r="C40" s="140" t="s">
        <v>143</v>
      </c>
      <c r="D40" s="140" t="s">
        <v>197</v>
      </c>
      <c r="E40" s="138" t="s">
        <v>56</v>
      </c>
      <c r="F40" s="141" t="s">
        <v>57</v>
      </c>
      <c r="G40" s="141" t="s">
        <v>198</v>
      </c>
      <c r="H40" s="141" t="s">
        <v>38</v>
      </c>
      <c r="I40" s="141" t="s">
        <v>179</v>
      </c>
      <c r="J40" s="141" t="s">
        <v>180</v>
      </c>
      <c r="K40" s="141" t="s">
        <v>199</v>
      </c>
      <c r="L40" s="141" t="s">
        <v>98</v>
      </c>
      <c r="M40" s="140" t="s">
        <v>225</v>
      </c>
      <c r="N40" s="141" t="s">
        <v>226</v>
      </c>
      <c r="O40" s="141" t="s">
        <v>89</v>
      </c>
      <c r="P40" s="142">
        <v>8200</v>
      </c>
      <c r="Q40" s="142">
        <v>25000</v>
      </c>
      <c r="R40" s="143">
        <v>1</v>
      </c>
      <c r="S40" s="144">
        <v>0.1</v>
      </c>
      <c r="T40" s="145">
        <f>R40*Q40*(1-S40)</f>
        <v>22500</v>
      </c>
      <c r="U40" s="142">
        <f>R40*P40</f>
        <v>8200</v>
      </c>
      <c r="V40" s="145">
        <f>T40-U40</f>
        <v>14300</v>
      </c>
      <c r="W40" s="146">
        <f>IF(T40&gt;0, V40/T40, 0)</f>
        <v>0.6356</v>
      </c>
      <c r="X40" s="140" t="s">
        <v>217</v>
      </c>
      <c r="Y40" s="140" t="s">
        <v>186</v>
      </c>
      <c r="Z40" s="145">
        <f>R40*Q40</f>
        <v>25000</v>
      </c>
      <c r="AA40" s="142">
        <f>Z40*S40</f>
        <v>2500</v>
      </c>
      <c r="AB40" s="140" t="s">
        <v>186</v>
      </c>
    </row>
    <row r="41" ht="19" customHeight="1" spans="1:28" x14ac:dyDescent="0.25">
      <c r="A41" s="129" t="s">
        <v>296</v>
      </c>
      <c r="B41" s="130" t="s">
        <v>297</v>
      </c>
      <c r="C41" s="131" t="s">
        <v>143</v>
      </c>
      <c r="D41" s="131" t="s">
        <v>208</v>
      </c>
      <c r="E41" s="129" t="s">
        <v>66</v>
      </c>
      <c r="F41" s="132" t="s">
        <v>177</v>
      </c>
      <c r="G41" s="132" t="s">
        <v>209</v>
      </c>
      <c r="H41" s="132" t="s">
        <v>38</v>
      </c>
      <c r="I41" s="132" t="s">
        <v>179</v>
      </c>
      <c r="J41" s="132" t="s">
        <v>180</v>
      </c>
      <c r="K41" s="132" t="s">
        <v>230</v>
      </c>
      <c r="L41" s="132" t="s">
        <v>200</v>
      </c>
      <c r="M41" s="131" t="s">
        <v>211</v>
      </c>
      <c r="N41" s="132" t="s">
        <v>212</v>
      </c>
      <c r="O41" s="132" t="s">
        <v>100</v>
      </c>
      <c r="P41" s="133">
        <v>5500</v>
      </c>
      <c r="Q41" s="133">
        <v>17000</v>
      </c>
      <c r="R41" s="134">
        <v>4</v>
      </c>
      <c r="S41" s="135">
        <v>0.1</v>
      </c>
      <c r="T41" s="136">
        <f>R41*Q41*(1-S41)</f>
        <v>61200</v>
      </c>
      <c r="U41" s="133">
        <f>R41*P41</f>
        <v>22000</v>
      </c>
      <c r="V41" s="136">
        <f>T41-U41</f>
        <v>39200</v>
      </c>
      <c r="W41" s="137">
        <f>IF(T41&gt;0, V41/T41, 0)</f>
        <v>0.6405</v>
      </c>
      <c r="X41" s="131" t="s">
        <v>185</v>
      </c>
      <c r="Y41" s="131" t="s">
        <v>186</v>
      </c>
      <c r="Z41" s="136">
        <f>R41*Q41</f>
        <v>68000</v>
      </c>
      <c r="AA41" s="133">
        <f>Z41*S41</f>
        <v>6800</v>
      </c>
      <c r="AB41" s="131" t="s">
        <v>186</v>
      </c>
    </row>
    <row r="42" ht="19" customHeight="1" spans="1:28" x14ac:dyDescent="0.25">
      <c r="A42" s="138" t="s">
        <v>298</v>
      </c>
      <c r="B42" s="139" t="s">
        <v>299</v>
      </c>
      <c r="C42" s="140" t="s">
        <v>144</v>
      </c>
      <c r="D42" s="140" t="s">
        <v>189</v>
      </c>
      <c r="E42" s="138" t="s">
        <v>68</v>
      </c>
      <c r="F42" s="141" t="s">
        <v>57</v>
      </c>
      <c r="G42" s="141" t="s">
        <v>190</v>
      </c>
      <c r="H42" s="141" t="s">
        <v>42</v>
      </c>
      <c r="I42" s="141" t="s">
        <v>179</v>
      </c>
      <c r="J42" s="141" t="s">
        <v>205</v>
      </c>
      <c r="K42" s="141" t="s">
        <v>191</v>
      </c>
      <c r="L42" s="141" t="s">
        <v>200</v>
      </c>
      <c r="M42" s="140" t="s">
        <v>236</v>
      </c>
      <c r="N42" s="141" t="s">
        <v>237</v>
      </c>
      <c r="O42" s="141" t="s">
        <v>93</v>
      </c>
      <c r="P42" s="142">
        <v>6800</v>
      </c>
      <c r="Q42" s="142">
        <v>21000</v>
      </c>
      <c r="R42" s="143">
        <v>2</v>
      </c>
      <c r="S42" s="144">
        <v>0.15</v>
      </c>
      <c r="T42" s="145">
        <f>R42*Q42*(1-S42)</f>
        <v>35700</v>
      </c>
      <c r="U42" s="142">
        <f>R42*P42</f>
        <v>13600</v>
      </c>
      <c r="V42" s="145">
        <f>T42-U42</f>
        <v>22100</v>
      </c>
      <c r="W42" s="146">
        <f>IF(T42&gt;0, V42/T42, 0)</f>
        <v>0.619</v>
      </c>
      <c r="X42" s="140" t="s">
        <v>217</v>
      </c>
      <c r="Y42" s="140" t="s">
        <v>186</v>
      </c>
      <c r="Z42" s="145">
        <f>R42*Q42</f>
        <v>42000</v>
      </c>
      <c r="AA42" s="142">
        <f>Z42*S42</f>
        <v>6300</v>
      </c>
      <c r="AB42" s="140" t="s">
        <v>186</v>
      </c>
    </row>
    <row r="43" ht="19" customHeight="1" spans="1:28" x14ac:dyDescent="0.25">
      <c r="A43" s="129" t="s">
        <v>300</v>
      </c>
      <c r="B43" s="130" t="s">
        <v>301</v>
      </c>
      <c r="C43" s="131" t="s">
        <v>144</v>
      </c>
      <c r="D43" s="131" t="s">
        <v>197</v>
      </c>
      <c r="E43" s="129" t="s">
        <v>56</v>
      </c>
      <c r="F43" s="132" t="s">
        <v>57</v>
      </c>
      <c r="G43" s="132" t="s">
        <v>198</v>
      </c>
      <c r="H43" s="132" t="s">
        <v>38</v>
      </c>
      <c r="I43" s="132" t="s">
        <v>179</v>
      </c>
      <c r="J43" s="132" t="s">
        <v>180</v>
      </c>
      <c r="K43" s="132" t="s">
        <v>191</v>
      </c>
      <c r="L43" s="132" t="s">
        <v>94</v>
      </c>
      <c r="M43" s="131" t="s">
        <v>192</v>
      </c>
      <c r="N43" s="132" t="s">
        <v>193</v>
      </c>
      <c r="O43" s="132" t="s">
        <v>103</v>
      </c>
      <c r="P43" s="133">
        <v>2300</v>
      </c>
      <c r="Q43" s="133">
        <v>7100</v>
      </c>
      <c r="R43" s="134">
        <v>2</v>
      </c>
      <c r="S43" s="135">
        <v>0.15</v>
      </c>
      <c r="T43" s="136">
        <f>R43*Q43*(1-S43)</f>
        <v>12070</v>
      </c>
      <c r="U43" s="133">
        <f>R43*P43</f>
        <v>4600</v>
      </c>
      <c r="V43" s="136">
        <f>T43-U43</f>
        <v>7470</v>
      </c>
      <c r="W43" s="137">
        <f>IF(T43&gt;0, V43/T43, 0)</f>
        <v>0.6189</v>
      </c>
      <c r="X43" s="131" t="s">
        <v>185</v>
      </c>
      <c r="Y43" s="131" t="s">
        <v>186</v>
      </c>
      <c r="Z43" s="136">
        <f>R43*Q43</f>
        <v>14200</v>
      </c>
      <c r="AA43" s="133">
        <f>Z43*S43</f>
        <v>2130</v>
      </c>
      <c r="AB43" s="131" t="s">
        <v>186</v>
      </c>
    </row>
    <row r="44" ht="19" customHeight="1" spans="1:28" x14ac:dyDescent="0.25">
      <c r="A44" s="138" t="s">
        <v>302</v>
      </c>
      <c r="B44" s="139" t="s">
        <v>303</v>
      </c>
      <c r="C44" s="140" t="s">
        <v>144</v>
      </c>
      <c r="D44" s="140" t="s">
        <v>176</v>
      </c>
      <c r="E44" s="138" t="s">
        <v>60</v>
      </c>
      <c r="F44" s="141" t="s">
        <v>177</v>
      </c>
      <c r="G44" s="141" t="s">
        <v>178</v>
      </c>
      <c r="H44" s="141" t="s">
        <v>38</v>
      </c>
      <c r="I44" s="141" t="s">
        <v>179</v>
      </c>
      <c r="J44" s="141" t="s">
        <v>180</v>
      </c>
      <c r="K44" s="141" t="s">
        <v>199</v>
      </c>
      <c r="L44" s="141" t="s">
        <v>98</v>
      </c>
      <c r="M44" s="140" t="s">
        <v>225</v>
      </c>
      <c r="N44" s="141" t="s">
        <v>226</v>
      </c>
      <c r="O44" s="141" t="s">
        <v>89</v>
      </c>
      <c r="P44" s="142">
        <v>8200</v>
      </c>
      <c r="Q44" s="142">
        <v>25000</v>
      </c>
      <c r="R44" s="143">
        <v>2</v>
      </c>
      <c r="S44" s="144">
        <v>0.05</v>
      </c>
      <c r="T44" s="145">
        <f>R44*Q44*(1-S44)</f>
        <v>47500</v>
      </c>
      <c r="U44" s="142">
        <f>R44*P44</f>
        <v>16400</v>
      </c>
      <c r="V44" s="145">
        <f>T44-U44</f>
        <v>31100</v>
      </c>
      <c r="W44" s="146">
        <f>IF(T44&gt;0, V44/T44, 0)</f>
        <v>0.6547</v>
      </c>
      <c r="X44" s="140" t="s">
        <v>221</v>
      </c>
      <c r="Y44" s="140" t="s">
        <v>186</v>
      </c>
      <c r="Z44" s="145">
        <f>R44*Q44</f>
        <v>50000</v>
      </c>
      <c r="AA44" s="142">
        <f>Z44*S44</f>
        <v>2500</v>
      </c>
      <c r="AB44" s="140" t="s">
        <v>186</v>
      </c>
    </row>
    <row r="45" ht="19" customHeight="1" spans="1:28" x14ac:dyDescent="0.25">
      <c r="A45" s="129" t="s">
        <v>304</v>
      </c>
      <c r="B45" s="130" t="s">
        <v>305</v>
      </c>
      <c r="C45" s="131" t="s">
        <v>144</v>
      </c>
      <c r="D45" s="131" t="s">
        <v>176</v>
      </c>
      <c r="E45" s="129" t="s">
        <v>60</v>
      </c>
      <c r="F45" s="132" t="s">
        <v>177</v>
      </c>
      <c r="G45" s="132" t="s">
        <v>178</v>
      </c>
      <c r="H45" s="132" t="s">
        <v>40</v>
      </c>
      <c r="I45" s="132" t="s">
        <v>179</v>
      </c>
      <c r="J45" s="132" t="s">
        <v>180</v>
      </c>
      <c r="K45" s="132" t="s">
        <v>199</v>
      </c>
      <c r="L45" s="132" t="s">
        <v>90</v>
      </c>
      <c r="M45" s="131" t="s">
        <v>201</v>
      </c>
      <c r="N45" s="132" t="s">
        <v>202</v>
      </c>
      <c r="O45" s="132" t="s">
        <v>97</v>
      </c>
      <c r="P45" s="133">
        <v>3400</v>
      </c>
      <c r="Q45" s="133">
        <v>10500</v>
      </c>
      <c r="R45" s="134">
        <v>4</v>
      </c>
      <c r="S45" s="135">
        <v>0.05</v>
      </c>
      <c r="T45" s="136">
        <f>R45*Q45*(1-S45)</f>
        <v>39900</v>
      </c>
      <c r="U45" s="133">
        <f>R45*P45</f>
        <v>13600</v>
      </c>
      <c r="V45" s="136">
        <f>T45-U45</f>
        <v>26300</v>
      </c>
      <c r="W45" s="137">
        <f>IF(T45&gt;0, V45/T45, 0)</f>
        <v>0.6591</v>
      </c>
      <c r="X45" s="131" t="s">
        <v>185</v>
      </c>
      <c r="Y45" s="131" t="s">
        <v>186</v>
      </c>
      <c r="Z45" s="136">
        <f>R45*Q45</f>
        <v>42000</v>
      </c>
      <c r="AA45" s="133">
        <f>Z45*S45</f>
        <v>2100</v>
      </c>
      <c r="AB45" s="131" t="s">
        <v>186</v>
      </c>
    </row>
    <row r="46" ht="19" customHeight="1" spans="1:28" x14ac:dyDescent="0.25">
      <c r="A46" s="138" t="s">
        <v>306</v>
      </c>
      <c r="B46" s="139" t="s">
        <v>307</v>
      </c>
      <c r="C46" s="140" t="s">
        <v>144</v>
      </c>
      <c r="D46" s="140" t="s">
        <v>248</v>
      </c>
      <c r="E46" s="138" t="s">
        <v>63</v>
      </c>
      <c r="F46" s="141" t="s">
        <v>64</v>
      </c>
      <c r="G46" s="141" t="s">
        <v>249</v>
      </c>
      <c r="H46" s="141" t="s">
        <v>40</v>
      </c>
      <c r="I46" s="141" t="s">
        <v>179</v>
      </c>
      <c r="J46" s="141" t="s">
        <v>180</v>
      </c>
      <c r="K46" s="141" t="s">
        <v>241</v>
      </c>
      <c r="L46" s="141" t="s">
        <v>90</v>
      </c>
      <c r="M46" s="140" t="s">
        <v>236</v>
      </c>
      <c r="N46" s="141" t="s">
        <v>237</v>
      </c>
      <c r="O46" s="141" t="s">
        <v>93</v>
      </c>
      <c r="P46" s="142">
        <v>6800</v>
      </c>
      <c r="Q46" s="142">
        <v>21000</v>
      </c>
      <c r="R46" s="143">
        <v>14</v>
      </c>
      <c r="S46" s="144">
        <v>0.15</v>
      </c>
      <c r="T46" s="145">
        <f>R46*Q46*(1-S46)</f>
        <v>249900</v>
      </c>
      <c r="U46" s="142">
        <f>R46*P46</f>
        <v>95200</v>
      </c>
      <c r="V46" s="145">
        <f>T46-U46</f>
        <v>154700</v>
      </c>
      <c r="W46" s="146">
        <f>IF(T46&gt;0, V46/T46, 0)</f>
        <v>0.619</v>
      </c>
      <c r="X46" s="140" t="s">
        <v>217</v>
      </c>
      <c r="Y46" s="140" t="s">
        <v>186</v>
      </c>
      <c r="Z46" s="145">
        <f>R46*Q46</f>
        <v>294000</v>
      </c>
      <c r="AA46" s="142">
        <f>Z46*S46</f>
        <v>44100</v>
      </c>
      <c r="AB46" s="140" t="s">
        <v>186</v>
      </c>
    </row>
    <row r="47" ht="19" customHeight="1" spans="1:28" x14ac:dyDescent="0.25">
      <c r="A47" s="129" t="s">
        <v>308</v>
      </c>
      <c r="B47" s="130" t="s">
        <v>309</v>
      </c>
      <c r="C47" s="131" t="s">
        <v>144</v>
      </c>
      <c r="D47" s="131" t="s">
        <v>233</v>
      </c>
      <c r="E47" s="129" t="s">
        <v>234</v>
      </c>
      <c r="F47" s="132" t="s">
        <v>177</v>
      </c>
      <c r="G47" s="132" t="s">
        <v>235</v>
      </c>
      <c r="H47" s="132" t="s">
        <v>42</v>
      </c>
      <c r="I47" s="132" t="s">
        <v>179</v>
      </c>
      <c r="J47" s="132" t="s">
        <v>205</v>
      </c>
      <c r="K47" s="132" t="s">
        <v>241</v>
      </c>
      <c r="L47" s="132" t="s">
        <v>224</v>
      </c>
      <c r="M47" s="131" t="s">
        <v>211</v>
      </c>
      <c r="N47" s="132" t="s">
        <v>212</v>
      </c>
      <c r="O47" s="132" t="s">
        <v>100</v>
      </c>
      <c r="P47" s="133">
        <v>5500</v>
      </c>
      <c r="Q47" s="133">
        <v>17000</v>
      </c>
      <c r="R47" s="134">
        <v>2</v>
      </c>
      <c r="S47" s="135">
        <v>0.1</v>
      </c>
      <c r="T47" s="136">
        <f>R47*Q47*(1-S47)</f>
        <v>30600</v>
      </c>
      <c r="U47" s="133">
        <f>R47*P47</f>
        <v>11000</v>
      </c>
      <c r="V47" s="136">
        <f>T47-U47</f>
        <v>19600</v>
      </c>
      <c r="W47" s="137">
        <f>IF(T47&gt;0, V47/T47, 0)</f>
        <v>0.6405</v>
      </c>
      <c r="X47" s="131" t="s">
        <v>221</v>
      </c>
      <c r="Y47" s="131" t="s">
        <v>186</v>
      </c>
      <c r="Z47" s="136">
        <f>R47*Q47</f>
        <v>34000</v>
      </c>
      <c r="AA47" s="133">
        <f>Z47*S47</f>
        <v>3400</v>
      </c>
      <c r="AB47" s="131" t="s">
        <v>186</v>
      </c>
    </row>
    <row r="48" ht="19" customHeight="1" spans="1:28" x14ac:dyDescent="0.25">
      <c r="A48" s="138" t="s">
        <v>310</v>
      </c>
      <c r="B48" s="139" t="s">
        <v>311</v>
      </c>
      <c r="C48" s="140" t="s">
        <v>144</v>
      </c>
      <c r="D48" s="140" t="s">
        <v>197</v>
      </c>
      <c r="E48" s="138" t="s">
        <v>56</v>
      </c>
      <c r="F48" s="141" t="s">
        <v>57</v>
      </c>
      <c r="G48" s="141" t="s">
        <v>198</v>
      </c>
      <c r="H48" s="141" t="s">
        <v>42</v>
      </c>
      <c r="I48" s="141" t="s">
        <v>179</v>
      </c>
      <c r="J48" s="141" t="s">
        <v>205</v>
      </c>
      <c r="K48" s="141" t="s">
        <v>216</v>
      </c>
      <c r="L48" s="141" t="s">
        <v>224</v>
      </c>
      <c r="M48" s="140" t="s">
        <v>236</v>
      </c>
      <c r="N48" s="141" t="s">
        <v>237</v>
      </c>
      <c r="O48" s="141" t="s">
        <v>93</v>
      </c>
      <c r="P48" s="142">
        <v>6800</v>
      </c>
      <c r="Q48" s="142">
        <v>21000</v>
      </c>
      <c r="R48" s="143">
        <v>1</v>
      </c>
      <c r="S48" s="144">
        <v>0.05</v>
      </c>
      <c r="T48" s="145">
        <f>R48*Q48*(1-S48)</f>
        <v>19950</v>
      </c>
      <c r="U48" s="142">
        <f>R48*P48</f>
        <v>6800</v>
      </c>
      <c r="V48" s="145">
        <f>T48-U48</f>
        <v>13150</v>
      </c>
      <c r="W48" s="146">
        <f>IF(T48&gt;0, V48/T48, 0)</f>
        <v>0.6591</v>
      </c>
      <c r="X48" s="140" t="s">
        <v>185</v>
      </c>
      <c r="Y48" s="140" t="s">
        <v>186</v>
      </c>
      <c r="Z48" s="145">
        <f>R48*Q48</f>
        <v>21000</v>
      </c>
      <c r="AA48" s="142">
        <f>Z48*S48</f>
        <v>1050</v>
      </c>
      <c r="AB48" s="140" t="s">
        <v>186</v>
      </c>
    </row>
    <row r="49" ht="19" customHeight="1" spans="1:28" x14ac:dyDescent="0.25">
      <c r="A49" s="129" t="s">
        <v>312</v>
      </c>
      <c r="B49" s="130" t="s">
        <v>313</v>
      </c>
      <c r="C49" s="131" t="s">
        <v>314</v>
      </c>
      <c r="D49" s="131" t="s">
        <v>197</v>
      </c>
      <c r="E49" s="129" t="s">
        <v>56</v>
      </c>
      <c r="F49" s="132" t="s">
        <v>57</v>
      </c>
      <c r="G49" s="132" t="s">
        <v>198</v>
      </c>
      <c r="H49" s="132" t="s">
        <v>40</v>
      </c>
      <c r="I49" s="132" t="s">
        <v>179</v>
      </c>
      <c r="J49" s="132" t="s">
        <v>180</v>
      </c>
      <c r="K49" s="132" t="s">
        <v>220</v>
      </c>
      <c r="L49" s="132" t="s">
        <v>90</v>
      </c>
      <c r="M49" s="131" t="s">
        <v>225</v>
      </c>
      <c r="N49" s="132" t="s">
        <v>226</v>
      </c>
      <c r="O49" s="132" t="s">
        <v>89</v>
      </c>
      <c r="P49" s="133">
        <v>8200</v>
      </c>
      <c r="Q49" s="133">
        <v>25000</v>
      </c>
      <c r="R49" s="134">
        <v>12</v>
      </c>
      <c r="S49" s="135">
        <v>0.15</v>
      </c>
      <c r="T49" s="136">
        <f>R49*Q49*(1-S49)</f>
        <v>255000</v>
      </c>
      <c r="U49" s="133">
        <f>R49*P49</f>
        <v>98400</v>
      </c>
      <c r="V49" s="136">
        <f>T49-U49</f>
        <v>156600</v>
      </c>
      <c r="W49" s="137">
        <f>IF(T49&gt;0, V49/T49, 0)</f>
        <v>0.6141</v>
      </c>
      <c r="X49" s="131" t="s">
        <v>194</v>
      </c>
      <c r="Y49" s="131" t="s">
        <v>186</v>
      </c>
      <c r="Z49" s="136">
        <f>R49*Q49</f>
        <v>300000</v>
      </c>
      <c r="AA49" s="133">
        <f>Z49*S49</f>
        <v>45000</v>
      </c>
      <c r="AB49" s="131" t="s">
        <v>186</v>
      </c>
    </row>
    <row r="50" ht="19" customHeight="1" spans="1:28" x14ac:dyDescent="0.25">
      <c r="A50" s="138" t="s">
        <v>315</v>
      </c>
      <c r="B50" s="139" t="s">
        <v>316</v>
      </c>
      <c r="C50" s="140" t="s">
        <v>314</v>
      </c>
      <c r="D50" s="140" t="s">
        <v>197</v>
      </c>
      <c r="E50" s="138" t="s">
        <v>56</v>
      </c>
      <c r="F50" s="141" t="s">
        <v>57</v>
      </c>
      <c r="G50" s="141" t="s">
        <v>198</v>
      </c>
      <c r="H50" s="141" t="s">
        <v>229</v>
      </c>
      <c r="I50" s="141" t="s">
        <v>179</v>
      </c>
      <c r="J50" s="141" t="s">
        <v>180</v>
      </c>
      <c r="K50" s="141" t="s">
        <v>220</v>
      </c>
      <c r="L50" s="141" t="s">
        <v>94</v>
      </c>
      <c r="M50" s="140" t="s">
        <v>201</v>
      </c>
      <c r="N50" s="141" t="s">
        <v>202</v>
      </c>
      <c r="O50" s="141" t="s">
        <v>97</v>
      </c>
      <c r="P50" s="142">
        <v>3400</v>
      </c>
      <c r="Q50" s="142">
        <v>10500</v>
      </c>
      <c r="R50" s="143">
        <v>1</v>
      </c>
      <c r="S50" s="144">
        <v>0.2</v>
      </c>
      <c r="T50" s="145">
        <f>R50*Q50*(1-S50)</f>
        <v>8400</v>
      </c>
      <c r="U50" s="142">
        <f>R50*P50</f>
        <v>3400</v>
      </c>
      <c r="V50" s="145">
        <f>T50-U50</f>
        <v>5000</v>
      </c>
      <c r="W50" s="146">
        <f>IF(T50&gt;0, V50/T50, 0)</f>
        <v>0.5952</v>
      </c>
      <c r="X50" s="140" t="s">
        <v>185</v>
      </c>
      <c r="Y50" s="140" t="s">
        <v>186</v>
      </c>
      <c r="Z50" s="145">
        <f>R50*Q50</f>
        <v>10500</v>
      </c>
      <c r="AA50" s="142">
        <f>Z50*S50</f>
        <v>2100</v>
      </c>
      <c r="AB50" s="140" t="s">
        <v>186</v>
      </c>
    </row>
    <row r="51" ht="19" customHeight="1" spans="1:28" x14ac:dyDescent="0.25">
      <c r="A51" s="129" t="s">
        <v>317</v>
      </c>
      <c r="B51" s="130" t="s">
        <v>318</v>
      </c>
      <c r="C51" s="131" t="s">
        <v>314</v>
      </c>
      <c r="D51" s="131" t="s">
        <v>176</v>
      </c>
      <c r="E51" s="129" t="s">
        <v>60</v>
      </c>
      <c r="F51" s="132" t="s">
        <v>177</v>
      </c>
      <c r="G51" s="132" t="s">
        <v>178</v>
      </c>
      <c r="H51" s="132" t="s">
        <v>38</v>
      </c>
      <c r="I51" s="132" t="s">
        <v>179</v>
      </c>
      <c r="J51" s="132" t="s">
        <v>180</v>
      </c>
      <c r="K51" s="132" t="s">
        <v>220</v>
      </c>
      <c r="L51" s="132" t="s">
        <v>224</v>
      </c>
      <c r="M51" s="131" t="s">
        <v>236</v>
      </c>
      <c r="N51" s="132" t="s">
        <v>237</v>
      </c>
      <c r="O51" s="132" t="s">
        <v>93</v>
      </c>
      <c r="P51" s="133">
        <v>6800</v>
      </c>
      <c r="Q51" s="133">
        <v>21000</v>
      </c>
      <c r="R51" s="134">
        <v>1</v>
      </c>
      <c r="S51" s="135">
        <v>0.05</v>
      </c>
      <c r="T51" s="136">
        <f>R51*Q51*(1-S51)</f>
        <v>19950</v>
      </c>
      <c r="U51" s="133">
        <f>R51*P51</f>
        <v>6800</v>
      </c>
      <c r="V51" s="136">
        <f>T51-U51</f>
        <v>13150</v>
      </c>
      <c r="W51" s="137">
        <f>IF(T51&gt;0, V51/T51, 0)</f>
        <v>0.6591</v>
      </c>
      <c r="X51" s="131" t="s">
        <v>221</v>
      </c>
      <c r="Y51" s="131" t="s">
        <v>186</v>
      </c>
      <c r="Z51" s="136">
        <f>R51*Q51</f>
        <v>21000</v>
      </c>
      <c r="AA51" s="133">
        <f>Z51*S51</f>
        <v>1050</v>
      </c>
      <c r="AB51" s="131" t="s">
        <v>186</v>
      </c>
    </row>
    <row r="52" ht="19" customHeight="1" spans="1:28" x14ac:dyDescent="0.25">
      <c r="A52" s="138" t="s">
        <v>319</v>
      </c>
      <c r="B52" s="139" t="s">
        <v>320</v>
      </c>
      <c r="C52" s="140" t="s">
        <v>314</v>
      </c>
      <c r="D52" s="140" t="s">
        <v>197</v>
      </c>
      <c r="E52" s="138" t="s">
        <v>56</v>
      </c>
      <c r="F52" s="141" t="s">
        <v>57</v>
      </c>
      <c r="G52" s="141" t="s">
        <v>198</v>
      </c>
      <c r="H52" s="141" t="s">
        <v>44</v>
      </c>
      <c r="I52" s="141" t="s">
        <v>179</v>
      </c>
      <c r="J52" s="141" t="s">
        <v>180</v>
      </c>
      <c r="K52" s="141" t="s">
        <v>181</v>
      </c>
      <c r="L52" s="141" t="s">
        <v>224</v>
      </c>
      <c r="M52" s="140" t="s">
        <v>201</v>
      </c>
      <c r="N52" s="141" t="s">
        <v>202</v>
      </c>
      <c r="O52" s="141" t="s">
        <v>97</v>
      </c>
      <c r="P52" s="142">
        <v>3400</v>
      </c>
      <c r="Q52" s="142">
        <v>10500</v>
      </c>
      <c r="R52" s="143">
        <v>6</v>
      </c>
      <c r="S52" s="144">
        <v>0.05</v>
      </c>
      <c r="T52" s="145">
        <f>R52*Q52*(1-S52)</f>
        <v>59850</v>
      </c>
      <c r="U52" s="142">
        <f>R52*P52</f>
        <v>20400</v>
      </c>
      <c r="V52" s="145">
        <f>T52-U52</f>
        <v>39450</v>
      </c>
      <c r="W52" s="146">
        <f>IF(T52&gt;0, V52/T52, 0)</f>
        <v>0.6591</v>
      </c>
      <c r="X52" s="140" t="s">
        <v>221</v>
      </c>
      <c r="Y52" s="140" t="s">
        <v>186</v>
      </c>
      <c r="Z52" s="145">
        <f>R52*Q52</f>
        <v>63000</v>
      </c>
      <c r="AA52" s="142">
        <f>Z52*S52</f>
        <v>3150</v>
      </c>
      <c r="AB52" s="140" t="s">
        <v>186</v>
      </c>
    </row>
    <row r="53" ht="19" customHeight="1" spans="1:28" x14ac:dyDescent="0.25">
      <c r="A53" s="129" t="s">
        <v>321</v>
      </c>
      <c r="B53" s="130" t="s">
        <v>322</v>
      </c>
      <c r="C53" s="131" t="s">
        <v>314</v>
      </c>
      <c r="D53" s="131" t="s">
        <v>176</v>
      </c>
      <c r="E53" s="129" t="s">
        <v>60</v>
      </c>
      <c r="F53" s="132" t="s">
        <v>177</v>
      </c>
      <c r="G53" s="132" t="s">
        <v>178</v>
      </c>
      <c r="H53" s="132" t="s">
        <v>229</v>
      </c>
      <c r="I53" s="132" t="s">
        <v>179</v>
      </c>
      <c r="J53" s="132" t="s">
        <v>180</v>
      </c>
      <c r="K53" s="132" t="s">
        <v>199</v>
      </c>
      <c r="L53" s="132" t="s">
        <v>98</v>
      </c>
      <c r="M53" s="131" t="s">
        <v>201</v>
      </c>
      <c r="N53" s="132" t="s">
        <v>202</v>
      </c>
      <c r="O53" s="132" t="s">
        <v>97</v>
      </c>
      <c r="P53" s="133">
        <v>3400</v>
      </c>
      <c r="Q53" s="133">
        <v>10500</v>
      </c>
      <c r="R53" s="134">
        <v>2</v>
      </c>
      <c r="S53" s="135">
        <v>0.2</v>
      </c>
      <c r="T53" s="136">
        <f>R53*Q53*(1-S53)</f>
        <v>16800</v>
      </c>
      <c r="U53" s="133">
        <f>R53*P53</f>
        <v>6800</v>
      </c>
      <c r="V53" s="136">
        <f>T53-U53</f>
        <v>10000</v>
      </c>
      <c r="W53" s="137">
        <f>IF(T53&gt;0, V53/T53, 0)</f>
        <v>0.5952</v>
      </c>
      <c r="X53" s="131" t="s">
        <v>185</v>
      </c>
      <c r="Y53" s="131" t="s">
        <v>186</v>
      </c>
      <c r="Z53" s="136">
        <f>R53*Q53</f>
        <v>21000</v>
      </c>
      <c r="AA53" s="133">
        <f>Z53*S53</f>
        <v>4200</v>
      </c>
      <c r="AB53" s="131" t="s">
        <v>186</v>
      </c>
    </row>
    <row r="54" ht="19" customHeight="1" spans="1:28" x14ac:dyDescent="0.25">
      <c r="A54" s="138" t="s">
        <v>323</v>
      </c>
      <c r="B54" s="139" t="s">
        <v>324</v>
      </c>
      <c r="C54" s="140" t="s">
        <v>314</v>
      </c>
      <c r="D54" s="140" t="s">
        <v>248</v>
      </c>
      <c r="E54" s="138" t="s">
        <v>63</v>
      </c>
      <c r="F54" s="141" t="s">
        <v>64</v>
      </c>
      <c r="G54" s="141" t="s">
        <v>249</v>
      </c>
      <c r="H54" s="141" t="s">
        <v>38</v>
      </c>
      <c r="I54" s="141" t="s">
        <v>179</v>
      </c>
      <c r="J54" s="141" t="s">
        <v>180</v>
      </c>
      <c r="K54" s="141" t="s">
        <v>241</v>
      </c>
      <c r="L54" s="141" t="s">
        <v>94</v>
      </c>
      <c r="M54" s="140" t="s">
        <v>211</v>
      </c>
      <c r="N54" s="141" t="s">
        <v>212</v>
      </c>
      <c r="O54" s="141" t="s">
        <v>100</v>
      </c>
      <c r="P54" s="142">
        <v>5500</v>
      </c>
      <c r="Q54" s="142">
        <v>17000</v>
      </c>
      <c r="R54" s="143">
        <v>2</v>
      </c>
      <c r="S54" s="144">
        <v>0</v>
      </c>
      <c r="T54" s="145">
        <f>R54*Q54*(1-S54)</f>
        <v>34000</v>
      </c>
      <c r="U54" s="142">
        <f>R54*P54</f>
        <v>11000</v>
      </c>
      <c r="V54" s="145">
        <f>T54-U54</f>
        <v>23000</v>
      </c>
      <c r="W54" s="146">
        <f>IF(T54&gt;0, V54/T54, 0)</f>
        <v>0.6765</v>
      </c>
      <c r="X54" s="140" t="s">
        <v>185</v>
      </c>
      <c r="Y54" s="140" t="s">
        <v>186</v>
      </c>
      <c r="Z54" s="145">
        <f>R54*Q54</f>
        <v>34000</v>
      </c>
      <c r="AA54" s="142">
        <f>Z54*S54</f>
        <v>0</v>
      </c>
      <c r="AB54" s="140" t="s">
        <v>186</v>
      </c>
    </row>
    <row r="55" ht="19" customHeight="1" spans="1:28" x14ac:dyDescent="0.25">
      <c r="A55" s="129" t="s">
        <v>325</v>
      </c>
      <c r="B55" s="130" t="s">
        <v>326</v>
      </c>
      <c r="C55" s="131" t="s">
        <v>314</v>
      </c>
      <c r="D55" s="131" t="s">
        <v>208</v>
      </c>
      <c r="E55" s="129" t="s">
        <v>66</v>
      </c>
      <c r="F55" s="132" t="s">
        <v>177</v>
      </c>
      <c r="G55" s="132" t="s">
        <v>209</v>
      </c>
      <c r="H55" s="132" t="s">
        <v>229</v>
      </c>
      <c r="I55" s="132" t="s">
        <v>179</v>
      </c>
      <c r="J55" s="132" t="s">
        <v>180</v>
      </c>
      <c r="K55" s="132" t="s">
        <v>191</v>
      </c>
      <c r="L55" s="132" t="s">
        <v>90</v>
      </c>
      <c r="M55" s="131" t="s">
        <v>236</v>
      </c>
      <c r="N55" s="132" t="s">
        <v>237</v>
      </c>
      <c r="O55" s="132" t="s">
        <v>93</v>
      </c>
      <c r="P55" s="133">
        <v>6800</v>
      </c>
      <c r="Q55" s="133">
        <v>21000</v>
      </c>
      <c r="R55" s="134">
        <v>1</v>
      </c>
      <c r="S55" s="135">
        <v>0.15</v>
      </c>
      <c r="T55" s="136">
        <f>R55*Q55*(1-S55)</f>
        <v>17850</v>
      </c>
      <c r="U55" s="133">
        <f>R55*P55</f>
        <v>6800</v>
      </c>
      <c r="V55" s="136">
        <f>T55-U55</f>
        <v>11050</v>
      </c>
      <c r="W55" s="137">
        <f>IF(T55&gt;0, V55/T55, 0)</f>
        <v>0.619</v>
      </c>
      <c r="X55" s="131" t="s">
        <v>217</v>
      </c>
      <c r="Y55" s="131" t="s">
        <v>186</v>
      </c>
      <c r="Z55" s="136">
        <f>R55*Q55</f>
        <v>21000</v>
      </c>
      <c r="AA55" s="133">
        <f>Z55*S55</f>
        <v>3150</v>
      </c>
      <c r="AB55" s="131" t="s">
        <v>186</v>
      </c>
    </row>
    <row r="56" ht="19" customHeight="1" spans="1:28" x14ac:dyDescent="0.25">
      <c r="A56" s="138" t="s">
        <v>327</v>
      </c>
      <c r="B56" s="139" t="s">
        <v>328</v>
      </c>
      <c r="C56" s="140" t="s">
        <v>314</v>
      </c>
      <c r="D56" s="140" t="s">
        <v>208</v>
      </c>
      <c r="E56" s="138" t="s">
        <v>66</v>
      </c>
      <c r="F56" s="141" t="s">
        <v>177</v>
      </c>
      <c r="G56" s="141" t="s">
        <v>209</v>
      </c>
      <c r="H56" s="141" t="s">
        <v>38</v>
      </c>
      <c r="I56" s="141" t="s">
        <v>179</v>
      </c>
      <c r="J56" s="141" t="s">
        <v>180</v>
      </c>
      <c r="K56" s="141" t="s">
        <v>181</v>
      </c>
      <c r="L56" s="141" t="s">
        <v>90</v>
      </c>
      <c r="M56" s="140" t="s">
        <v>182</v>
      </c>
      <c r="N56" s="141" t="s">
        <v>183</v>
      </c>
      <c r="O56" s="141" t="s">
        <v>184</v>
      </c>
      <c r="P56" s="142">
        <v>4100</v>
      </c>
      <c r="Q56" s="142">
        <v>12600</v>
      </c>
      <c r="R56" s="143">
        <v>1</v>
      </c>
      <c r="S56" s="144">
        <v>0</v>
      </c>
      <c r="T56" s="145">
        <f>R56*Q56*(1-S56)</f>
        <v>12600</v>
      </c>
      <c r="U56" s="142">
        <f>R56*P56</f>
        <v>4100</v>
      </c>
      <c r="V56" s="145">
        <f>T56-U56</f>
        <v>8500</v>
      </c>
      <c r="W56" s="146">
        <f>IF(T56&gt;0, V56/T56, 0)</f>
        <v>0.6746</v>
      </c>
      <c r="X56" s="140" t="s">
        <v>221</v>
      </c>
      <c r="Y56" s="140" t="s">
        <v>213</v>
      </c>
      <c r="Z56" s="145">
        <f>R56*Q56</f>
        <v>12600</v>
      </c>
      <c r="AA56" s="142">
        <f>Z56*S56</f>
        <v>0</v>
      </c>
      <c r="AB56" s="140" t="s">
        <v>213</v>
      </c>
    </row>
    <row r="57" ht="19" customHeight="1" spans="1:28" x14ac:dyDescent="0.25">
      <c r="A57" s="129" t="s">
        <v>329</v>
      </c>
      <c r="B57" s="130" t="s">
        <v>330</v>
      </c>
      <c r="C57" s="131" t="s">
        <v>314</v>
      </c>
      <c r="D57" s="131" t="s">
        <v>189</v>
      </c>
      <c r="E57" s="129" t="s">
        <v>68</v>
      </c>
      <c r="F57" s="132" t="s">
        <v>57</v>
      </c>
      <c r="G57" s="132" t="s">
        <v>190</v>
      </c>
      <c r="H57" s="132" t="s">
        <v>38</v>
      </c>
      <c r="I57" s="132" t="s">
        <v>179</v>
      </c>
      <c r="J57" s="132" t="s">
        <v>180</v>
      </c>
      <c r="K57" s="132" t="s">
        <v>181</v>
      </c>
      <c r="L57" s="132" t="s">
        <v>94</v>
      </c>
      <c r="M57" s="131" t="s">
        <v>225</v>
      </c>
      <c r="N57" s="132" t="s">
        <v>226</v>
      </c>
      <c r="O57" s="132" t="s">
        <v>89</v>
      </c>
      <c r="P57" s="133">
        <v>8200</v>
      </c>
      <c r="Q57" s="133">
        <v>25000</v>
      </c>
      <c r="R57" s="134">
        <v>2</v>
      </c>
      <c r="S57" s="135">
        <v>0.15</v>
      </c>
      <c r="T57" s="136">
        <f>R57*Q57*(1-S57)</f>
        <v>42500</v>
      </c>
      <c r="U57" s="133">
        <f>R57*P57</f>
        <v>16400</v>
      </c>
      <c r="V57" s="136">
        <f>T57-U57</f>
        <v>26100</v>
      </c>
      <c r="W57" s="137">
        <f>IF(T57&gt;0, V57/T57, 0)</f>
        <v>0.6141</v>
      </c>
      <c r="X57" s="131" t="s">
        <v>217</v>
      </c>
      <c r="Y57" s="131" t="s">
        <v>186</v>
      </c>
      <c r="Z57" s="136">
        <f>R57*Q57</f>
        <v>50000</v>
      </c>
      <c r="AA57" s="133">
        <f>Z57*S57</f>
        <v>7500</v>
      </c>
      <c r="AB57" s="131" t="s">
        <v>186</v>
      </c>
    </row>
    <row r="58" ht="19" customHeight="1" spans="1:28" x14ac:dyDescent="0.25">
      <c r="A58" s="138" t="s">
        <v>331</v>
      </c>
      <c r="B58" s="139" t="s">
        <v>332</v>
      </c>
      <c r="C58" s="140" t="s">
        <v>314</v>
      </c>
      <c r="D58" s="140" t="s">
        <v>208</v>
      </c>
      <c r="E58" s="138" t="s">
        <v>66</v>
      </c>
      <c r="F58" s="141" t="s">
        <v>177</v>
      </c>
      <c r="G58" s="141" t="s">
        <v>209</v>
      </c>
      <c r="H58" s="141" t="s">
        <v>40</v>
      </c>
      <c r="I58" s="141" t="s">
        <v>179</v>
      </c>
      <c r="J58" s="141" t="s">
        <v>180</v>
      </c>
      <c r="K58" s="141" t="s">
        <v>191</v>
      </c>
      <c r="L58" s="141" t="s">
        <v>90</v>
      </c>
      <c r="M58" s="140" t="s">
        <v>201</v>
      </c>
      <c r="N58" s="141" t="s">
        <v>202</v>
      </c>
      <c r="O58" s="141" t="s">
        <v>97</v>
      </c>
      <c r="P58" s="142">
        <v>3400</v>
      </c>
      <c r="Q58" s="142">
        <v>10500</v>
      </c>
      <c r="R58" s="143">
        <v>2</v>
      </c>
      <c r="S58" s="144">
        <v>0.2</v>
      </c>
      <c r="T58" s="145">
        <f>R58*Q58*(1-S58)</f>
        <v>16800</v>
      </c>
      <c r="U58" s="142">
        <f>R58*P58</f>
        <v>6800</v>
      </c>
      <c r="V58" s="145">
        <f>T58-U58</f>
        <v>10000</v>
      </c>
      <c r="W58" s="146">
        <f>IF(T58&gt;0, V58/T58, 0)</f>
        <v>0.5952</v>
      </c>
      <c r="X58" s="140" t="s">
        <v>221</v>
      </c>
      <c r="Y58" s="140" t="s">
        <v>186</v>
      </c>
      <c r="Z58" s="145">
        <f>R58*Q58</f>
        <v>21000</v>
      </c>
      <c r="AA58" s="142">
        <f>Z58*S58</f>
        <v>4200</v>
      </c>
      <c r="AB58" s="140" t="s">
        <v>186</v>
      </c>
    </row>
    <row r="59" ht="19" customHeight="1" spans="1:28" x14ac:dyDescent="0.25">
      <c r="A59" s="129" t="s">
        <v>333</v>
      </c>
      <c r="B59" s="130" t="s">
        <v>332</v>
      </c>
      <c r="C59" s="131" t="s">
        <v>314</v>
      </c>
      <c r="D59" s="131" t="s">
        <v>189</v>
      </c>
      <c r="E59" s="129" t="s">
        <v>68</v>
      </c>
      <c r="F59" s="132" t="s">
        <v>57</v>
      </c>
      <c r="G59" s="132" t="s">
        <v>190</v>
      </c>
      <c r="H59" s="132" t="s">
        <v>42</v>
      </c>
      <c r="I59" s="132" t="s">
        <v>179</v>
      </c>
      <c r="J59" s="132" t="s">
        <v>205</v>
      </c>
      <c r="K59" s="132" t="s">
        <v>230</v>
      </c>
      <c r="L59" s="132" t="s">
        <v>94</v>
      </c>
      <c r="M59" s="131" t="s">
        <v>192</v>
      </c>
      <c r="N59" s="132" t="s">
        <v>193</v>
      </c>
      <c r="O59" s="132" t="s">
        <v>103</v>
      </c>
      <c r="P59" s="133">
        <v>2300</v>
      </c>
      <c r="Q59" s="133">
        <v>7100</v>
      </c>
      <c r="R59" s="134">
        <v>2</v>
      </c>
      <c r="S59" s="135">
        <v>0.15</v>
      </c>
      <c r="T59" s="136">
        <f>R59*Q59*(1-S59)</f>
        <v>12070</v>
      </c>
      <c r="U59" s="133">
        <f>R59*P59</f>
        <v>4600</v>
      </c>
      <c r="V59" s="136">
        <f>T59-U59</f>
        <v>7470</v>
      </c>
      <c r="W59" s="137">
        <f>IF(T59&gt;0, V59/T59, 0)</f>
        <v>0.6189</v>
      </c>
      <c r="X59" s="131" t="s">
        <v>194</v>
      </c>
      <c r="Y59" s="131" t="s">
        <v>186</v>
      </c>
      <c r="Z59" s="136">
        <f>R59*Q59</f>
        <v>14200</v>
      </c>
      <c r="AA59" s="133">
        <f>Z59*S59</f>
        <v>2130</v>
      </c>
      <c r="AB59" s="131" t="s">
        <v>186</v>
      </c>
    </row>
    <row r="60" ht="19" customHeight="1" spans="1:28" x14ac:dyDescent="0.25">
      <c r="A60" s="138" t="s">
        <v>334</v>
      </c>
      <c r="B60" s="139" t="s">
        <v>335</v>
      </c>
      <c r="C60" s="140" t="s">
        <v>314</v>
      </c>
      <c r="D60" s="140" t="s">
        <v>176</v>
      </c>
      <c r="E60" s="138" t="s">
        <v>60</v>
      </c>
      <c r="F60" s="141" t="s">
        <v>177</v>
      </c>
      <c r="G60" s="141" t="s">
        <v>178</v>
      </c>
      <c r="H60" s="141" t="s">
        <v>40</v>
      </c>
      <c r="I60" s="141" t="s">
        <v>179</v>
      </c>
      <c r="J60" s="141" t="s">
        <v>180</v>
      </c>
      <c r="K60" s="141" t="s">
        <v>191</v>
      </c>
      <c r="L60" s="141" t="s">
        <v>94</v>
      </c>
      <c r="M60" s="140" t="s">
        <v>236</v>
      </c>
      <c r="N60" s="141" t="s">
        <v>237</v>
      </c>
      <c r="O60" s="141" t="s">
        <v>93</v>
      </c>
      <c r="P60" s="142">
        <v>6800</v>
      </c>
      <c r="Q60" s="142">
        <v>21000</v>
      </c>
      <c r="R60" s="143">
        <v>1</v>
      </c>
      <c r="S60" s="144">
        <v>0.1</v>
      </c>
      <c r="T60" s="145">
        <f>R60*Q60*(1-S60)</f>
        <v>18900</v>
      </c>
      <c r="U60" s="142">
        <f>R60*P60</f>
        <v>6800</v>
      </c>
      <c r="V60" s="145">
        <f>T60-U60</f>
        <v>12100</v>
      </c>
      <c r="W60" s="146">
        <f>IF(T60&gt;0, V60/T60, 0)</f>
        <v>0.6402</v>
      </c>
      <c r="X60" s="140" t="s">
        <v>185</v>
      </c>
      <c r="Y60" s="140" t="s">
        <v>213</v>
      </c>
      <c r="Z60" s="145">
        <f>R60*Q60</f>
        <v>21000</v>
      </c>
      <c r="AA60" s="142">
        <f>Z60*S60</f>
        <v>2100</v>
      </c>
      <c r="AB60" s="140" t="s">
        <v>213</v>
      </c>
    </row>
    <row r="61" ht="19" customHeight="1" spans="1:28" x14ac:dyDescent="0.25">
      <c r="A61" s="129" t="s">
        <v>336</v>
      </c>
      <c r="B61" s="130" t="s">
        <v>337</v>
      </c>
      <c r="C61" s="131" t="s">
        <v>314</v>
      </c>
      <c r="D61" s="131" t="s">
        <v>208</v>
      </c>
      <c r="E61" s="129" t="s">
        <v>66</v>
      </c>
      <c r="F61" s="132" t="s">
        <v>177</v>
      </c>
      <c r="G61" s="132" t="s">
        <v>209</v>
      </c>
      <c r="H61" s="132" t="s">
        <v>38</v>
      </c>
      <c r="I61" s="132" t="s">
        <v>179</v>
      </c>
      <c r="J61" s="132" t="s">
        <v>180</v>
      </c>
      <c r="K61" s="132" t="s">
        <v>241</v>
      </c>
      <c r="L61" s="132" t="s">
        <v>94</v>
      </c>
      <c r="M61" s="131" t="s">
        <v>201</v>
      </c>
      <c r="N61" s="132" t="s">
        <v>202</v>
      </c>
      <c r="O61" s="132" t="s">
        <v>97</v>
      </c>
      <c r="P61" s="133">
        <v>3400</v>
      </c>
      <c r="Q61" s="133">
        <v>10500</v>
      </c>
      <c r="R61" s="134">
        <v>2</v>
      </c>
      <c r="S61" s="135">
        <v>0.1</v>
      </c>
      <c r="T61" s="136">
        <f>R61*Q61*(1-S61)</f>
        <v>18900</v>
      </c>
      <c r="U61" s="133">
        <f>R61*P61</f>
        <v>6800</v>
      </c>
      <c r="V61" s="136">
        <f>T61-U61</f>
        <v>12100</v>
      </c>
      <c r="W61" s="137">
        <f>IF(T61&gt;0, V61/T61, 0)</f>
        <v>0.6402</v>
      </c>
      <c r="X61" s="131" t="s">
        <v>221</v>
      </c>
      <c r="Y61" s="131" t="s">
        <v>186</v>
      </c>
      <c r="Z61" s="136">
        <f>R61*Q61</f>
        <v>21000</v>
      </c>
      <c r="AA61" s="133">
        <f>Z61*S61</f>
        <v>2100</v>
      </c>
      <c r="AB61" s="131" t="s">
        <v>186</v>
      </c>
    </row>
    <row r="62" ht="19" customHeight="1" spans="1:28" x14ac:dyDescent="0.25">
      <c r="A62" s="138" t="s">
        <v>338</v>
      </c>
      <c r="B62" s="139" t="s">
        <v>337</v>
      </c>
      <c r="C62" s="140" t="s">
        <v>314</v>
      </c>
      <c r="D62" s="140" t="s">
        <v>197</v>
      </c>
      <c r="E62" s="138" t="s">
        <v>56</v>
      </c>
      <c r="F62" s="141" t="s">
        <v>57</v>
      </c>
      <c r="G62" s="141" t="s">
        <v>198</v>
      </c>
      <c r="H62" s="141" t="s">
        <v>38</v>
      </c>
      <c r="I62" s="141" t="s">
        <v>179</v>
      </c>
      <c r="J62" s="141" t="s">
        <v>180</v>
      </c>
      <c r="K62" s="141" t="s">
        <v>216</v>
      </c>
      <c r="L62" s="141" t="s">
        <v>94</v>
      </c>
      <c r="M62" s="140" t="s">
        <v>236</v>
      </c>
      <c r="N62" s="141" t="s">
        <v>237</v>
      </c>
      <c r="O62" s="141" t="s">
        <v>93</v>
      </c>
      <c r="P62" s="142">
        <v>6800</v>
      </c>
      <c r="Q62" s="142">
        <v>21000</v>
      </c>
      <c r="R62" s="143">
        <v>6</v>
      </c>
      <c r="S62" s="144">
        <v>0</v>
      </c>
      <c r="T62" s="145">
        <f>R62*Q62*(1-S62)</f>
        <v>126000</v>
      </c>
      <c r="U62" s="142">
        <f>R62*P62</f>
        <v>40800</v>
      </c>
      <c r="V62" s="145">
        <f>T62-U62</f>
        <v>85200</v>
      </c>
      <c r="W62" s="146">
        <f>IF(T62&gt;0, V62/T62, 0)</f>
        <v>0.6762</v>
      </c>
      <c r="X62" s="140" t="s">
        <v>185</v>
      </c>
      <c r="Y62" s="140" t="s">
        <v>186</v>
      </c>
      <c r="Z62" s="145">
        <f>R62*Q62</f>
        <v>126000</v>
      </c>
      <c r="AA62" s="142">
        <f>Z62*S62</f>
        <v>0</v>
      </c>
      <c r="AB62" s="140" t="s">
        <v>186</v>
      </c>
    </row>
    <row r="63" ht="19" customHeight="1" spans="1:28" x14ac:dyDescent="0.25">
      <c r="A63" s="129" t="s">
        <v>339</v>
      </c>
      <c r="B63" s="130" t="s">
        <v>340</v>
      </c>
      <c r="C63" s="131" t="s">
        <v>314</v>
      </c>
      <c r="D63" s="131" t="s">
        <v>208</v>
      </c>
      <c r="E63" s="129" t="s">
        <v>66</v>
      </c>
      <c r="F63" s="132" t="s">
        <v>177</v>
      </c>
      <c r="G63" s="132" t="s">
        <v>209</v>
      </c>
      <c r="H63" s="132" t="s">
        <v>42</v>
      </c>
      <c r="I63" s="132" t="s">
        <v>179</v>
      </c>
      <c r="J63" s="132" t="s">
        <v>205</v>
      </c>
      <c r="K63" s="132" t="s">
        <v>199</v>
      </c>
      <c r="L63" s="132" t="s">
        <v>94</v>
      </c>
      <c r="M63" s="131" t="s">
        <v>201</v>
      </c>
      <c r="N63" s="132" t="s">
        <v>202</v>
      </c>
      <c r="O63" s="132" t="s">
        <v>97</v>
      </c>
      <c r="P63" s="133">
        <v>3400</v>
      </c>
      <c r="Q63" s="133">
        <v>10500</v>
      </c>
      <c r="R63" s="134">
        <v>1</v>
      </c>
      <c r="S63" s="135">
        <v>0.15</v>
      </c>
      <c r="T63" s="136">
        <f>R63*Q63*(1-S63)</f>
        <v>8925</v>
      </c>
      <c r="U63" s="133">
        <f>R63*P63</f>
        <v>3400</v>
      </c>
      <c r="V63" s="136">
        <f>T63-U63</f>
        <v>5525</v>
      </c>
      <c r="W63" s="137">
        <f>IF(T63&gt;0, V63/T63, 0)</f>
        <v>0.619</v>
      </c>
      <c r="X63" s="131" t="s">
        <v>221</v>
      </c>
      <c r="Y63" s="131" t="s">
        <v>186</v>
      </c>
      <c r="Z63" s="136">
        <f>R63*Q63</f>
        <v>10500</v>
      </c>
      <c r="AA63" s="133">
        <f>Z63*S63</f>
        <v>1575</v>
      </c>
      <c r="AB63" s="131" t="s">
        <v>186</v>
      </c>
    </row>
    <row r="64" ht="19" customHeight="1" spans="1:28" x14ac:dyDescent="0.25">
      <c r="A64" s="138" t="s">
        <v>341</v>
      </c>
      <c r="B64" s="139" t="s">
        <v>342</v>
      </c>
      <c r="C64" s="140" t="s">
        <v>343</v>
      </c>
      <c r="D64" s="140" t="s">
        <v>208</v>
      </c>
      <c r="E64" s="138" t="s">
        <v>66</v>
      </c>
      <c r="F64" s="141" t="s">
        <v>177</v>
      </c>
      <c r="G64" s="141" t="s">
        <v>209</v>
      </c>
      <c r="H64" s="141" t="s">
        <v>44</v>
      </c>
      <c r="I64" s="141" t="s">
        <v>179</v>
      </c>
      <c r="J64" s="141" t="s">
        <v>180</v>
      </c>
      <c r="K64" s="141" t="s">
        <v>181</v>
      </c>
      <c r="L64" s="141" t="s">
        <v>90</v>
      </c>
      <c r="M64" s="140" t="s">
        <v>236</v>
      </c>
      <c r="N64" s="141" t="s">
        <v>237</v>
      </c>
      <c r="O64" s="141" t="s">
        <v>93</v>
      </c>
      <c r="P64" s="142">
        <v>6800</v>
      </c>
      <c r="Q64" s="142">
        <v>21000</v>
      </c>
      <c r="R64" s="143">
        <v>1</v>
      </c>
      <c r="S64" s="144">
        <v>0.1</v>
      </c>
      <c r="T64" s="145">
        <f>R64*Q64*(1-S64)</f>
        <v>18900</v>
      </c>
      <c r="U64" s="142">
        <f>R64*P64</f>
        <v>6800</v>
      </c>
      <c r="V64" s="145">
        <f>T64-U64</f>
        <v>12100</v>
      </c>
      <c r="W64" s="146">
        <f>IF(T64&gt;0, V64/T64, 0)</f>
        <v>0.6402</v>
      </c>
      <c r="X64" s="140" t="s">
        <v>221</v>
      </c>
      <c r="Y64" s="140" t="s">
        <v>186</v>
      </c>
      <c r="Z64" s="145">
        <f>R64*Q64</f>
        <v>21000</v>
      </c>
      <c r="AA64" s="142">
        <f>Z64*S64</f>
        <v>2100</v>
      </c>
      <c r="AB64" s="140" t="s">
        <v>186</v>
      </c>
    </row>
    <row r="65" ht="19" customHeight="1" spans="1:28" x14ac:dyDescent="0.25">
      <c r="A65" s="129" t="s">
        <v>344</v>
      </c>
      <c r="B65" s="130" t="s">
        <v>345</v>
      </c>
      <c r="C65" s="131" t="s">
        <v>343</v>
      </c>
      <c r="D65" s="131" t="s">
        <v>233</v>
      </c>
      <c r="E65" s="129" t="s">
        <v>234</v>
      </c>
      <c r="F65" s="132" t="s">
        <v>177</v>
      </c>
      <c r="G65" s="132" t="s">
        <v>235</v>
      </c>
      <c r="H65" s="132" t="s">
        <v>42</v>
      </c>
      <c r="I65" s="132" t="s">
        <v>179</v>
      </c>
      <c r="J65" s="132" t="s">
        <v>205</v>
      </c>
      <c r="K65" s="132" t="s">
        <v>199</v>
      </c>
      <c r="L65" s="132" t="s">
        <v>98</v>
      </c>
      <c r="M65" s="131" t="s">
        <v>192</v>
      </c>
      <c r="N65" s="132" t="s">
        <v>193</v>
      </c>
      <c r="O65" s="132" t="s">
        <v>103</v>
      </c>
      <c r="P65" s="133">
        <v>2300</v>
      </c>
      <c r="Q65" s="133">
        <v>7100</v>
      </c>
      <c r="R65" s="134">
        <v>2</v>
      </c>
      <c r="S65" s="135">
        <v>0.05</v>
      </c>
      <c r="T65" s="136">
        <f>R65*Q65*(1-S65)</f>
        <v>13490</v>
      </c>
      <c r="U65" s="133">
        <f>R65*P65</f>
        <v>4600</v>
      </c>
      <c r="V65" s="136">
        <f>T65-U65</f>
        <v>8890</v>
      </c>
      <c r="W65" s="137">
        <f>IF(T65&gt;0, V65/T65, 0)</f>
        <v>0.659</v>
      </c>
      <c r="X65" s="131" t="s">
        <v>221</v>
      </c>
      <c r="Y65" s="131" t="s">
        <v>186</v>
      </c>
      <c r="Z65" s="136">
        <f>R65*Q65</f>
        <v>14200</v>
      </c>
      <c r="AA65" s="133">
        <f>Z65*S65</f>
        <v>710</v>
      </c>
      <c r="AB65" s="131" t="s">
        <v>186</v>
      </c>
    </row>
    <row r="66" ht="19" customHeight="1" spans="1:28" x14ac:dyDescent="0.25">
      <c r="A66" s="138" t="s">
        <v>346</v>
      </c>
      <c r="B66" s="139" t="s">
        <v>347</v>
      </c>
      <c r="C66" s="140" t="s">
        <v>343</v>
      </c>
      <c r="D66" s="140" t="s">
        <v>189</v>
      </c>
      <c r="E66" s="138" t="s">
        <v>68</v>
      </c>
      <c r="F66" s="141" t="s">
        <v>57</v>
      </c>
      <c r="G66" s="141" t="s">
        <v>190</v>
      </c>
      <c r="H66" s="141" t="s">
        <v>42</v>
      </c>
      <c r="I66" s="141" t="s">
        <v>179</v>
      </c>
      <c r="J66" s="141" t="s">
        <v>205</v>
      </c>
      <c r="K66" s="141" t="s">
        <v>191</v>
      </c>
      <c r="L66" s="141" t="s">
        <v>224</v>
      </c>
      <c r="M66" s="140" t="s">
        <v>201</v>
      </c>
      <c r="N66" s="141" t="s">
        <v>202</v>
      </c>
      <c r="O66" s="141" t="s">
        <v>97</v>
      </c>
      <c r="P66" s="142">
        <v>3400</v>
      </c>
      <c r="Q66" s="142">
        <v>10500</v>
      </c>
      <c r="R66" s="143">
        <v>1</v>
      </c>
      <c r="S66" s="144">
        <v>0.15</v>
      </c>
      <c r="T66" s="145">
        <f>R66*Q66*(1-S66)</f>
        <v>8925</v>
      </c>
      <c r="U66" s="142">
        <f>R66*P66</f>
        <v>3400</v>
      </c>
      <c r="V66" s="145">
        <f>T66-U66</f>
        <v>5525</v>
      </c>
      <c r="W66" s="146">
        <f>IF(T66&gt;0, V66/T66, 0)</f>
        <v>0.619</v>
      </c>
      <c r="X66" s="140" t="s">
        <v>217</v>
      </c>
      <c r="Y66" s="140" t="s">
        <v>186</v>
      </c>
      <c r="Z66" s="145">
        <f>R66*Q66</f>
        <v>10500</v>
      </c>
      <c r="AA66" s="142">
        <f>Z66*S66</f>
        <v>1575</v>
      </c>
      <c r="AB66" s="140" t="s">
        <v>186</v>
      </c>
    </row>
    <row r="67" ht="19" customHeight="1" spans="1:28" x14ac:dyDescent="0.25">
      <c r="A67" s="129" t="s">
        <v>348</v>
      </c>
      <c r="B67" s="130" t="s">
        <v>349</v>
      </c>
      <c r="C67" s="131" t="s">
        <v>343</v>
      </c>
      <c r="D67" s="131" t="s">
        <v>208</v>
      </c>
      <c r="E67" s="129" t="s">
        <v>66</v>
      </c>
      <c r="F67" s="132" t="s">
        <v>177</v>
      </c>
      <c r="G67" s="132" t="s">
        <v>209</v>
      </c>
      <c r="H67" s="132" t="s">
        <v>38</v>
      </c>
      <c r="I67" s="132" t="s">
        <v>179</v>
      </c>
      <c r="J67" s="132" t="s">
        <v>180</v>
      </c>
      <c r="K67" s="132" t="s">
        <v>210</v>
      </c>
      <c r="L67" s="132" t="s">
        <v>200</v>
      </c>
      <c r="M67" s="131" t="s">
        <v>236</v>
      </c>
      <c r="N67" s="132" t="s">
        <v>237</v>
      </c>
      <c r="O67" s="132" t="s">
        <v>93</v>
      </c>
      <c r="P67" s="133">
        <v>6800</v>
      </c>
      <c r="Q67" s="133">
        <v>21000</v>
      </c>
      <c r="R67" s="134">
        <v>2</v>
      </c>
      <c r="S67" s="135">
        <v>0.2</v>
      </c>
      <c r="T67" s="136">
        <f>R67*Q67*(1-S67)</f>
        <v>33600</v>
      </c>
      <c r="U67" s="133">
        <f>R67*P67</f>
        <v>13600</v>
      </c>
      <c r="V67" s="136">
        <f>T67-U67</f>
        <v>20000</v>
      </c>
      <c r="W67" s="137">
        <f>IF(T67&gt;0, V67/T67, 0)</f>
        <v>0.5952</v>
      </c>
      <c r="X67" s="131" t="s">
        <v>194</v>
      </c>
      <c r="Y67" s="131" t="s">
        <v>186</v>
      </c>
      <c r="Z67" s="136">
        <f>R67*Q67</f>
        <v>42000</v>
      </c>
      <c r="AA67" s="133">
        <f>Z67*S67</f>
        <v>8400</v>
      </c>
      <c r="AB67" s="131" t="s">
        <v>186</v>
      </c>
    </row>
    <row r="68" ht="19" customHeight="1" spans="1:28" x14ac:dyDescent="0.25">
      <c r="A68" s="138" t="s">
        <v>350</v>
      </c>
      <c r="B68" s="139" t="s">
        <v>351</v>
      </c>
      <c r="C68" s="140" t="s">
        <v>343</v>
      </c>
      <c r="D68" s="140" t="s">
        <v>189</v>
      </c>
      <c r="E68" s="138" t="s">
        <v>68</v>
      </c>
      <c r="F68" s="141" t="s">
        <v>57</v>
      </c>
      <c r="G68" s="141" t="s">
        <v>190</v>
      </c>
      <c r="H68" s="141" t="s">
        <v>38</v>
      </c>
      <c r="I68" s="141" t="s">
        <v>179</v>
      </c>
      <c r="J68" s="141" t="s">
        <v>180</v>
      </c>
      <c r="K68" s="141" t="s">
        <v>241</v>
      </c>
      <c r="L68" s="141" t="s">
        <v>90</v>
      </c>
      <c r="M68" s="140" t="s">
        <v>192</v>
      </c>
      <c r="N68" s="141" t="s">
        <v>193</v>
      </c>
      <c r="O68" s="141" t="s">
        <v>103</v>
      </c>
      <c r="P68" s="142">
        <v>2300</v>
      </c>
      <c r="Q68" s="142">
        <v>7100</v>
      </c>
      <c r="R68" s="143">
        <v>4</v>
      </c>
      <c r="S68" s="144">
        <v>0.2</v>
      </c>
      <c r="T68" s="145">
        <f>R68*Q68*(1-S68)</f>
        <v>22720</v>
      </c>
      <c r="U68" s="142">
        <f>R68*P68</f>
        <v>9200</v>
      </c>
      <c r="V68" s="145">
        <f>T68-U68</f>
        <v>13520</v>
      </c>
      <c r="W68" s="146">
        <f>IF(T68&gt;0, V68/T68, 0)</f>
        <v>0.5951</v>
      </c>
      <c r="X68" s="140" t="s">
        <v>185</v>
      </c>
      <c r="Y68" s="140" t="s">
        <v>186</v>
      </c>
      <c r="Z68" s="145">
        <f>R68*Q68</f>
        <v>28400</v>
      </c>
      <c r="AA68" s="142">
        <f>Z68*S68</f>
        <v>5680</v>
      </c>
      <c r="AB68" s="140" t="s">
        <v>186</v>
      </c>
    </row>
    <row r="69" ht="19" customHeight="1" spans="1:28" x14ac:dyDescent="0.25">
      <c r="A69" s="129" t="s">
        <v>352</v>
      </c>
      <c r="B69" s="130" t="s">
        <v>353</v>
      </c>
      <c r="C69" s="131" t="s">
        <v>343</v>
      </c>
      <c r="D69" s="131" t="s">
        <v>233</v>
      </c>
      <c r="E69" s="129" t="s">
        <v>234</v>
      </c>
      <c r="F69" s="132" t="s">
        <v>177</v>
      </c>
      <c r="G69" s="132" t="s">
        <v>235</v>
      </c>
      <c r="H69" s="132" t="s">
        <v>44</v>
      </c>
      <c r="I69" s="132" t="s">
        <v>179</v>
      </c>
      <c r="J69" s="132" t="s">
        <v>180</v>
      </c>
      <c r="K69" s="132" t="s">
        <v>181</v>
      </c>
      <c r="L69" s="132" t="s">
        <v>90</v>
      </c>
      <c r="M69" s="131" t="s">
        <v>211</v>
      </c>
      <c r="N69" s="132" t="s">
        <v>212</v>
      </c>
      <c r="O69" s="132" t="s">
        <v>100</v>
      </c>
      <c r="P69" s="133">
        <v>5500</v>
      </c>
      <c r="Q69" s="133">
        <v>17000</v>
      </c>
      <c r="R69" s="134">
        <v>9</v>
      </c>
      <c r="S69" s="135">
        <v>0.15</v>
      </c>
      <c r="T69" s="136">
        <f>R69*Q69*(1-S69)</f>
        <v>130050</v>
      </c>
      <c r="U69" s="133">
        <f>R69*P69</f>
        <v>49500</v>
      </c>
      <c r="V69" s="136">
        <f>T69-U69</f>
        <v>80550</v>
      </c>
      <c r="W69" s="137">
        <f>IF(T69&gt;0, V69/T69, 0)</f>
        <v>0.6194</v>
      </c>
      <c r="X69" s="131" t="s">
        <v>221</v>
      </c>
      <c r="Y69" s="131" t="s">
        <v>186</v>
      </c>
      <c r="Z69" s="136">
        <f>R69*Q69</f>
        <v>153000</v>
      </c>
      <c r="AA69" s="133">
        <f>Z69*S69</f>
        <v>22950</v>
      </c>
      <c r="AB69" s="131" t="s">
        <v>186</v>
      </c>
    </row>
    <row r="70" ht="19" customHeight="1" spans="1:28" x14ac:dyDescent="0.25">
      <c r="A70" s="138" t="s">
        <v>354</v>
      </c>
      <c r="B70" s="139" t="s">
        <v>355</v>
      </c>
      <c r="C70" s="140" t="s">
        <v>343</v>
      </c>
      <c r="D70" s="140" t="s">
        <v>197</v>
      </c>
      <c r="E70" s="138" t="s">
        <v>56</v>
      </c>
      <c r="F70" s="141" t="s">
        <v>57</v>
      </c>
      <c r="G70" s="141" t="s">
        <v>198</v>
      </c>
      <c r="H70" s="141" t="s">
        <v>40</v>
      </c>
      <c r="I70" s="141" t="s">
        <v>179</v>
      </c>
      <c r="J70" s="141" t="s">
        <v>180</v>
      </c>
      <c r="K70" s="141" t="s">
        <v>230</v>
      </c>
      <c r="L70" s="141" t="s">
        <v>98</v>
      </c>
      <c r="M70" s="140" t="s">
        <v>225</v>
      </c>
      <c r="N70" s="141" t="s">
        <v>226</v>
      </c>
      <c r="O70" s="141" t="s">
        <v>89</v>
      </c>
      <c r="P70" s="142">
        <v>8200</v>
      </c>
      <c r="Q70" s="142">
        <v>25000</v>
      </c>
      <c r="R70" s="143">
        <v>1</v>
      </c>
      <c r="S70" s="144">
        <v>0.15</v>
      </c>
      <c r="T70" s="145">
        <f>R70*Q70*(1-S70)</f>
        <v>21250</v>
      </c>
      <c r="U70" s="142">
        <f>R70*P70</f>
        <v>8200</v>
      </c>
      <c r="V70" s="145">
        <f>T70-U70</f>
        <v>13050</v>
      </c>
      <c r="W70" s="146">
        <f>IF(T70&gt;0, V70/T70, 0)</f>
        <v>0.6141</v>
      </c>
      <c r="X70" s="140" t="s">
        <v>217</v>
      </c>
      <c r="Y70" s="140" t="s">
        <v>186</v>
      </c>
      <c r="Z70" s="145">
        <f>R70*Q70</f>
        <v>25000</v>
      </c>
      <c r="AA70" s="142">
        <f>Z70*S70</f>
        <v>3750</v>
      </c>
      <c r="AB70" s="140" t="s">
        <v>186</v>
      </c>
    </row>
    <row r="71" ht="19" customHeight="1" spans="1:28" x14ac:dyDescent="0.25">
      <c r="A71" s="129" t="s">
        <v>356</v>
      </c>
      <c r="B71" s="130" t="s">
        <v>357</v>
      </c>
      <c r="C71" s="131" t="s">
        <v>343</v>
      </c>
      <c r="D71" s="131" t="s">
        <v>208</v>
      </c>
      <c r="E71" s="129" t="s">
        <v>66</v>
      </c>
      <c r="F71" s="132" t="s">
        <v>177</v>
      </c>
      <c r="G71" s="132" t="s">
        <v>209</v>
      </c>
      <c r="H71" s="132" t="s">
        <v>229</v>
      </c>
      <c r="I71" s="132" t="s">
        <v>179</v>
      </c>
      <c r="J71" s="132" t="s">
        <v>180</v>
      </c>
      <c r="K71" s="132" t="s">
        <v>230</v>
      </c>
      <c r="L71" s="132" t="s">
        <v>90</v>
      </c>
      <c r="M71" s="131" t="s">
        <v>225</v>
      </c>
      <c r="N71" s="132" t="s">
        <v>226</v>
      </c>
      <c r="O71" s="132" t="s">
        <v>89</v>
      </c>
      <c r="P71" s="133">
        <v>8200</v>
      </c>
      <c r="Q71" s="133">
        <v>25000</v>
      </c>
      <c r="R71" s="134">
        <v>2</v>
      </c>
      <c r="S71" s="135">
        <v>0.2</v>
      </c>
      <c r="T71" s="136">
        <f>R71*Q71*(1-S71)</f>
        <v>40000</v>
      </c>
      <c r="U71" s="133">
        <f>R71*P71</f>
        <v>16400</v>
      </c>
      <c r="V71" s="136">
        <f>T71-U71</f>
        <v>23600</v>
      </c>
      <c r="W71" s="137">
        <f>IF(T71&gt;0, V71/T71, 0)</f>
        <v>0.59</v>
      </c>
      <c r="X71" s="131" t="s">
        <v>217</v>
      </c>
      <c r="Y71" s="131" t="s">
        <v>186</v>
      </c>
      <c r="Z71" s="136">
        <f>R71*Q71</f>
        <v>50000</v>
      </c>
      <c r="AA71" s="133">
        <f>Z71*S71</f>
        <v>10000</v>
      </c>
      <c r="AB71" s="131" t="s">
        <v>186</v>
      </c>
    </row>
    <row r="72" ht="19" customHeight="1" spans="1:28" x14ac:dyDescent="0.25">
      <c r="A72" s="138" t="s">
        <v>358</v>
      </c>
      <c r="B72" s="139" t="s">
        <v>359</v>
      </c>
      <c r="C72" s="140" t="s">
        <v>343</v>
      </c>
      <c r="D72" s="140" t="s">
        <v>189</v>
      </c>
      <c r="E72" s="138" t="s">
        <v>68</v>
      </c>
      <c r="F72" s="141" t="s">
        <v>57</v>
      </c>
      <c r="G72" s="141" t="s">
        <v>190</v>
      </c>
      <c r="H72" s="141" t="s">
        <v>42</v>
      </c>
      <c r="I72" s="141" t="s">
        <v>179</v>
      </c>
      <c r="J72" s="141" t="s">
        <v>205</v>
      </c>
      <c r="K72" s="141" t="s">
        <v>199</v>
      </c>
      <c r="L72" s="141" t="s">
        <v>98</v>
      </c>
      <c r="M72" s="140" t="s">
        <v>211</v>
      </c>
      <c r="N72" s="141" t="s">
        <v>212</v>
      </c>
      <c r="O72" s="141" t="s">
        <v>100</v>
      </c>
      <c r="P72" s="142">
        <v>5500</v>
      </c>
      <c r="Q72" s="142">
        <v>17000</v>
      </c>
      <c r="R72" s="143">
        <v>2</v>
      </c>
      <c r="S72" s="144">
        <v>0.15</v>
      </c>
      <c r="T72" s="145">
        <f>R72*Q72*(1-S72)</f>
        <v>28900</v>
      </c>
      <c r="U72" s="142">
        <f>R72*P72</f>
        <v>11000</v>
      </c>
      <c r="V72" s="145">
        <f>T72-U72</f>
        <v>17900</v>
      </c>
      <c r="W72" s="146">
        <f>IF(T72&gt;0, V72/T72, 0)</f>
        <v>0.6194</v>
      </c>
      <c r="X72" s="140" t="s">
        <v>185</v>
      </c>
      <c r="Y72" s="140" t="s">
        <v>186</v>
      </c>
      <c r="Z72" s="145">
        <f>R72*Q72</f>
        <v>34000</v>
      </c>
      <c r="AA72" s="142">
        <f>Z72*S72</f>
        <v>5100</v>
      </c>
      <c r="AB72" s="140" t="s">
        <v>186</v>
      </c>
    </row>
    <row r="73" ht="19" customHeight="1" spans="1:28" x14ac:dyDescent="0.25">
      <c r="A73" s="129" t="s">
        <v>360</v>
      </c>
      <c r="B73" s="130" t="s">
        <v>361</v>
      </c>
      <c r="C73" s="131" t="s">
        <v>343</v>
      </c>
      <c r="D73" s="131" t="s">
        <v>176</v>
      </c>
      <c r="E73" s="129" t="s">
        <v>60</v>
      </c>
      <c r="F73" s="132" t="s">
        <v>177</v>
      </c>
      <c r="G73" s="132" t="s">
        <v>178</v>
      </c>
      <c r="H73" s="132" t="s">
        <v>38</v>
      </c>
      <c r="I73" s="132" t="s">
        <v>179</v>
      </c>
      <c r="J73" s="132" t="s">
        <v>180</v>
      </c>
      <c r="K73" s="132" t="s">
        <v>216</v>
      </c>
      <c r="L73" s="132" t="s">
        <v>90</v>
      </c>
      <c r="M73" s="131" t="s">
        <v>225</v>
      </c>
      <c r="N73" s="132" t="s">
        <v>226</v>
      </c>
      <c r="O73" s="132" t="s">
        <v>89</v>
      </c>
      <c r="P73" s="133">
        <v>8200</v>
      </c>
      <c r="Q73" s="133">
        <v>25000</v>
      </c>
      <c r="R73" s="134">
        <v>2</v>
      </c>
      <c r="S73" s="135">
        <v>0.2</v>
      </c>
      <c r="T73" s="136">
        <f>R73*Q73*(1-S73)</f>
        <v>40000</v>
      </c>
      <c r="U73" s="133">
        <f>R73*P73</f>
        <v>16400</v>
      </c>
      <c r="V73" s="136">
        <f>T73-U73</f>
        <v>23600</v>
      </c>
      <c r="W73" s="137">
        <f>IF(T73&gt;0, V73/T73, 0)</f>
        <v>0.59</v>
      </c>
      <c r="X73" s="131" t="s">
        <v>217</v>
      </c>
      <c r="Y73" s="131" t="s">
        <v>213</v>
      </c>
      <c r="Z73" s="136">
        <f>R73*Q73</f>
        <v>50000</v>
      </c>
      <c r="AA73" s="133">
        <f>Z73*S73</f>
        <v>10000</v>
      </c>
      <c r="AB73" s="131" t="s">
        <v>213</v>
      </c>
    </row>
    <row r="74" ht="19" customHeight="1" spans="1:28" x14ac:dyDescent="0.25">
      <c r="A74" s="138" t="s">
        <v>362</v>
      </c>
      <c r="B74" s="139" t="s">
        <v>363</v>
      </c>
      <c r="C74" s="140" t="s">
        <v>343</v>
      </c>
      <c r="D74" s="140" t="s">
        <v>208</v>
      </c>
      <c r="E74" s="138" t="s">
        <v>66</v>
      </c>
      <c r="F74" s="141" t="s">
        <v>177</v>
      </c>
      <c r="G74" s="141" t="s">
        <v>209</v>
      </c>
      <c r="H74" s="141" t="s">
        <v>42</v>
      </c>
      <c r="I74" s="141" t="s">
        <v>179</v>
      </c>
      <c r="J74" s="141" t="s">
        <v>205</v>
      </c>
      <c r="K74" s="141" t="s">
        <v>220</v>
      </c>
      <c r="L74" s="141" t="s">
        <v>98</v>
      </c>
      <c r="M74" s="140" t="s">
        <v>211</v>
      </c>
      <c r="N74" s="141" t="s">
        <v>212</v>
      </c>
      <c r="O74" s="141" t="s">
        <v>100</v>
      </c>
      <c r="P74" s="142">
        <v>5500</v>
      </c>
      <c r="Q74" s="142">
        <v>17000</v>
      </c>
      <c r="R74" s="143">
        <v>3</v>
      </c>
      <c r="S74" s="144">
        <v>0</v>
      </c>
      <c r="T74" s="145">
        <f>R74*Q74*(1-S74)</f>
        <v>51000</v>
      </c>
      <c r="U74" s="142">
        <f>R74*P74</f>
        <v>16500</v>
      </c>
      <c r="V74" s="145">
        <f>T74-U74</f>
        <v>34500</v>
      </c>
      <c r="W74" s="146">
        <f>IF(T74&gt;0, V74/T74, 0)</f>
        <v>0.6765</v>
      </c>
      <c r="X74" s="140" t="s">
        <v>185</v>
      </c>
      <c r="Y74" s="140" t="s">
        <v>186</v>
      </c>
      <c r="Z74" s="145">
        <f>R74*Q74</f>
        <v>51000</v>
      </c>
      <c r="AA74" s="142">
        <f>Z74*S74</f>
        <v>0</v>
      </c>
      <c r="AB74" s="140" t="s">
        <v>186</v>
      </c>
    </row>
    <row r="75" ht="19" customHeight="1" spans="1:28" x14ac:dyDescent="0.25">
      <c r="A75" s="129" t="s">
        <v>364</v>
      </c>
      <c r="B75" s="130" t="s">
        <v>365</v>
      </c>
      <c r="C75" s="131" t="s">
        <v>343</v>
      </c>
      <c r="D75" s="131" t="s">
        <v>176</v>
      </c>
      <c r="E75" s="129" t="s">
        <v>60</v>
      </c>
      <c r="F75" s="132" t="s">
        <v>177</v>
      </c>
      <c r="G75" s="132" t="s">
        <v>178</v>
      </c>
      <c r="H75" s="132" t="s">
        <v>42</v>
      </c>
      <c r="I75" s="132" t="s">
        <v>179</v>
      </c>
      <c r="J75" s="132" t="s">
        <v>205</v>
      </c>
      <c r="K75" s="132" t="s">
        <v>199</v>
      </c>
      <c r="L75" s="132" t="s">
        <v>98</v>
      </c>
      <c r="M75" s="131" t="s">
        <v>211</v>
      </c>
      <c r="N75" s="132" t="s">
        <v>212</v>
      </c>
      <c r="O75" s="132" t="s">
        <v>100</v>
      </c>
      <c r="P75" s="133">
        <v>5500</v>
      </c>
      <c r="Q75" s="133">
        <v>17000</v>
      </c>
      <c r="R75" s="134">
        <v>5</v>
      </c>
      <c r="S75" s="135">
        <v>0.2</v>
      </c>
      <c r="T75" s="136">
        <f>R75*Q75*(1-S75)</f>
        <v>68000</v>
      </c>
      <c r="U75" s="133">
        <f>R75*P75</f>
        <v>27500</v>
      </c>
      <c r="V75" s="136">
        <f>T75-U75</f>
        <v>40500</v>
      </c>
      <c r="W75" s="137">
        <f>IF(T75&gt;0, V75/T75, 0)</f>
        <v>0.5956</v>
      </c>
      <c r="X75" s="131" t="s">
        <v>194</v>
      </c>
      <c r="Y75" s="131" t="s">
        <v>186</v>
      </c>
      <c r="Z75" s="136">
        <f>R75*Q75</f>
        <v>85000</v>
      </c>
      <c r="AA75" s="133">
        <f>Z75*S75</f>
        <v>17000</v>
      </c>
      <c r="AB75" s="131" t="s">
        <v>186</v>
      </c>
    </row>
    <row r="76" ht="19" customHeight="1" spans="1:28" x14ac:dyDescent="0.25">
      <c r="A76" s="138" t="s">
        <v>366</v>
      </c>
      <c r="B76" s="139" t="s">
        <v>367</v>
      </c>
      <c r="C76" s="140" t="s">
        <v>343</v>
      </c>
      <c r="D76" s="140" t="s">
        <v>208</v>
      </c>
      <c r="E76" s="138" t="s">
        <v>66</v>
      </c>
      <c r="F76" s="141" t="s">
        <v>177</v>
      </c>
      <c r="G76" s="141" t="s">
        <v>209</v>
      </c>
      <c r="H76" s="141" t="s">
        <v>44</v>
      </c>
      <c r="I76" s="141" t="s">
        <v>179</v>
      </c>
      <c r="J76" s="141" t="s">
        <v>180</v>
      </c>
      <c r="K76" s="141" t="s">
        <v>199</v>
      </c>
      <c r="L76" s="141" t="s">
        <v>90</v>
      </c>
      <c r="M76" s="140" t="s">
        <v>192</v>
      </c>
      <c r="N76" s="141" t="s">
        <v>193</v>
      </c>
      <c r="O76" s="141" t="s">
        <v>103</v>
      </c>
      <c r="P76" s="142">
        <v>2300</v>
      </c>
      <c r="Q76" s="142">
        <v>7100</v>
      </c>
      <c r="R76" s="143">
        <v>2</v>
      </c>
      <c r="S76" s="144">
        <v>0</v>
      </c>
      <c r="T76" s="145">
        <f>R76*Q76*(1-S76)</f>
        <v>14200</v>
      </c>
      <c r="U76" s="142">
        <f>R76*P76</f>
        <v>4600</v>
      </c>
      <c r="V76" s="145">
        <f>T76-U76</f>
        <v>9600</v>
      </c>
      <c r="W76" s="146">
        <f>IF(T76&gt;0, V76/T76, 0)</f>
        <v>0.6761</v>
      </c>
      <c r="X76" s="140" t="s">
        <v>221</v>
      </c>
      <c r="Y76" s="140" t="s">
        <v>186</v>
      </c>
      <c r="Z76" s="145">
        <f>R76*Q76</f>
        <v>14200</v>
      </c>
      <c r="AA76" s="142">
        <f>Z76*S76</f>
        <v>0</v>
      </c>
      <c r="AB76" s="140" t="s">
        <v>186</v>
      </c>
    </row>
    <row r="77" ht="19" customHeight="1" spans="1:28" x14ac:dyDescent="0.25">
      <c r="A77" s="129" t="s">
        <v>368</v>
      </c>
      <c r="B77" s="130" t="s">
        <v>369</v>
      </c>
      <c r="C77" s="131" t="s">
        <v>343</v>
      </c>
      <c r="D77" s="131" t="s">
        <v>208</v>
      </c>
      <c r="E77" s="129" t="s">
        <v>66</v>
      </c>
      <c r="F77" s="132" t="s">
        <v>177</v>
      </c>
      <c r="G77" s="132" t="s">
        <v>209</v>
      </c>
      <c r="H77" s="132" t="s">
        <v>40</v>
      </c>
      <c r="I77" s="132" t="s">
        <v>179</v>
      </c>
      <c r="J77" s="132" t="s">
        <v>180</v>
      </c>
      <c r="K77" s="132" t="s">
        <v>230</v>
      </c>
      <c r="L77" s="132" t="s">
        <v>94</v>
      </c>
      <c r="M77" s="131" t="s">
        <v>236</v>
      </c>
      <c r="N77" s="132" t="s">
        <v>237</v>
      </c>
      <c r="O77" s="132" t="s">
        <v>93</v>
      </c>
      <c r="P77" s="133">
        <v>6800</v>
      </c>
      <c r="Q77" s="133">
        <v>21000</v>
      </c>
      <c r="R77" s="134">
        <v>1</v>
      </c>
      <c r="S77" s="135">
        <v>0</v>
      </c>
      <c r="T77" s="136">
        <f>R77*Q77*(1-S77)</f>
        <v>21000</v>
      </c>
      <c r="U77" s="133">
        <f>R77*P77</f>
        <v>6800</v>
      </c>
      <c r="V77" s="136">
        <f>T77-U77</f>
        <v>14200</v>
      </c>
      <c r="W77" s="137">
        <f>IF(T77&gt;0, V77/T77, 0)</f>
        <v>0.6762</v>
      </c>
      <c r="X77" s="131" t="s">
        <v>217</v>
      </c>
      <c r="Y77" s="131" t="s">
        <v>186</v>
      </c>
      <c r="Z77" s="136">
        <f>R77*Q77</f>
        <v>21000</v>
      </c>
      <c r="AA77" s="133">
        <f>Z77*S77</f>
        <v>0</v>
      </c>
      <c r="AB77" s="131" t="s">
        <v>186</v>
      </c>
    </row>
    <row r="78" ht="19" customHeight="1" spans="1:28" x14ac:dyDescent="0.25">
      <c r="A78" s="138" t="s">
        <v>370</v>
      </c>
      <c r="B78" s="139" t="s">
        <v>371</v>
      </c>
      <c r="C78" s="140" t="s">
        <v>343</v>
      </c>
      <c r="D78" s="140" t="s">
        <v>197</v>
      </c>
      <c r="E78" s="138" t="s">
        <v>56</v>
      </c>
      <c r="F78" s="141" t="s">
        <v>57</v>
      </c>
      <c r="G78" s="141" t="s">
        <v>198</v>
      </c>
      <c r="H78" s="141" t="s">
        <v>44</v>
      </c>
      <c r="I78" s="141" t="s">
        <v>179</v>
      </c>
      <c r="J78" s="141" t="s">
        <v>180</v>
      </c>
      <c r="K78" s="141" t="s">
        <v>210</v>
      </c>
      <c r="L78" s="141" t="s">
        <v>94</v>
      </c>
      <c r="M78" s="140" t="s">
        <v>236</v>
      </c>
      <c r="N78" s="141" t="s">
        <v>237</v>
      </c>
      <c r="O78" s="141" t="s">
        <v>93</v>
      </c>
      <c r="P78" s="142">
        <v>6800</v>
      </c>
      <c r="Q78" s="142">
        <v>21000</v>
      </c>
      <c r="R78" s="143">
        <v>1</v>
      </c>
      <c r="S78" s="144">
        <v>0.05</v>
      </c>
      <c r="T78" s="145">
        <f>R78*Q78*(1-S78)</f>
        <v>19950</v>
      </c>
      <c r="U78" s="142">
        <f>R78*P78</f>
        <v>6800</v>
      </c>
      <c r="V78" s="145">
        <f>T78-U78</f>
        <v>13150</v>
      </c>
      <c r="W78" s="146">
        <f>IF(T78&gt;0, V78/T78, 0)</f>
        <v>0.6591</v>
      </c>
      <c r="X78" s="140" t="s">
        <v>221</v>
      </c>
      <c r="Y78" s="140" t="s">
        <v>186</v>
      </c>
      <c r="Z78" s="145">
        <f>R78*Q78</f>
        <v>21000</v>
      </c>
      <c r="AA78" s="142">
        <f>Z78*S78</f>
        <v>1050</v>
      </c>
      <c r="AB78" s="140" t="s">
        <v>186</v>
      </c>
    </row>
    <row r="79" ht="19" customHeight="1" spans="1:28" x14ac:dyDescent="0.25">
      <c r="A79" s="129" t="s">
        <v>372</v>
      </c>
      <c r="B79" s="130" t="s">
        <v>371</v>
      </c>
      <c r="C79" s="131" t="s">
        <v>343</v>
      </c>
      <c r="D79" s="131" t="s">
        <v>197</v>
      </c>
      <c r="E79" s="129" t="s">
        <v>56</v>
      </c>
      <c r="F79" s="132" t="s">
        <v>57</v>
      </c>
      <c r="G79" s="132" t="s">
        <v>198</v>
      </c>
      <c r="H79" s="132" t="s">
        <v>38</v>
      </c>
      <c r="I79" s="132" t="s">
        <v>179</v>
      </c>
      <c r="J79" s="132" t="s">
        <v>180</v>
      </c>
      <c r="K79" s="132" t="s">
        <v>220</v>
      </c>
      <c r="L79" s="132" t="s">
        <v>94</v>
      </c>
      <c r="M79" s="131" t="s">
        <v>225</v>
      </c>
      <c r="N79" s="132" t="s">
        <v>226</v>
      </c>
      <c r="O79" s="132" t="s">
        <v>89</v>
      </c>
      <c r="P79" s="133">
        <v>8200</v>
      </c>
      <c r="Q79" s="133">
        <v>25000</v>
      </c>
      <c r="R79" s="134">
        <v>6</v>
      </c>
      <c r="S79" s="135">
        <v>0.05</v>
      </c>
      <c r="T79" s="136">
        <f>R79*Q79*(1-S79)</f>
        <v>142500</v>
      </c>
      <c r="U79" s="133">
        <f>R79*P79</f>
        <v>49200</v>
      </c>
      <c r="V79" s="136">
        <f>T79-U79</f>
        <v>93300</v>
      </c>
      <c r="W79" s="137">
        <f>IF(T79&gt;0, V79/T79, 0)</f>
        <v>0.6547</v>
      </c>
      <c r="X79" s="131" t="s">
        <v>194</v>
      </c>
      <c r="Y79" s="131" t="s">
        <v>186</v>
      </c>
      <c r="Z79" s="136">
        <f>R79*Q79</f>
        <v>150000</v>
      </c>
      <c r="AA79" s="133">
        <f>Z79*S79</f>
        <v>7500</v>
      </c>
      <c r="AB79" s="131" t="s">
        <v>186</v>
      </c>
    </row>
    <row r="80" ht="19" customHeight="1" spans="1:28" x14ac:dyDescent="0.25">
      <c r="A80" s="138" t="s">
        <v>373</v>
      </c>
      <c r="B80" s="139" t="s">
        <v>374</v>
      </c>
      <c r="C80" s="140" t="s">
        <v>343</v>
      </c>
      <c r="D80" s="140" t="s">
        <v>248</v>
      </c>
      <c r="E80" s="138" t="s">
        <v>63</v>
      </c>
      <c r="F80" s="141" t="s">
        <v>64</v>
      </c>
      <c r="G80" s="141" t="s">
        <v>249</v>
      </c>
      <c r="H80" s="141" t="s">
        <v>229</v>
      </c>
      <c r="I80" s="141" t="s">
        <v>179</v>
      </c>
      <c r="J80" s="141" t="s">
        <v>180</v>
      </c>
      <c r="K80" s="141" t="s">
        <v>220</v>
      </c>
      <c r="L80" s="141" t="s">
        <v>90</v>
      </c>
      <c r="M80" s="140" t="s">
        <v>192</v>
      </c>
      <c r="N80" s="141" t="s">
        <v>193</v>
      </c>
      <c r="O80" s="141" t="s">
        <v>103</v>
      </c>
      <c r="P80" s="142">
        <v>2300</v>
      </c>
      <c r="Q80" s="142">
        <v>7100</v>
      </c>
      <c r="R80" s="143">
        <v>5</v>
      </c>
      <c r="S80" s="144">
        <v>0</v>
      </c>
      <c r="T80" s="145">
        <f>R80*Q80*(1-S80)</f>
        <v>35500</v>
      </c>
      <c r="U80" s="142">
        <f>R80*P80</f>
        <v>11500</v>
      </c>
      <c r="V80" s="145">
        <f>T80-U80</f>
        <v>24000</v>
      </c>
      <c r="W80" s="146">
        <f>IF(T80&gt;0, V80/T80, 0)</f>
        <v>0.6761</v>
      </c>
      <c r="X80" s="140" t="s">
        <v>221</v>
      </c>
      <c r="Y80" s="140" t="s">
        <v>186</v>
      </c>
      <c r="Z80" s="145">
        <f>R80*Q80</f>
        <v>35500</v>
      </c>
      <c r="AA80" s="142">
        <f>Z80*S80</f>
        <v>0</v>
      </c>
      <c r="AB80" s="140" t="s">
        <v>186</v>
      </c>
    </row>
    <row r="81" ht="19" customHeight="1" spans="1:28" x14ac:dyDescent="0.25">
      <c r="A81" s="129" t="s">
        <v>375</v>
      </c>
      <c r="B81" s="130" t="s">
        <v>376</v>
      </c>
      <c r="C81" s="131" t="s">
        <v>343</v>
      </c>
      <c r="D81" s="131" t="s">
        <v>248</v>
      </c>
      <c r="E81" s="129" t="s">
        <v>63</v>
      </c>
      <c r="F81" s="132" t="s">
        <v>64</v>
      </c>
      <c r="G81" s="132" t="s">
        <v>249</v>
      </c>
      <c r="H81" s="132" t="s">
        <v>44</v>
      </c>
      <c r="I81" s="132" t="s">
        <v>179</v>
      </c>
      <c r="J81" s="132" t="s">
        <v>180</v>
      </c>
      <c r="K81" s="132" t="s">
        <v>181</v>
      </c>
      <c r="L81" s="132" t="s">
        <v>98</v>
      </c>
      <c r="M81" s="131" t="s">
        <v>225</v>
      </c>
      <c r="N81" s="132" t="s">
        <v>226</v>
      </c>
      <c r="O81" s="132" t="s">
        <v>89</v>
      </c>
      <c r="P81" s="133">
        <v>8200</v>
      </c>
      <c r="Q81" s="133">
        <v>25000</v>
      </c>
      <c r="R81" s="134">
        <v>1</v>
      </c>
      <c r="S81" s="135">
        <v>0.2</v>
      </c>
      <c r="T81" s="136">
        <f>R81*Q81*(1-S81)</f>
        <v>20000</v>
      </c>
      <c r="U81" s="133">
        <f>R81*P81</f>
        <v>8200</v>
      </c>
      <c r="V81" s="136">
        <f>T81-U81</f>
        <v>11800</v>
      </c>
      <c r="W81" s="137">
        <f>IF(T81&gt;0, V81/T81, 0)</f>
        <v>0.59</v>
      </c>
      <c r="X81" s="131" t="s">
        <v>221</v>
      </c>
      <c r="Y81" s="131" t="s">
        <v>186</v>
      </c>
      <c r="Z81" s="136">
        <f>R81*Q81</f>
        <v>25000</v>
      </c>
      <c r="AA81" s="133">
        <f>Z81*S81</f>
        <v>5000</v>
      </c>
      <c r="AB81" s="131" t="s">
        <v>186</v>
      </c>
    </row>
    <row r="82" ht="19" customHeight="1" spans="1:28" x14ac:dyDescent="0.25">
      <c r="A82" s="138" t="s">
        <v>377</v>
      </c>
      <c r="B82" s="139" t="s">
        <v>378</v>
      </c>
      <c r="C82" s="140" t="s">
        <v>343</v>
      </c>
      <c r="D82" s="140" t="s">
        <v>233</v>
      </c>
      <c r="E82" s="138" t="s">
        <v>234</v>
      </c>
      <c r="F82" s="141" t="s">
        <v>177</v>
      </c>
      <c r="G82" s="141" t="s">
        <v>235</v>
      </c>
      <c r="H82" s="141" t="s">
        <v>42</v>
      </c>
      <c r="I82" s="141" t="s">
        <v>179</v>
      </c>
      <c r="J82" s="141" t="s">
        <v>205</v>
      </c>
      <c r="K82" s="141" t="s">
        <v>181</v>
      </c>
      <c r="L82" s="141" t="s">
        <v>200</v>
      </c>
      <c r="M82" s="140" t="s">
        <v>225</v>
      </c>
      <c r="N82" s="141" t="s">
        <v>226</v>
      </c>
      <c r="O82" s="141" t="s">
        <v>89</v>
      </c>
      <c r="P82" s="142">
        <v>8200</v>
      </c>
      <c r="Q82" s="142">
        <v>25000</v>
      </c>
      <c r="R82" s="143">
        <v>1</v>
      </c>
      <c r="S82" s="144">
        <v>0.15</v>
      </c>
      <c r="T82" s="145">
        <f>R82*Q82*(1-S82)</f>
        <v>21250</v>
      </c>
      <c r="U82" s="142">
        <f>R82*P82</f>
        <v>8200</v>
      </c>
      <c r="V82" s="145">
        <f>T82-U82</f>
        <v>13050</v>
      </c>
      <c r="W82" s="146">
        <f>IF(T82&gt;0, V82/T82, 0)</f>
        <v>0.6141</v>
      </c>
      <c r="X82" s="140" t="s">
        <v>194</v>
      </c>
      <c r="Y82" s="140" t="s">
        <v>186</v>
      </c>
      <c r="Z82" s="145">
        <f>R82*Q82</f>
        <v>25000</v>
      </c>
      <c r="AA82" s="142">
        <f>Z82*S82</f>
        <v>3750</v>
      </c>
      <c r="AB82" s="140" t="s">
        <v>186</v>
      </c>
    </row>
    <row r="83" ht="24" customHeight="1" spans="5:28" x14ac:dyDescent="0.25">
      <c r="E83" s="147" t="s">
        <v>379</v>
      </c>
      <c r="R83" s="148">
        <f>SUBTOTAL(109, R3:R82)</f>
        <v>254</v>
      </c>
      <c r="T83" s="149">
        <f>SUBTOTAL(109, T3:T82)</f>
        <v>3769345</v>
      </c>
      <c r="U83" s="149">
        <f>SUBTOTAL(109, U3:U82)</f>
        <v>1376900</v>
      </c>
      <c r="V83" s="149">
        <f>SUBTOTAL(109, V3:V82)</f>
        <v>2392445</v>
      </c>
      <c r="W83" s="150">
        <f>IF(T83&gt;0, V83/T83, 0)</f>
        <v>0.6347</v>
      </c>
      <c r="Z83" s="149">
        <f>SUBTOTAL(109, Z3:Z82)</f>
        <v>4230400</v>
      </c>
      <c r="AA83" s="149">
        <f>SUBTOTAL(109, AA3:AA82)</f>
        <v>461055</v>
      </c>
      <c r="AB83" t="s">
        <v>380</v>
      </c>
    </row>
  </sheetData>
  <sheetProtection sheet="1" selectLockedCells="1" sort="0" autoFilter="0" pivotTables="0" algorithmName="SHA-512" hashValue="d9edEKYGABxw86v0A48TpY1LzYejV4nHsqAPF9Tu1o8rkpNP2baiAYwrwRDX99rE9etpNSGTm6qGyUj/+wCIZQ==" saltValue="9q4iaItZ1OWUf9pQfKh6rg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381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382</v>
      </c>
      <c r="C2" s="152" t="s">
        <v>383</v>
      </c>
      <c r="D2" s="152" t="s">
        <v>384</v>
      </c>
      <c r="E2" s="152" t="s">
        <v>385</v>
      </c>
      <c r="F2" s="152" t="s">
        <v>386</v>
      </c>
      <c r="G2" s="152" t="s">
        <v>26</v>
      </c>
      <c r="H2" s="152" t="s">
        <v>387</v>
      </c>
      <c r="I2" s="152" t="s">
        <v>388</v>
      </c>
      <c r="J2" s="152" t="s">
        <v>389</v>
      </c>
    </row>
    <row r="3" ht="20" customHeight="1" spans="1:10" x14ac:dyDescent="0.25">
      <c r="A3" s="32" t="s">
        <v>38</v>
      </c>
      <c r="B3" s="153" t="s">
        <v>390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869830</v>
      </c>
      <c r="F3" s="156">
        <f>SUMIFS('Sales Transactions'!$U$3:$U$82, 'Sales Transactions'!$H$3:$H$82, A3)</f>
        <v>307500</v>
      </c>
      <c r="G3" s="157">
        <f>SUMIFS('Sales Transactions'!$V$3:$V$82, 'Sales Transactions'!$H$3:$H$82, A3)</f>
        <v>562330</v>
      </c>
      <c r="H3" s="158">
        <f>IF(E3&gt;0, G3/E3, 0)</f>
        <v>0.6464826460342825</v>
      </c>
      <c r="I3" s="159">
        <f>IF($E$7&gt;0, E3/$E$7, 0)</f>
        <v>0.2307642309207568</v>
      </c>
      <c r="J3" s="156">
        <f>IF(C3&gt;0, E3/C3, 0)</f>
        <v>41420.47619047619</v>
      </c>
    </row>
    <row r="4" ht="20" customHeight="1" spans="1:10" x14ac:dyDescent="0.25">
      <c r="A4" s="45" t="s">
        <v>40</v>
      </c>
      <c r="B4" s="160" t="s">
        <v>390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1057245</v>
      </c>
      <c r="F4" s="163">
        <f>SUMIFS('Sales Transactions'!$U$3:$U$82, 'Sales Transactions'!$H$3:$H$82, A4)</f>
        <v>387100</v>
      </c>
      <c r="G4" s="164">
        <f>SUMIFS('Sales Transactions'!$V$3:$V$82, 'Sales Transactions'!$H$3:$H$82, A4)</f>
        <v>670145</v>
      </c>
      <c r="H4" s="165">
        <f>IF(E4&gt;0, G4/E4, 0)</f>
        <v>0.6338597013937167</v>
      </c>
      <c r="I4" s="166">
        <f>IF($E$7&gt;0, E4/$E$7, 0)</f>
        <v>0.28048507101366416</v>
      </c>
      <c r="J4" s="163">
        <f>IF(C4&gt;0, E4/C4, 0)</f>
        <v>66077.8125</v>
      </c>
    </row>
    <row r="5" ht="20" customHeight="1" spans="1:10" x14ac:dyDescent="0.25">
      <c r="A5" s="32" t="s">
        <v>42</v>
      </c>
      <c r="B5" s="153" t="s">
        <v>390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849275</v>
      </c>
      <c r="F5" s="156">
        <f>SUMIFS('Sales Transactions'!$U$3:$U$82, 'Sales Transactions'!$H$3:$H$82, A5)</f>
        <v>304300</v>
      </c>
      <c r="G5" s="157">
        <f>SUMIFS('Sales Transactions'!$V$3:$V$82, 'Sales Transactions'!$H$3:$H$82, A5)</f>
        <v>544975</v>
      </c>
      <c r="H5" s="158">
        <f>IF(E5&gt;0, G5/E5, 0)</f>
        <v>0.64169438638839</v>
      </c>
      <c r="I5" s="159">
        <f>IF($E$7&gt;0, E5/$E$7, 0)</f>
        <v>0.22531102883922804</v>
      </c>
      <c r="J5" s="156">
        <f>IF(C5&gt;0, E5/C5, 0)</f>
        <v>44698.68421052631</v>
      </c>
    </row>
    <row r="6" ht="20" customHeight="1" spans="1:10" x14ac:dyDescent="0.25">
      <c r="A6" s="45" t="s">
        <v>44</v>
      </c>
      <c r="B6" s="160" t="s">
        <v>390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744675</v>
      </c>
      <c r="F6" s="163">
        <f>SUMIFS('Sales Transactions'!$U$3:$U$82, 'Sales Transactions'!$H$3:$H$82, A6)</f>
        <v>288100</v>
      </c>
      <c r="G6" s="164">
        <f>SUMIFS('Sales Transactions'!$V$3:$V$82, 'Sales Transactions'!$H$3:$H$82, A6)</f>
        <v>456575</v>
      </c>
      <c r="H6" s="165">
        <f>IF(E6&gt;0, G6/E6, 0)</f>
        <v>0.6131198173699937</v>
      </c>
      <c r="I6" s="166">
        <f>IF($E$7&gt;0, E6/$E$7, 0)</f>
        <v>0.1975608494313999</v>
      </c>
      <c r="J6" s="163">
        <f>IF(C6&gt;0, E6/C6, 0)</f>
        <v>57282.692307692305</v>
      </c>
    </row>
    <row r="7" ht="24" customHeight="1" spans="1:10" x14ac:dyDescent="0.25">
      <c r="A7" s="167" t="s">
        <v>391</v>
      </c>
      <c r="B7" s="167" t="s">
        <v>392</v>
      </c>
      <c r="C7" s="168">
        <f>SUM(C3:C6)</f>
        <v>80</v>
      </c>
      <c r="D7" s="168">
        <f>SUM(D3:D6)</f>
        <v>254</v>
      </c>
      <c r="E7" s="169">
        <f>SUM(E3:E6)</f>
        <v>3769345</v>
      </c>
      <c r="F7" s="169">
        <f>SUM(F3:F6)</f>
        <v>1376900</v>
      </c>
      <c r="G7" s="169">
        <f>SUM(G3:G6)</f>
        <v>2392445</v>
      </c>
      <c r="H7" s="170">
        <f>IF(E7&gt;0, G7/E7, 0)</f>
        <v>0.6347</v>
      </c>
      <c r="I7" s="171">
        <v>1</v>
      </c>
      <c r="J7" s="169">
        <f>IF(C7&gt;0, E7/C7, 0)</f>
        <v>47116.81</v>
      </c>
    </row>
  </sheetData>
  <sheetProtection sheet="1" selectLockedCells="1" sort="0" autoFilter="0" pivotTables="0" algorithmName="SHA-512" hashValue="d9edEKYGABxw86v0A48TpY1LzYejV4nHsqAPF9Tu1o8rkpNP2baiAYwrwRDX99rE9etpNSGTm6qGyUj/+wCIZQ==" saltValue="9q4iaItZ1OWUf9pQfKh6rg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393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160</v>
      </c>
      <c r="B2" s="152" t="s">
        <v>161</v>
      </c>
      <c r="C2" s="152" t="s">
        <v>77</v>
      </c>
      <c r="D2" s="152" t="s">
        <v>394</v>
      </c>
      <c r="E2" s="152" t="s">
        <v>395</v>
      </c>
      <c r="F2" s="152" t="s">
        <v>396</v>
      </c>
      <c r="G2" s="152" t="s">
        <v>397</v>
      </c>
      <c r="H2" s="152" t="s">
        <v>398</v>
      </c>
      <c r="I2" s="152" t="s">
        <v>399</v>
      </c>
      <c r="J2" s="152" t="s">
        <v>400</v>
      </c>
      <c r="K2" s="152" t="s">
        <v>401</v>
      </c>
      <c r="L2" s="152" t="s">
        <v>402</v>
      </c>
    </row>
    <row r="3" ht="20" customHeight="1" spans="1:12" x14ac:dyDescent="0.25">
      <c r="A3" s="153" t="s">
        <v>225</v>
      </c>
      <c r="B3" s="153" t="s">
        <v>226</v>
      </c>
      <c r="C3" s="153" t="s">
        <v>89</v>
      </c>
      <c r="D3" s="156">
        <v>8200</v>
      </c>
      <c r="E3" s="156">
        <v>25000</v>
      </c>
      <c r="F3" s="172">
        <f>IF(E3&gt;0, (E3-D3)/E3, 0)</f>
        <v>0.672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403</v>
      </c>
      <c r="L3" s="173" t="s">
        <v>403</v>
      </c>
    </row>
    <row r="4" ht="20" customHeight="1" spans="1:12" x14ac:dyDescent="0.25">
      <c r="A4" s="160" t="s">
        <v>236</v>
      </c>
      <c r="B4" s="160" t="s">
        <v>237</v>
      </c>
      <c r="C4" s="160" t="s">
        <v>93</v>
      </c>
      <c r="D4" s="163">
        <v>6800</v>
      </c>
      <c r="E4" s="163">
        <v>21000</v>
      </c>
      <c r="F4" s="174">
        <f>IF(E4&gt;0, (E4-D4)/E4, 0)</f>
        <v>0.6762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403</v>
      </c>
      <c r="L4" s="175" t="s">
        <v>403</v>
      </c>
    </row>
    <row r="5" ht="20" customHeight="1" spans="1:12" x14ac:dyDescent="0.25">
      <c r="A5" s="153" t="s">
        <v>201</v>
      </c>
      <c r="B5" s="153" t="s">
        <v>202</v>
      </c>
      <c r="C5" s="153" t="s">
        <v>97</v>
      </c>
      <c r="D5" s="156">
        <v>3400</v>
      </c>
      <c r="E5" s="156">
        <v>10500</v>
      </c>
      <c r="F5" s="172">
        <f>IF(E5&gt;0, (E5-D5)/E5, 0)</f>
        <v>0.6762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403</v>
      </c>
      <c r="L5" s="173" t="s">
        <v>403</v>
      </c>
    </row>
    <row r="6" ht="20" customHeight="1" spans="1:12" x14ac:dyDescent="0.25">
      <c r="A6" s="160" t="s">
        <v>182</v>
      </c>
      <c r="B6" s="160" t="s">
        <v>183</v>
      </c>
      <c r="C6" s="160" t="s">
        <v>184</v>
      </c>
      <c r="D6" s="163">
        <v>4100</v>
      </c>
      <c r="E6" s="163">
        <v>12600</v>
      </c>
      <c r="F6" s="174">
        <f>IF(E6&gt;0, (E6-D6)/E6, 0)</f>
        <v>0.6746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403</v>
      </c>
      <c r="L6" s="175" t="s">
        <v>403</v>
      </c>
    </row>
    <row r="7" ht="20" customHeight="1" spans="1:12" x14ac:dyDescent="0.25">
      <c r="A7" s="153" t="s">
        <v>192</v>
      </c>
      <c r="B7" s="153" t="s">
        <v>193</v>
      </c>
      <c r="C7" s="153" t="s">
        <v>103</v>
      </c>
      <c r="D7" s="156">
        <v>2300</v>
      </c>
      <c r="E7" s="156">
        <v>7100</v>
      </c>
      <c r="F7" s="172">
        <f>IF(E7&gt;0, (E7-D7)/E7, 0)</f>
        <v>0.6761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403</v>
      </c>
      <c r="L7" s="173" t="s">
        <v>403</v>
      </c>
    </row>
    <row r="8" ht="20" customHeight="1" spans="1:12" x14ac:dyDescent="0.25">
      <c r="A8" s="160" t="s">
        <v>211</v>
      </c>
      <c r="B8" s="160" t="s">
        <v>212</v>
      </c>
      <c r="C8" s="160" t="s">
        <v>100</v>
      </c>
      <c r="D8" s="163">
        <v>5500</v>
      </c>
      <c r="E8" s="163">
        <v>17000</v>
      </c>
      <c r="F8" s="174">
        <f>IF(E8&gt;0, (E8-D8)/E8, 0)</f>
        <v>0.6765</v>
      </c>
      <c r="G8" s="161">
        <f>SUMIFS('Sales Transactions'!$R$3:$R$82, 'Sales Transactions'!$N$3:$N$82, B8)</f>
        <v>0</v>
      </c>
      <c r="H8" s="162">
        <f>SUMIFS('Sales Transactions'!$T$3:$T$82, 'Sales Transactions'!$N$3:$N$82, B8)</f>
        <v>0</v>
      </c>
      <c r="I8" s="164">
        <f>SUMIFS('Sales Transactions'!$V$3:$V$82, 'Sales Transactions'!$N$3:$N$82, B8)</f>
        <v>0</v>
      </c>
      <c r="J8" s="165">
        <f>IF(H8&gt;0, I8/H8, 0)</f>
        <v>0</v>
      </c>
      <c r="K8" s="175" t="s">
        <v>403</v>
      </c>
      <c r="L8" s="175" t="s">
        <v>403</v>
      </c>
    </row>
    <row r="9" ht="24" customHeight="1" spans="1:12" x14ac:dyDescent="0.25">
      <c r="A9" s="167" t="s">
        <v>404</v>
      </c>
      <c r="B9" s="167" t="s">
        <v>405</v>
      </c>
      <c r="C9" s="167" t="s">
        <v>406</v>
      </c>
      <c r="D9" s="167" t="s">
        <v>407</v>
      </c>
      <c r="E9" s="167" t="s">
        <v>407</v>
      </c>
      <c r="F9" s="167" t="s">
        <v>407</v>
      </c>
      <c r="G9" s="168">
        <f>SUM(G3:G8)</f>
        <v>0</v>
      </c>
      <c r="H9" s="169">
        <f>SUM(H3:H8)</f>
        <v>0</v>
      </c>
      <c r="I9" s="169">
        <f>SUM(I3:I8)</f>
        <v>0</v>
      </c>
      <c r="J9" s="170">
        <f>IF(H9&gt;0, I9/H9, 0)</f>
        <v>0</v>
      </c>
      <c r="K9" s="167" t="s">
        <v>407</v>
      </c>
      <c r="L9" s="167" t="s">
        <v>407</v>
      </c>
    </row>
  </sheetData>
  <sheetProtection sheet="1" selectLockedCells="1" sort="0" autoFilter="0" pivotTables="0" algorithmName="SHA-512" hashValue="d9edEKYGABxw86v0A48TpY1LzYejV4nHsqAPF9Tu1o8rkpNP2baiAYwrwRDX99rE9etpNSGTm6qGyUj/+wCIZQ==" saltValue="9q4iaItZ1OWUf9pQfKh6rg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408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409</v>
      </c>
      <c r="B2" s="152" t="s">
        <v>410</v>
      </c>
      <c r="C2" s="152" t="s">
        <v>411</v>
      </c>
      <c r="D2" s="152" t="s">
        <v>412</v>
      </c>
      <c r="E2" s="152" t="s">
        <v>413</v>
      </c>
      <c r="F2" s="152" t="s">
        <v>414</v>
      </c>
      <c r="G2" s="152" t="s">
        <v>415</v>
      </c>
      <c r="H2" s="152" t="s">
        <v>416</v>
      </c>
      <c r="I2" s="152" t="s">
        <v>417</v>
      </c>
      <c r="J2" s="152" t="s">
        <v>418</v>
      </c>
      <c r="K2" s="152" t="s">
        <v>419</v>
      </c>
      <c r="L2" s="152" t="s">
        <v>420</v>
      </c>
    </row>
    <row r="3" ht="20" customHeight="1" spans="1:12" x14ac:dyDescent="0.25">
      <c r="A3" s="32" t="s">
        <v>197</v>
      </c>
      <c r="B3" s="153" t="s">
        <v>56</v>
      </c>
      <c r="C3" s="153" t="s">
        <v>57</v>
      </c>
      <c r="D3" s="153" t="s">
        <v>421</v>
      </c>
      <c r="E3" s="153" t="s">
        <v>157</v>
      </c>
      <c r="F3" s="154">
        <v>15</v>
      </c>
      <c r="G3" s="154">
        <v>15</v>
      </c>
      <c r="H3" s="155">
        <v>1060545</v>
      </c>
      <c r="I3" s="156">
        <v>392800</v>
      </c>
      <c r="J3" s="157">
        <v>667745</v>
      </c>
      <c r="K3" s="158">
        <f>IF(H3&gt;0, J3/H3, 0)</f>
      </c>
      <c r="L3" s="176" t="s">
        <v>422</v>
      </c>
    </row>
    <row r="4" ht="20" customHeight="1" spans="1:12" x14ac:dyDescent="0.25">
      <c r="A4" s="45" t="s">
        <v>176</v>
      </c>
      <c r="B4" s="160" t="s">
        <v>60</v>
      </c>
      <c r="C4" s="160" t="s">
        <v>177</v>
      </c>
      <c r="D4" s="160" t="s">
        <v>421</v>
      </c>
      <c r="E4" s="160" t="s">
        <v>157</v>
      </c>
      <c r="F4" s="161">
        <v>20</v>
      </c>
      <c r="G4" s="161">
        <v>20</v>
      </c>
      <c r="H4" s="162">
        <v>683315</v>
      </c>
      <c r="I4" s="163">
        <v>253400</v>
      </c>
      <c r="J4" s="164">
        <v>429915</v>
      </c>
      <c r="K4" s="165">
        <f>IF(H4&gt;0, J4/H4, 0)</f>
      </c>
      <c r="L4" s="177" t="s">
        <v>422</v>
      </c>
    </row>
    <row r="5" ht="20" customHeight="1" spans="1:12" x14ac:dyDescent="0.25">
      <c r="A5" s="32" t="s">
        <v>248</v>
      </c>
      <c r="B5" s="153" t="s">
        <v>63</v>
      </c>
      <c r="C5" s="153" t="s">
        <v>64</v>
      </c>
      <c r="D5" s="153" t="s">
        <v>421</v>
      </c>
      <c r="E5" s="153" t="s">
        <v>157</v>
      </c>
      <c r="F5" s="154">
        <v>8</v>
      </c>
      <c r="G5" s="154">
        <v>8</v>
      </c>
      <c r="H5" s="155">
        <v>613300</v>
      </c>
      <c r="I5" s="156">
        <v>222200</v>
      </c>
      <c r="J5" s="157">
        <v>391100</v>
      </c>
      <c r="K5" s="158">
        <f>IF(H5&gt;0, J5/H5, 0)</f>
      </c>
      <c r="L5" s="176" t="s">
        <v>422</v>
      </c>
    </row>
    <row r="6" ht="20" customHeight="1" spans="1:12" x14ac:dyDescent="0.25">
      <c r="A6" s="45" t="s">
        <v>208</v>
      </c>
      <c r="B6" s="160" t="s">
        <v>66</v>
      </c>
      <c r="C6" s="160" t="s">
        <v>177</v>
      </c>
      <c r="D6" s="160" t="s">
        <v>421</v>
      </c>
      <c r="E6" s="160" t="s">
        <v>157</v>
      </c>
      <c r="F6" s="161">
        <v>21</v>
      </c>
      <c r="G6" s="161">
        <v>21</v>
      </c>
      <c r="H6" s="162">
        <v>569965</v>
      </c>
      <c r="I6" s="163">
        <v>202800</v>
      </c>
      <c r="J6" s="164">
        <v>367165</v>
      </c>
      <c r="K6" s="165">
        <f>IF(H6&gt;0, J6/H6, 0)</f>
      </c>
      <c r="L6" s="177" t="s">
        <v>422</v>
      </c>
    </row>
    <row r="7" ht="20" customHeight="1" spans="1:12" x14ac:dyDescent="0.25">
      <c r="A7" s="32" t="s">
        <v>189</v>
      </c>
      <c r="B7" s="153" t="s">
        <v>68</v>
      </c>
      <c r="C7" s="153" t="s">
        <v>57</v>
      </c>
      <c r="D7" s="153" t="s">
        <v>421</v>
      </c>
      <c r="E7" s="153" t="s">
        <v>157</v>
      </c>
      <c r="F7" s="154">
        <v>10</v>
      </c>
      <c r="G7" s="154">
        <v>10</v>
      </c>
      <c r="H7" s="155">
        <v>470430</v>
      </c>
      <c r="I7" s="156">
        <v>174600</v>
      </c>
      <c r="J7" s="157">
        <v>295830</v>
      </c>
      <c r="K7" s="158">
        <f>IF(H7&gt;0, J7/H7, 0)</f>
      </c>
      <c r="L7" s="176" t="s">
        <v>422</v>
      </c>
    </row>
    <row r="8" ht="20" customHeight="1" spans="1:12" x14ac:dyDescent="0.25">
      <c r="A8" s="45" t="s">
        <v>233</v>
      </c>
      <c r="B8" s="160" t="s">
        <v>234</v>
      </c>
      <c r="C8" s="160" t="s">
        <v>177</v>
      </c>
      <c r="D8" s="160" t="s">
        <v>421</v>
      </c>
      <c r="E8" s="160" t="s">
        <v>157</v>
      </c>
      <c r="F8" s="161">
        <v>6</v>
      </c>
      <c r="G8" s="161">
        <v>6</v>
      </c>
      <c r="H8" s="162">
        <v>371790</v>
      </c>
      <c r="I8" s="163">
        <v>131100</v>
      </c>
      <c r="J8" s="164">
        <v>240690</v>
      </c>
      <c r="K8" s="165">
        <f>IF(H8&gt;0, J8/H8, 0)</f>
      </c>
      <c r="L8" s="177" t="s">
        <v>422</v>
      </c>
    </row>
    <row r="9" ht="24" customHeight="1" spans="1:12" x14ac:dyDescent="0.25">
      <c r="A9" s="167" t="s">
        <v>423</v>
      </c>
      <c r="B9" s="167" t="s">
        <v>424</v>
      </c>
      <c r="C9" s="167" t="s">
        <v>425</v>
      </c>
      <c r="D9" s="167" t="s">
        <v>426</v>
      </c>
      <c r="E9" s="167" t="s">
        <v>427</v>
      </c>
      <c r="F9" s="168">
        <f>SUM(F3:F8)</f>
        <v>80</v>
      </c>
      <c r="G9" s="168">
        <f>SUM(G3:G8)</f>
        <v>254</v>
      </c>
      <c r="H9" s="169">
        <f>SUM(H3:H8)</f>
        <v>3769345</v>
      </c>
      <c r="I9" s="169">
        <f>SUM(I3:I8)</f>
        <v>1376900</v>
      </c>
      <c r="J9" s="169">
        <f>SUM(J3:J8)</f>
        <v>2392445</v>
      </c>
      <c r="K9" s="170">
        <f>IF(H9&gt;0, J9/H9, 0)</f>
        <v>0.6347</v>
      </c>
      <c r="L9" s="178" t="s">
        <v>380</v>
      </c>
    </row>
  </sheetData>
  <sheetProtection sheet="1" selectLockedCells="1" sort="0" autoFilter="0" pivotTables="0" algorithmName="SHA-512" hashValue="d9edEKYGABxw86v0A48TpY1LzYejV4nHsqAPF9Tu1o8rkpNP2baiAYwrwRDX99rE9etpNSGTm6qGyUj/+wCIZQ==" saltValue="9q4iaItZ1OWUf9pQfKh6rg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428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429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430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431</v>
      </c>
      <c r="B5" s="181"/>
      <c r="C5" s="181"/>
      <c r="D5" s="182" t="s">
        <v>432</v>
      </c>
      <c r="E5" s="182"/>
      <c r="F5" s="182"/>
      <c r="G5" s="182"/>
      <c r="H5" s="183" t="s">
        <v>433</v>
      </c>
    </row>
    <row r="6" ht="19" customHeight="1" spans="1:8" x14ac:dyDescent="0.25">
      <c r="A6" s="184" t="s">
        <v>434</v>
      </c>
      <c r="B6" s="184"/>
      <c r="C6" s="184"/>
      <c r="D6" s="185" t="s">
        <v>435</v>
      </c>
      <c r="E6" s="185"/>
      <c r="F6" s="185"/>
      <c r="G6" s="185"/>
      <c r="H6" s="186" t="s">
        <v>436</v>
      </c>
    </row>
    <row r="7" ht="19" customHeight="1" spans="1:8" x14ac:dyDescent="0.25">
      <c r="A7" s="181" t="s">
        <v>437</v>
      </c>
      <c r="B7" s="181"/>
      <c r="C7" s="181"/>
      <c r="D7" s="182" t="s">
        <v>438</v>
      </c>
      <c r="E7" s="182"/>
      <c r="F7" s="182"/>
      <c r="G7" s="182"/>
      <c r="H7" s="183" t="s">
        <v>439</v>
      </c>
    </row>
    <row r="8" ht="19" customHeight="1" spans="1:8" x14ac:dyDescent="0.25">
      <c r="A8" s="184" t="s">
        <v>440</v>
      </c>
      <c r="B8" s="184"/>
      <c r="C8" s="184"/>
      <c r="D8" s="185" t="s">
        <v>441</v>
      </c>
      <c r="E8" s="185"/>
      <c r="F8" s="185"/>
      <c r="G8" s="185"/>
      <c r="H8" s="186" t="s">
        <v>442</v>
      </c>
    </row>
    <row r="9" ht="19" customHeight="1" spans="1:8" x14ac:dyDescent="0.25">
      <c r="A9" s="181" t="s">
        <v>443</v>
      </c>
      <c r="B9" s="181"/>
      <c r="C9" s="181"/>
      <c r="D9" s="182" t="s">
        <v>444</v>
      </c>
      <c r="E9" s="182"/>
      <c r="F9" s="182"/>
      <c r="G9" s="182"/>
      <c r="H9" s="183" t="s">
        <v>445</v>
      </c>
    </row>
    <row r="10" ht="19" customHeight="1" spans="1:8" x14ac:dyDescent="0.25">
      <c r="A10" s="184" t="s">
        <v>446</v>
      </c>
      <c r="B10" s="184"/>
      <c r="C10" s="184"/>
      <c r="D10" s="185" t="s">
        <v>447</v>
      </c>
      <c r="E10" s="185"/>
      <c r="F10" s="185"/>
      <c r="G10" s="185"/>
      <c r="H10" s="186" t="s">
        <v>448</v>
      </c>
    </row>
    <row r="11" ht="19" customHeight="1" spans="1:8" x14ac:dyDescent="0.25">
      <c r="A11" s="181" t="s">
        <v>449</v>
      </c>
      <c r="B11" s="181"/>
      <c r="C11" s="181"/>
      <c r="D11" s="182" t="s">
        <v>450</v>
      </c>
      <c r="E11" s="182"/>
      <c r="F11" s="182"/>
      <c r="G11" s="182"/>
      <c r="H11" s="183" t="s">
        <v>451</v>
      </c>
    </row>
    <row r="12" ht="19" customHeight="1" spans="1:8" x14ac:dyDescent="0.25">
      <c r="A12" s="184" t="s">
        <v>452</v>
      </c>
      <c r="B12" s="184"/>
      <c r="C12" s="184"/>
      <c r="D12" s="185" t="s">
        <v>453</v>
      </c>
      <c r="E12" s="185"/>
      <c r="F12" s="185"/>
      <c r="G12" s="185"/>
      <c r="H12" s="186" t="s">
        <v>454</v>
      </c>
    </row>
    <row r="13" ht="19" customHeight="1" spans="1:8" x14ac:dyDescent="0.25">
      <c r="A13" s="181" t="s">
        <v>455</v>
      </c>
      <c r="B13" s="181"/>
      <c r="C13" s="181"/>
      <c r="D13" s="182" t="s">
        <v>456</v>
      </c>
      <c r="E13" s="182"/>
      <c r="F13" s="182"/>
      <c r="G13" s="182"/>
      <c r="H13" s="183" t="s">
        <v>457</v>
      </c>
    </row>
    <row r="14" ht="19" customHeight="1" spans="1:8" x14ac:dyDescent="0.25">
      <c r="A14" s="184" t="s">
        <v>458</v>
      </c>
      <c r="B14" s="184"/>
      <c r="C14" s="184"/>
      <c r="D14" s="185" t="s">
        <v>459</v>
      </c>
      <c r="E14" s="185"/>
      <c r="F14" s="185"/>
      <c r="G14" s="185"/>
      <c r="H14" s="186" t="s">
        <v>460</v>
      </c>
    </row>
    <row r="15" ht="19" customHeight="1" spans="1:8" x14ac:dyDescent="0.25">
      <c r="A15" s="181" t="s">
        <v>461</v>
      </c>
      <c r="B15" s="181"/>
      <c r="C15" s="181"/>
      <c r="D15" s="182" t="s">
        <v>462</v>
      </c>
      <c r="E15" s="182"/>
      <c r="F15" s="182"/>
      <c r="G15" s="182"/>
      <c r="H15" s="183" t="s">
        <v>463</v>
      </c>
    </row>
    <row r="17" ht="22" customHeight="1" spans="1:8" x14ac:dyDescent="0.25">
      <c r="A17" s="180" t="s">
        <v>464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465</v>
      </c>
      <c r="B18" s="187" t="s">
        <v>466</v>
      </c>
      <c r="C18" s="187" t="s">
        <v>467</v>
      </c>
      <c r="D18" s="187" t="s">
        <v>468</v>
      </c>
      <c r="E18" s="187" t="s">
        <v>469</v>
      </c>
      <c r="F18" s="187" t="s">
        <v>470</v>
      </c>
      <c r="G18" s="187" t="s">
        <v>471</v>
      </c>
      <c r="H18" s="187" t="s">
        <v>472</v>
      </c>
    </row>
    <row r="19" ht="19" customHeight="1" spans="1:8" x14ac:dyDescent="0.25">
      <c r="A19" s="188" t="s">
        <v>473</v>
      </c>
      <c r="B19" s="57" t="s">
        <v>474</v>
      </c>
      <c r="C19" s="189" t="s">
        <v>475</v>
      </c>
      <c r="D19" s="189" t="s">
        <v>476</v>
      </c>
      <c r="E19" s="189" t="s">
        <v>477</v>
      </c>
      <c r="F19" s="190" t="s">
        <v>478</v>
      </c>
      <c r="G19" s="191" t="s">
        <v>479</v>
      </c>
      <c r="H19" s="176" t="s">
        <v>480</v>
      </c>
    </row>
    <row r="20" ht="19" customHeight="1" spans="1:8" x14ac:dyDescent="0.25">
      <c r="A20" s="192" t="s">
        <v>481</v>
      </c>
      <c r="B20" s="60" t="s">
        <v>482</v>
      </c>
      <c r="C20" s="193" t="s">
        <v>483</v>
      </c>
      <c r="D20" s="193" t="s">
        <v>484</v>
      </c>
      <c r="E20" s="193" t="s">
        <v>485</v>
      </c>
      <c r="F20" s="194" t="s">
        <v>486</v>
      </c>
      <c r="G20" s="195" t="s">
        <v>487</v>
      </c>
      <c r="H20" s="177" t="s">
        <v>480</v>
      </c>
    </row>
    <row r="21" ht="19" customHeight="1" spans="1:8" x14ac:dyDescent="0.25">
      <c r="A21" s="188" t="s">
        <v>488</v>
      </c>
      <c r="B21" s="57" t="s">
        <v>489</v>
      </c>
      <c r="C21" s="189" t="s">
        <v>490</v>
      </c>
      <c r="D21" s="189" t="s">
        <v>491</v>
      </c>
      <c r="E21" s="189" t="s">
        <v>492</v>
      </c>
      <c r="F21" s="190" t="s">
        <v>493</v>
      </c>
      <c r="G21" s="191" t="s">
        <v>494</v>
      </c>
      <c r="H21" s="176" t="s">
        <v>480</v>
      </c>
    </row>
    <row r="22" ht="19" customHeight="1" spans="1:8" x14ac:dyDescent="0.25">
      <c r="A22" s="192" t="s">
        <v>495</v>
      </c>
      <c r="B22" s="60" t="s">
        <v>496</v>
      </c>
      <c r="C22" s="193" t="s">
        <v>497</v>
      </c>
      <c r="D22" s="193" t="s">
        <v>498</v>
      </c>
      <c r="E22" s="193" t="s">
        <v>499</v>
      </c>
      <c r="F22" s="194" t="s">
        <v>500</v>
      </c>
      <c r="G22" s="195" t="s">
        <v>501</v>
      </c>
      <c r="H22" s="177" t="s">
        <v>480</v>
      </c>
    </row>
    <row r="23" ht="19" customHeight="1" spans="1:8" x14ac:dyDescent="0.25">
      <c r="A23" s="188" t="s">
        <v>502</v>
      </c>
      <c r="B23" s="57" t="s">
        <v>168</v>
      </c>
      <c r="C23" s="189" t="s">
        <v>503</v>
      </c>
      <c r="D23" s="189" t="s">
        <v>504</v>
      </c>
      <c r="E23" s="189" t="s">
        <v>505</v>
      </c>
      <c r="F23" s="190" t="s">
        <v>506</v>
      </c>
      <c r="G23" s="191" t="s">
        <v>507</v>
      </c>
      <c r="H23" s="176" t="s">
        <v>480</v>
      </c>
    </row>
    <row r="24" ht="19" customHeight="1" spans="1:8" x14ac:dyDescent="0.25">
      <c r="A24" s="192" t="s">
        <v>508</v>
      </c>
      <c r="B24" s="60" t="s">
        <v>509</v>
      </c>
      <c r="C24" s="193" t="s">
        <v>510</v>
      </c>
      <c r="D24" s="193" t="s">
        <v>511</v>
      </c>
      <c r="E24" s="193" t="s">
        <v>512</v>
      </c>
      <c r="F24" s="194" t="s">
        <v>513</v>
      </c>
      <c r="G24" s="195" t="s">
        <v>514</v>
      </c>
      <c r="H24" s="177" t="s">
        <v>480</v>
      </c>
    </row>
    <row r="25" ht="19" customHeight="1" spans="1:8" x14ac:dyDescent="0.25">
      <c r="A25" s="188" t="s">
        <v>515</v>
      </c>
      <c r="B25" s="57" t="s">
        <v>516</v>
      </c>
      <c r="C25" s="189" t="s">
        <v>517</v>
      </c>
      <c r="D25" s="189" t="s">
        <v>518</v>
      </c>
      <c r="E25" s="189" t="s">
        <v>519</v>
      </c>
      <c r="F25" s="190" t="s">
        <v>520</v>
      </c>
      <c r="G25" s="191" t="s">
        <v>521</v>
      </c>
      <c r="H25" s="176" t="s">
        <v>480</v>
      </c>
    </row>
    <row r="26" ht="19" customHeight="1" spans="1:8" x14ac:dyDescent="0.25">
      <c r="A26" s="192" t="s">
        <v>522</v>
      </c>
      <c r="B26" s="60" t="s">
        <v>384</v>
      </c>
      <c r="C26" s="193" t="s">
        <v>523</v>
      </c>
      <c r="D26" s="193" t="s">
        <v>524</v>
      </c>
      <c r="E26" s="193" t="s">
        <v>525</v>
      </c>
      <c r="F26" s="194" t="s">
        <v>526</v>
      </c>
      <c r="G26" s="195" t="s">
        <v>527</v>
      </c>
      <c r="H26" s="177" t="s">
        <v>480</v>
      </c>
    </row>
    <row r="27" ht="19" customHeight="1" spans="1:8" x14ac:dyDescent="0.25">
      <c r="A27" s="188" t="s">
        <v>528</v>
      </c>
      <c r="B27" s="57" t="s">
        <v>529</v>
      </c>
      <c r="C27" s="189" t="s">
        <v>530</v>
      </c>
      <c r="D27" s="189" t="s">
        <v>531</v>
      </c>
      <c r="E27" s="189" t="s">
        <v>532</v>
      </c>
      <c r="F27" s="190" t="s">
        <v>533</v>
      </c>
      <c r="G27" s="191" t="s">
        <v>534</v>
      </c>
      <c r="H27" s="176" t="s">
        <v>480</v>
      </c>
    </row>
    <row r="28" ht="19" customHeight="1" spans="1:8" x14ac:dyDescent="0.25">
      <c r="A28" s="192" t="s">
        <v>535</v>
      </c>
      <c r="B28" s="60" t="s">
        <v>536</v>
      </c>
      <c r="C28" s="193" t="s">
        <v>537</v>
      </c>
      <c r="D28" s="193" t="s">
        <v>538</v>
      </c>
      <c r="E28" s="193" t="s">
        <v>539</v>
      </c>
      <c r="F28" s="194" t="s">
        <v>540</v>
      </c>
      <c r="G28" s="195" t="s">
        <v>541</v>
      </c>
      <c r="H28" s="177" t="s">
        <v>480</v>
      </c>
    </row>
    <row r="29" ht="19" customHeight="1" spans="1:8" x14ac:dyDescent="0.25">
      <c r="A29" s="188" t="s">
        <v>542</v>
      </c>
      <c r="B29" s="57" t="s">
        <v>543</v>
      </c>
      <c r="C29" s="189" t="s">
        <v>544</v>
      </c>
      <c r="D29" s="189" t="s">
        <v>545</v>
      </c>
      <c r="E29" s="189" t="s">
        <v>546</v>
      </c>
      <c r="F29" s="190" t="s">
        <v>547</v>
      </c>
      <c r="G29" s="191" t="s">
        <v>548</v>
      </c>
      <c r="H29" s="176" t="s">
        <v>480</v>
      </c>
    </row>
    <row r="30" ht="19" customHeight="1" spans="1:8" x14ac:dyDescent="0.25">
      <c r="A30" s="192" t="s">
        <v>549</v>
      </c>
      <c r="B30" s="60" t="s">
        <v>550</v>
      </c>
      <c r="C30" s="193" t="s">
        <v>551</v>
      </c>
      <c r="D30" s="193" t="s">
        <v>552</v>
      </c>
      <c r="E30" s="193" t="s">
        <v>553</v>
      </c>
      <c r="F30" s="194" t="s">
        <v>554</v>
      </c>
      <c r="G30" s="195" t="s">
        <v>555</v>
      </c>
      <c r="H30" s="177" t="s">
        <v>480</v>
      </c>
    </row>
    <row r="32" ht="22" customHeight="1" spans="1:8" x14ac:dyDescent="0.25">
      <c r="A32" s="180" t="s">
        <v>556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557</v>
      </c>
      <c r="B33" s="187" t="s">
        <v>558</v>
      </c>
      <c r="C33" s="187" t="s">
        <v>559</v>
      </c>
      <c r="D33" s="187" t="s">
        <v>560</v>
      </c>
      <c r="E33" s="187" t="s">
        <v>561</v>
      </c>
      <c r="F33" s="187" t="s">
        <v>418</v>
      </c>
      <c r="G33" s="187" t="s">
        <v>419</v>
      </c>
      <c r="H33" s="187" t="s">
        <v>562</v>
      </c>
    </row>
    <row r="34" ht="19" customHeight="1" spans="1:8" x14ac:dyDescent="0.25">
      <c r="A34" s="57" t="s">
        <v>563</v>
      </c>
      <c r="B34" s="190" t="s">
        <v>564</v>
      </c>
      <c r="C34" s="196" t="s">
        <v>565</v>
      </c>
      <c r="D34" s="197">
        <v>3769345</v>
      </c>
      <c r="E34" s="121">
        <v>1376900</v>
      </c>
      <c r="F34" s="198">
        <v>2392445</v>
      </c>
      <c r="G34" s="199" t="s">
        <v>514</v>
      </c>
      <c r="H34" s="176" t="s">
        <v>566</v>
      </c>
    </row>
    <row r="35" ht="19" customHeight="1" spans="1:8" x14ac:dyDescent="0.25">
      <c r="A35" s="60" t="s">
        <v>567</v>
      </c>
      <c r="B35" s="194" t="s">
        <v>568</v>
      </c>
      <c r="C35" s="200" t="s">
        <v>569</v>
      </c>
      <c r="D35" s="201">
        <v>3769345</v>
      </c>
      <c r="E35" s="123">
        <v>1376900</v>
      </c>
      <c r="F35" s="202">
        <v>2392445</v>
      </c>
      <c r="G35" s="203" t="s">
        <v>514</v>
      </c>
      <c r="H35" s="177" t="s">
        <v>570</v>
      </c>
    </row>
    <row r="36" ht="19" customHeight="1" spans="1:8" x14ac:dyDescent="0.25">
      <c r="A36" s="57" t="s">
        <v>571</v>
      </c>
      <c r="B36" s="190" t="s">
        <v>572</v>
      </c>
      <c r="C36" s="196" t="s">
        <v>573</v>
      </c>
      <c r="D36" s="197">
        <v>3769345</v>
      </c>
      <c r="E36" s="121">
        <v>1376900</v>
      </c>
      <c r="F36" s="198">
        <v>2392445</v>
      </c>
      <c r="G36" s="199" t="s">
        <v>514</v>
      </c>
      <c r="H36" s="176" t="s">
        <v>570</v>
      </c>
    </row>
    <row r="37" ht="19" customHeight="1" spans="1:8" x14ac:dyDescent="0.25">
      <c r="A37" s="60" t="s">
        <v>574</v>
      </c>
      <c r="B37" s="194" t="s">
        <v>575</v>
      </c>
      <c r="C37" s="200" t="s">
        <v>576</v>
      </c>
      <c r="D37" s="201">
        <v>3769345</v>
      </c>
      <c r="E37" s="123">
        <v>1376900</v>
      </c>
      <c r="F37" s="202">
        <v>2392445</v>
      </c>
      <c r="G37" s="203" t="s">
        <v>514</v>
      </c>
      <c r="H37" s="177" t="s">
        <v>570</v>
      </c>
    </row>
    <row r="38" ht="19" customHeight="1" spans="1:8" x14ac:dyDescent="0.25">
      <c r="A38" s="57" t="s">
        <v>577</v>
      </c>
      <c r="B38" s="190" t="s">
        <v>578</v>
      </c>
      <c r="C38" s="196" t="s">
        <v>555</v>
      </c>
      <c r="D38" s="197">
        <v>3769345</v>
      </c>
      <c r="E38" s="121">
        <v>1376900</v>
      </c>
      <c r="F38" s="198">
        <v>2392445</v>
      </c>
      <c r="G38" s="199" t="s">
        <v>514</v>
      </c>
      <c r="H38" s="176" t="s">
        <v>570</v>
      </c>
    </row>
    <row r="39" ht="19" customHeight="1" spans="1:8" x14ac:dyDescent="0.25">
      <c r="A39" s="60" t="s">
        <v>579</v>
      </c>
      <c r="B39" s="194" t="s">
        <v>580</v>
      </c>
      <c r="C39" s="200" t="s">
        <v>581</v>
      </c>
      <c r="D39" s="201">
        <v>3769345</v>
      </c>
      <c r="E39" s="123">
        <v>1376900</v>
      </c>
      <c r="F39" s="202">
        <v>2392445</v>
      </c>
      <c r="G39" s="203" t="s">
        <v>514</v>
      </c>
      <c r="H39" s="177" t="s">
        <v>570</v>
      </c>
    </row>
    <row r="40" ht="19" customHeight="1" spans="1:8" x14ac:dyDescent="0.25">
      <c r="A40" s="57" t="s">
        <v>582</v>
      </c>
      <c r="B40" s="190" t="s">
        <v>583</v>
      </c>
      <c r="C40" s="196" t="s">
        <v>584</v>
      </c>
      <c r="D40" s="197">
        <v>3769345</v>
      </c>
      <c r="E40" s="121">
        <v>1376900</v>
      </c>
      <c r="F40" s="198">
        <v>2392445</v>
      </c>
      <c r="G40" s="199" t="s">
        <v>514</v>
      </c>
      <c r="H40" s="176" t="s">
        <v>570</v>
      </c>
    </row>
    <row r="42" ht="22" customHeight="1" spans="1:8" x14ac:dyDescent="0.25">
      <c r="A42" s="180" t="s">
        <v>585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586</v>
      </c>
      <c r="B43" s="204" t="s">
        <v>587</v>
      </c>
      <c r="C43" s="204"/>
      <c r="D43" s="189" t="s">
        <v>588</v>
      </c>
      <c r="E43" s="189"/>
      <c r="F43" s="189"/>
      <c r="G43" s="189"/>
      <c r="H43" s="176" t="s">
        <v>589</v>
      </c>
    </row>
    <row r="44" ht="19" customHeight="1" spans="1:8" x14ac:dyDescent="0.25">
      <c r="A44" s="203" t="s">
        <v>590</v>
      </c>
      <c r="B44" s="205" t="s">
        <v>591</v>
      </c>
      <c r="C44" s="205"/>
      <c r="D44" s="193" t="s">
        <v>592</v>
      </c>
      <c r="E44" s="193"/>
      <c r="F44" s="193"/>
      <c r="G44" s="193"/>
      <c r="H44" s="177" t="s">
        <v>589</v>
      </c>
    </row>
    <row r="45" ht="19" customHeight="1" spans="1:8" x14ac:dyDescent="0.25">
      <c r="A45" s="199" t="s">
        <v>593</v>
      </c>
      <c r="B45" s="204" t="s">
        <v>594</v>
      </c>
      <c r="C45" s="204"/>
      <c r="D45" s="189" t="s">
        <v>595</v>
      </c>
      <c r="E45" s="189"/>
      <c r="F45" s="189"/>
      <c r="G45" s="189"/>
      <c r="H45" s="176" t="s">
        <v>589</v>
      </c>
    </row>
    <row r="46" ht="19" customHeight="1" spans="1:8" x14ac:dyDescent="0.25">
      <c r="A46" s="203" t="s">
        <v>596</v>
      </c>
      <c r="B46" s="205" t="s">
        <v>597</v>
      </c>
      <c r="C46" s="205"/>
      <c r="D46" s="193" t="s">
        <v>598</v>
      </c>
      <c r="E46" s="193"/>
      <c r="F46" s="193"/>
      <c r="G46" s="193"/>
      <c r="H46" s="177" t="s">
        <v>589</v>
      </c>
    </row>
    <row r="47" ht="19" customHeight="1" spans="1:8" x14ac:dyDescent="0.25">
      <c r="A47" s="199" t="s">
        <v>599</v>
      </c>
      <c r="B47" s="204" t="s">
        <v>600</v>
      </c>
      <c r="C47" s="204"/>
      <c r="D47" s="189" t="s">
        <v>601</v>
      </c>
      <c r="E47" s="189"/>
      <c r="F47" s="189"/>
      <c r="G47" s="189"/>
      <c r="H47" s="176" t="s">
        <v>589</v>
      </c>
    </row>
    <row r="48" ht="19" customHeight="1" spans="1:8" x14ac:dyDescent="0.25">
      <c r="A48" s="203" t="s">
        <v>602</v>
      </c>
      <c r="B48" s="205" t="s">
        <v>603</v>
      </c>
      <c r="C48" s="205"/>
      <c r="D48" s="193" t="s">
        <v>604</v>
      </c>
      <c r="E48" s="193"/>
      <c r="F48" s="193"/>
      <c r="G48" s="193"/>
      <c r="H48" s="177" t="s">
        <v>589</v>
      </c>
    </row>
    <row r="49" ht="19" customHeight="1" spans="1:8" x14ac:dyDescent="0.25">
      <c r="A49" s="199" t="s">
        <v>605</v>
      </c>
      <c r="B49" s="204" t="s">
        <v>606</v>
      </c>
      <c r="C49" s="204"/>
      <c r="D49" s="189" t="s">
        <v>607</v>
      </c>
      <c r="E49" s="189"/>
      <c r="F49" s="189"/>
      <c r="G49" s="189"/>
      <c r="H49" s="176" t="s">
        <v>589</v>
      </c>
    </row>
    <row r="50" ht="19" customHeight="1" spans="1:8" x14ac:dyDescent="0.25">
      <c r="A50" s="203" t="s">
        <v>608</v>
      </c>
      <c r="B50" s="205" t="s">
        <v>609</v>
      </c>
      <c r="C50" s="205"/>
      <c r="D50" s="193" t="s">
        <v>610</v>
      </c>
      <c r="E50" s="193"/>
      <c r="F50" s="193"/>
      <c r="G50" s="193"/>
      <c r="H50" s="177" t="s">
        <v>589</v>
      </c>
    </row>
  </sheetData>
  <sheetProtection sheet="1" selectLockedCells="1" sort="0" autoFilter="0" pivotTables="0" algorithmName="SHA-512" hashValue="d9edEKYGABxw86v0A48TpY1LzYejV4nHsqAPF9Tu1o8rkpNP2baiAYwrwRDX99rE9etpNSGTm6qGyUj/+wCIZQ==" saltValue="9q4iaItZ1OWUf9pQfKh6rg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OIL_GAS_MINING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2026-10-23T10:59:38Z</dcterms:created>
  <dcterms:modified xsi:type="dcterms:W3CDTF">2026-10-23T10:59:38Z</dcterms:modified>
</cp:coreProperties>
</file>