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480" activeTab="4"/>
  </bookViews>
  <sheets>
    <sheet name="资产负债表" sheetId="1" r:id="rId1"/>
    <sheet name="利润表" sheetId="3" r:id="rId2"/>
    <sheet name="现金流量表" sheetId="4" r:id="rId3"/>
    <sheet name="财务分析指标" sheetId="2" r:id="rId4"/>
    <sheet name="财务综合分析" sheetId="5" r:id="rId5"/>
    <sheet name="图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<sst xmlns="http://schemas.openxmlformats.org/spreadsheetml/2006/main" count="269" uniqueCount="240">
  <si>
    <t>报表日期</t>
  </si>
  <si>
    <t>单位</t>
  </si>
  <si>
    <t>元</t>
  </si>
  <si>
    <t>流动资产</t>
  </si>
  <si>
    <t>货币资金</t>
  </si>
  <si>
    <t>交易性金融资产</t>
  </si>
  <si>
    <t>衍生金融资产</t>
  </si>
  <si>
    <t>应收票据及应收账款</t>
  </si>
  <si>
    <t>应收票据</t>
  </si>
  <si>
    <t>应收账款</t>
  </si>
  <si>
    <t>应收款项融资</t>
  </si>
  <si>
    <t>预付款项</t>
  </si>
  <si>
    <t>其他应收款(合计)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</si>
  <si>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</si>
  <si>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</si>
  <si>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</si>
  <si>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</si>
  <si>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</si>
  <si>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</si>
  <si>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</si>
  <si>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</si>
  <si>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</si>
  <si>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</si>
  <si>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</si>
  <si>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</si>
  <si>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</si>
  <si>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</si>
  <si>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</si>
  <si>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</si>
  <si>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</si>
  <si>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</si>
  <si>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在建工程(合计)</t>
  </si>
  <si>
    <t>在建工程</t>
  </si>
  <si>
    <t>工程物资</t>
  </si>
  <si>
    <t>固定资产及清理(合计)</t>
  </si>
  <si>
    <t>固定资产净额</t>
  </si>
  <si>
    <t>固定资产清理</t>
  </si>
  <si>
    <t>生产性生物资产</t>
  </si>
  <si>
    <t>公益性生物资产</t>
  </si>
  <si>
    <t>油气资产</t>
  </si>
  <si>
    <t>使用权资产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</si>
  <si>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</si>
  <si>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</si>
  <si>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</si>
  <si>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</si>
  <si>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</si>
  <si>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</si>
  <si>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</si>
  <si>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</si>
  <si>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</si>
  <si>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</si>
  <si>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</si>
  <si>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应付票据及应付账款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</si>
  <si>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</si>
  <si>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</si>
  <si>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</si>
  <si>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</si>
  <si>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</si>
  <si>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</si>
  <si>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其他应付款(合计)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</si>
  <si>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</si>
  <si>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</si>
  <si>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</si>
  <si>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</si>
  <si>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</si>
  <si>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</si>
  <si>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</si>
  <si>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</si>
  <si>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</si>
  <si>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</si>
  <si>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</si>
  <si>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</si>
  <si>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租赁负债</t>
  </si>
  <si>
    <t>长期应付职工薪酬</t>
  </si>
  <si>
    <t>长期应付款(合计)</t>
  </si>
  <si>
    <t>长期应付款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</si>
  <si>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</si>
  <si>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</si>
  <si>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</si>
  <si>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</si>
  <si>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</si>
  <si>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</si>
  <si>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</si>
  <si>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</si>
  <si>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</si>
  <si>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</si>
  <si>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</si>
  <si>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</si>
  <si>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</si>
  <si>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</si>
  <si>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</si>
  <si>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</si>
  <si>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</si>
  <si>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</si>
  <si>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</si>
  <si>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</si>
  <si>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一、营业总收入</t>
  </si>
  <si>
    <t>营业收入</t>
  </si>
  <si>
    <t>二、营业总成本</t>
  </si>
  <si>
    <t>营业成本</t>
  </si>
  <si>
    <t>营业税金及附加</t>
  </si>
  <si>
    <t>销售费用</t>
  </si>
  <si>
    <t>管理费用</t>
  </si>
  <si>
    <t>财务费用</t>
  </si>
  <si>
    <t>研发费用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</si>
  <si>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</si>
  <si>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</si>
  <si>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</si>
  <si>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</si>
  <si>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</si>
  <si>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</si>
  <si>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</si>
  <si>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</si>
  <si>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</si>
  <si>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</si>
  <si>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</si>
  <si>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</si>
  <si>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</si>
  <si>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</si>
  <si>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</si>
  <si>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</si>
  <si>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</si>
  <si>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</si>
  <si>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</si>
  <si>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</si>
  <si>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</si>
  <si>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</si>
  <si>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</si>
  <si>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</si>
  <si>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</si>
  <si>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</si>
  <si>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</si>
  <si>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</si>
  <si>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</si>
  <si>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</si>
  <si>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</si>
  <si>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</si>
  <si>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</si>
  <si>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</si>
  <si>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</si>
  <si>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</si>
  <si>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</si>
  <si>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</si>
  <si>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</si>
  <si>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</si>
  <si>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</si>
  <si>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</si>
  <si>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</si>
  <si>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</si>
  <si>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</si>
  <si>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</si>
  <si>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</si>
  <si>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</si>
  <si>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</si>
  <si>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</si>
  <si>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</si>
  <si>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</si>
  <si>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</si>
  <si>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</si>
  <si>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</si>
  <si>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</si>
  <si>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</si>
  <si>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</si>
  <si>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</si>
  <si>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</si>
  <si>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</si>
  <si>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</si>
  <si>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</si>
  <si>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</si>
  <si>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</si>
  <si>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</si>
  <si>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</si>
  <si>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</si>
  <si>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</si>
  <si>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</si>
  <si>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</si>
  <si>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</si>
  <si>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</si>
  <si>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</si>
  <si>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</si>
  <si>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</si>
  <si>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</si>
  <si>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</si>
  <si>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</si>
  <si>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</si>
  <si>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</si>
  <si>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</si>
  <si>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</si>
  <si>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</si>
  <si>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</si>
  <si>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</si>
  <si>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</si>
  <si>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</si>
  <si>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</si>
  <si>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</si>
  <si>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</si>
  <si>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</si>
  <si>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</si>
  <si>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</si>
  <si>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财务比率</t>
  </si>
  <si>
    <t>短期偿债能力</t>
  </si>
  <si>
    <t>流动比率</t>
  </si>
  <si>
    <t>速动比率</t>
  </si>
  <si>
    <t>长期偿债能力</t>
  </si>
  <si>
    <t>资产负债率</t>
  </si>
  <si>
    <t>产权比率</t>
  </si>
  <si>
    <t>权益比率</t>
  </si>
  <si>
    <t>营运能力</t>
  </si>
  <si>
    <t>存货周转率</t>
  </si>
  <si>
    <t>存货周转天数</t>
  </si>
  <si>
    <t>应收账款周转率</t>
  </si>
  <si>
    <t>应收账款周转天数</t>
  </si>
  <si>
    <t>营业周期</t>
  </si>
  <si>
    <t>流动资产周转率</t>
  </si>
  <si>
    <t>流动资产周转天数</t>
  </si>
  <si>
    <t>总资产周转率</t>
  </si>
  <si>
    <t>总资产周转天数</t>
  </si>
  <si>
    <t>盈利能力</t>
  </si>
  <si>
    <t>销售净利率</t>
  </si>
  <si>
    <t>资产报酬率</t>
  </si>
  <si>
    <t>净资产收益率</t>
  </si>
  <si>
    <t>每股收益</t>
  </si>
  <si>
    <t>EBIT(元)</t>
  </si>
  <si>
    <t>发展能力</t>
  </si>
  <si>
    <t>营业收入增长率</t>
  </si>
  <si>
    <t>营业利润增长率</t>
  </si>
  <si>
    <t>净利润增长率</t>
  </si>
  <si>
    <t>总资产增长率</t>
  </si>
  <si>
    <t>资本积累率</t>
  </si>
  <si>
    <t>光明乳业杜邦分析</t>
  </si>
  <si>
    <t>单位：元</t>
  </si>
  <si>
    <t>年份</t>
  </si>
  <si>
    <t>图表共5张</t>
  </si>
  <si>
    <t>2023年</t>
  </si>
  <si>
    <t>2022年</t>
  </si>
  <si>
    <t>2021年</t>
  </si>
  <si>
    <t>2020年</t>
  </si>
  <si>
    <t>2019年</t>
  </si>
  <si>
    <t>2018年</t>
  </si>
  <si>
    <t>2017年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</si>
</sst>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36"/>
      <color theme="5" tint="-0.25"/>
      <name val="微软雅黑"/>
      <charset val="134"/>
    </font>
    <font>
      <b/>
      <sz val="14"/>
      <color theme="5" tint="-0.25"/>
      <name val="微软雅黑"/>
      <charset val="134"/>
    </font>
    <font>
      <sz val="11"/>
      <color theme="1"/>
      <name val="微软雅黑"/>
      <charset val="134"/>
    </font>
    <font>
      <sz val="14"/>
      <color theme="5" tint="-0.25"/>
      <name val="微软雅黑"/>
      <charset val="134"/>
    </font>
    <font>
      <b/>
      <sz val="11"/>
      <color theme="1"/>
      <name val="等线"/>
      <charset val="134"/>
      <scheme val="minor"/>
    </font>
    <font>
      <sz val="2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 style="medium">
        <color theme="5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DDB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ysClr val="windowText" lastClr="000000"/>
                </a:solidFill>
              </a:rPr>
              <a:t>资本结构</a:t>
            </a:r>
            <a:endParaRPr lang="zh-CN" alt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atte">
                <a:bevelT/>
                <a:contourClr>
                  <a:schemeClr val="accen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accent2">
                    <a:lumMod val="75000"/>
                  </a:schemeClr>
                </a:contourClr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gradFill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(资产负债表!$A$82,资产负债表!$A$94)</c:f>
              <c:strCache>
                <c:ptCount val="2"/>
                <c:pt idx="0">
                  <c:v>负债合计</c:v>
                </c:pt>
                <c:pt idx="1">
                  <c:v>所有者权益(或股东权益)合计</c:v>
                </c:pt>
              </c:strCache>
            </c:strRef>
          </c:cat>
          <c:val>
            <c:numRef>
              <c:f>(资产负债表!$B$82,资产负债表!$B$94)</c:f>
              <c:numCache>
                <c:formatCode>General</c:formatCode>
                <c:ptCount val="2"/>
                <c:pt idx="0">
                  <c:v>12804739986</c:v>
                </c:pt>
                <c:pt idx="1">
                  <c:v>11422579921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33000">
          <a:schemeClr val="accent4">
            <a:lumMod val="40000"/>
            <a:lumOff val="60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600000" scaled="0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matte"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费用结构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13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>
            <a:solidFill>
              <a:srgbClr val="C00000"/>
            </a:solidFill>
            <a:scene3d>
              <a:camera prst="orthographicFront"/>
              <a:lightRig rig="threePt" dir="t"/>
            </a:scene3d>
            <a:sp3d prstMaterial="dkEdge">
              <a:bevelT prst="angle"/>
              <a:bevelB w="165100" prst="coolSlant"/>
              <a:contourClr>
                <a:srgbClr val="000000"/>
              </a:contourClr>
            </a:sp3d>
          </c:spPr>
          <c:explosion val="2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利润表!$A$8:$A$10</c:f>
              <c:strCache>
                <c:ptCount val="3"/>
                <c:pt idx="0">
                  <c:v>销售费用</c:v>
                </c:pt>
                <c:pt idx="1">
                  <c:v>管理费用</c:v>
                </c:pt>
                <c:pt idx="2">
                  <c:v>财务费用</c:v>
                </c:pt>
              </c:strCache>
            </c:strRef>
          </c:cat>
          <c:val>
            <c:numRef>
              <c:f>利润表!$B$8:$B$10</c:f>
              <c:numCache>
                <c:formatCode>General</c:formatCode>
                <c:ptCount val="3"/>
                <c:pt idx="0">
                  <c:v>3181938505</c:v>
                </c:pt>
                <c:pt idx="1">
                  <c:v>886162411</c:v>
                </c:pt>
                <c:pt idx="2">
                  <c:v>234872372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短期偿债能力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财务分析指标!$B$4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rgbClr val="ED7D31">
                  <a:lumMod val="60000"/>
                  <a:lumOff val="40000"/>
                  <a:alpha val="96000"/>
                </a:srgb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  <a:alpha val="91000"/>
                  </a:srgbClr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财务分析指标!$C$4:$I$4</c:f>
              <c:numCache>
                <c:formatCode>0.00_ </c:formatCode>
                <c:ptCount val="7"/>
                <c:pt idx="0">
                  <c:v>0.953158815899589</c:v>
                </c:pt>
                <c:pt idx="1">
                  <c:v>0.923047812089792</c:v>
                </c:pt>
                <c:pt idx="2">
                  <c:v>1.05629449521539</c:v>
                </c:pt>
                <c:pt idx="3">
                  <c:v>0.996673654839134</c:v>
                </c:pt>
                <c:pt idx="4">
                  <c:v>0.875435571969078</c:v>
                </c:pt>
                <c:pt idx="5">
                  <c:v>0.87746997511997</c:v>
                </c:pt>
                <c:pt idx="6">
                  <c:v>0.868531770617042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财务分析指标!$B$5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财务分析指标!$C$5:$I$5</c:f>
              <c:numCache>
                <c:formatCode>0.00_ </c:formatCode>
                <c:ptCount val="7"/>
                <c:pt idx="0">
                  <c:v>0.603359371971163</c:v>
                </c:pt>
                <c:pt idx="1">
                  <c:v>0.532094022003716</c:v>
                </c:pt>
                <c:pt idx="2">
                  <c:v>0.697857417388308</c:v>
                </c:pt>
                <c:pt idx="3">
                  <c:v>0.678876509935497</c:v>
                </c:pt>
                <c:pt idx="4">
                  <c:v>0.595148975071255</c:v>
                </c:pt>
                <c:pt idx="5">
                  <c:v>0.669639163427691</c:v>
                </c:pt>
                <c:pt idx="6">
                  <c:v>0.669609916268859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92384"/>
        <c:axId val="1175297664"/>
      </c:lineChart>
      <c:catAx>
        <c:axId val="11752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297664"/>
        <c:crosses val="autoZero"/>
        <c:auto val="1"/>
        <c:lblAlgn val="ctr"/>
        <c:lblOffset val="100"/>
        <c:noMultiLvlLbl val="0"/>
      </c:catAx>
      <c:valAx>
        <c:axId val="1175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29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rgbClr val="70AD47">
            <a:lumMod val="20000"/>
            <a:lumOff val="80000"/>
          </a:srgb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D7D31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长期偿债能力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财务分析指标!$B$6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财务分析指标!$C$6:$I$6</c:f>
              <c:numCache>
                <c:formatCode>0.00_ </c:formatCode>
                <c:ptCount val="7"/>
                <c:pt idx="0">
                  <c:v>0.528524823841548</c:v>
                </c:pt>
                <c:pt idx="1">
                  <c:v>0.56861985991711</c:v>
                </c:pt>
                <c:pt idx="2">
                  <c:v>0.558561826788266</c:v>
                </c:pt>
                <c:pt idx="3">
                  <c:v>0.561038726586852</c:v>
                </c:pt>
                <c:pt idx="4">
                  <c:v>0.579469516854241</c:v>
                </c:pt>
                <c:pt idx="5">
                  <c:v>0.621673694136036</c:v>
                </c:pt>
                <c:pt idx="6">
                  <c:v>0.59596425675721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财务分析指标!$B$7</c:f>
              <c:strCache>
                <c:ptCount val="1"/>
                <c:pt idx="0">
                  <c:v>产权比率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财务分析指标!$C$7:$I$7</c:f>
              <c:numCache>
                <c:formatCode>0.00_ </c:formatCode>
                <c:ptCount val="7"/>
                <c:pt idx="0">
                  <c:v>1.12100244205418</c:v>
                </c:pt>
                <c:pt idx="1">
                  <c:v>1.31814102477654</c:v>
                </c:pt>
                <c:pt idx="2">
                  <c:v>1.26532289385937</c:v>
                </c:pt>
                <c:pt idx="3">
                  <c:v>1.27810529212404</c:v>
                </c:pt>
                <c:pt idx="4">
                  <c:v>1.37794890044485</c:v>
                </c:pt>
                <c:pt idx="5">
                  <c:v>1.64322090349058</c:v>
                </c:pt>
                <c:pt idx="6">
                  <c:v>1.47502855062773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财务分析指标!$B$8</c:f>
              <c:strCache>
                <c:ptCount val="1"/>
                <c:pt idx="0">
                  <c:v>权益比率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财务分析指标!$C$8:$I$8</c:f>
              <c:numCache>
                <c:formatCode>0.00_ </c:formatCode>
                <c:ptCount val="7"/>
                <c:pt idx="0">
                  <c:v>0.471475176158452</c:v>
                </c:pt>
                <c:pt idx="1">
                  <c:v>0.43138014008289</c:v>
                </c:pt>
                <c:pt idx="2">
                  <c:v>0.441438173211733</c:v>
                </c:pt>
                <c:pt idx="3">
                  <c:v>0.438961273413148</c:v>
                </c:pt>
                <c:pt idx="4">
                  <c:v>0.420530483145759</c:v>
                </c:pt>
                <c:pt idx="5">
                  <c:v>0.378326305863964</c:v>
                </c:pt>
                <c:pt idx="6">
                  <c:v>0.40403574324279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63648"/>
        <c:axId val="1323275648"/>
      </c:lineChart>
      <c:catAx>
        <c:axId val="13232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275648"/>
        <c:crosses val="autoZero"/>
        <c:auto val="1"/>
        <c:lblAlgn val="ctr"/>
        <c:lblOffset val="100"/>
        <c:noMultiLvlLbl val="0"/>
      </c:catAx>
      <c:valAx>
        <c:axId val="1323275648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263648"/>
        <c:crosses val="autoZero"/>
        <c:crossBetween val="between"/>
        <c:majorUnit val="0.3"/>
        <c:minorUnit val="0.1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ysClr val="windowText" lastClr="000000"/>
                </a:solidFill>
              </a:rPr>
              <a:t>资本结构</a:t>
            </a:r>
            <a:endParaRPr lang="zh-CN" alt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atte">
                <a:bevelT/>
                <a:contourClr>
                  <a:schemeClr val="accen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accent2">
                    <a:lumMod val="75000"/>
                  </a:schemeClr>
                </a:contourClr>
              </a:sp3d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gradFill>
                <a:gsLst>
                  <a:gs pos="0">
                    <a:schemeClr val="bg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(资产负债表!$A$82,资产负债表!$A$94)</c:f>
              <c:strCache>
                <c:ptCount val="2"/>
                <c:pt idx="0">
                  <c:v>负债合计</c:v>
                </c:pt>
                <c:pt idx="1">
                  <c:v>所有者权益(或股东权益)合计</c:v>
                </c:pt>
              </c:strCache>
            </c:strRef>
          </c:cat>
          <c:val>
            <c:numRef>
              <c:f>(资产负债表!$B$82,资产负债表!$B$94)</c:f>
              <c:numCache>
                <c:formatCode>General</c:formatCode>
                <c:ptCount val="2"/>
                <c:pt idx="0">
                  <c:v>12804739986</c:v>
                </c:pt>
                <c:pt idx="1">
                  <c:v>11422579921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33000">
          <a:schemeClr val="accent4">
            <a:lumMod val="40000"/>
            <a:lumOff val="60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600000" scaled="0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matte"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费用结构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13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>
            <a:solidFill>
              <a:srgbClr val="C00000"/>
            </a:solidFill>
            <a:scene3d>
              <a:camera prst="orthographicFront"/>
              <a:lightRig rig="threePt" dir="t"/>
            </a:scene3d>
            <a:sp3d prstMaterial="dkEdge">
              <a:bevelT prst="angle"/>
              <a:bevelB w="165100" prst="coolSlant"/>
              <a:contourClr>
                <a:srgbClr val="000000"/>
              </a:contourClr>
            </a:sp3d>
          </c:spPr>
          <c:explosion val="2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dkEdge">
                <a:bevelT prst="angle"/>
                <a:bevelB w="165100" prst="coolSlant"/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利润表!$A$8:$A$10</c:f>
              <c:strCache>
                <c:ptCount val="3"/>
                <c:pt idx="0">
                  <c:v>销售费用</c:v>
                </c:pt>
                <c:pt idx="1">
                  <c:v>管理费用</c:v>
                </c:pt>
                <c:pt idx="2">
                  <c:v>财务费用</c:v>
                </c:pt>
              </c:strCache>
            </c:strRef>
          </c:cat>
          <c:val>
            <c:numRef>
              <c:f>利润表!$B$8:$B$10</c:f>
              <c:numCache>
                <c:formatCode>General</c:formatCode>
                <c:ptCount val="3"/>
                <c:pt idx="0">
                  <c:v>3181938505</c:v>
                </c:pt>
                <c:pt idx="1">
                  <c:v>886162411</c:v>
                </c:pt>
                <c:pt idx="2">
                  <c:v>234872372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短期偿债能力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财务分析指标!$B$4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rgbClr val="ED7D31">
                  <a:lumMod val="60000"/>
                  <a:lumOff val="40000"/>
                  <a:alpha val="96000"/>
                </a:srgb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  <a:alpha val="91000"/>
                  </a:srgbClr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财务分析指标!$C$4:$I$4</c:f>
              <c:numCache>
                <c:formatCode>0.00_ </c:formatCode>
                <c:ptCount val="7"/>
                <c:pt idx="0">
                  <c:v>0.953158815899589</c:v>
                </c:pt>
                <c:pt idx="1">
                  <c:v>0.923047812089792</c:v>
                </c:pt>
                <c:pt idx="2">
                  <c:v>1.05629449521539</c:v>
                </c:pt>
                <c:pt idx="3">
                  <c:v>0.996673654839134</c:v>
                </c:pt>
                <c:pt idx="4">
                  <c:v>0.875435571969078</c:v>
                </c:pt>
                <c:pt idx="5">
                  <c:v>0.87746997511997</c:v>
                </c:pt>
                <c:pt idx="6">
                  <c:v>0.868531770617042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财务分析指标!$B$5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财务分析指标!$C$5:$I$5</c:f>
              <c:numCache>
                <c:formatCode>0.00_ </c:formatCode>
                <c:ptCount val="7"/>
                <c:pt idx="0">
                  <c:v>0.603359371971163</c:v>
                </c:pt>
                <c:pt idx="1">
                  <c:v>0.532094022003716</c:v>
                </c:pt>
                <c:pt idx="2">
                  <c:v>0.697857417388308</c:v>
                </c:pt>
                <c:pt idx="3">
                  <c:v>0.678876509935497</c:v>
                </c:pt>
                <c:pt idx="4">
                  <c:v>0.595148975071255</c:v>
                </c:pt>
                <c:pt idx="5">
                  <c:v>0.669639163427691</c:v>
                </c:pt>
                <c:pt idx="6">
                  <c:v>0.669609916268859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292384"/>
        <c:axId val="1175297664"/>
      </c:lineChart>
      <c:catAx>
        <c:axId val="11752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297664"/>
        <c:crosses val="autoZero"/>
        <c:auto val="1"/>
        <c:lblAlgn val="ctr"/>
        <c:lblOffset val="100"/>
        <c:noMultiLvlLbl val="0"/>
      </c:catAx>
      <c:valAx>
        <c:axId val="1175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29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rgbClr val="70AD47">
            <a:lumMod val="20000"/>
            <a:lumOff val="80000"/>
          </a:srgb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ED7D31">
        <a:lumMod val="20000"/>
        <a:lumOff val="8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长期偿债能力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财务分析指标!$B$6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财务分析指标!$C$6:$I$6</c:f>
              <c:numCache>
                <c:formatCode>0.00_ </c:formatCode>
                <c:ptCount val="7"/>
                <c:pt idx="0">
                  <c:v>0.528524823841548</c:v>
                </c:pt>
                <c:pt idx="1">
                  <c:v>0.56861985991711</c:v>
                </c:pt>
                <c:pt idx="2">
                  <c:v>0.558561826788266</c:v>
                </c:pt>
                <c:pt idx="3">
                  <c:v>0.561038726586852</c:v>
                </c:pt>
                <c:pt idx="4">
                  <c:v>0.579469516854241</c:v>
                </c:pt>
                <c:pt idx="5">
                  <c:v>0.621673694136036</c:v>
                </c:pt>
                <c:pt idx="6">
                  <c:v>0.59596425675721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财务分析指标!$B$7</c:f>
              <c:strCache>
                <c:ptCount val="1"/>
                <c:pt idx="0">
                  <c:v>产权比率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财务分析指标!$C$7:$I$7</c:f>
              <c:numCache>
                <c:formatCode>0.00_ </c:formatCode>
                <c:ptCount val="7"/>
                <c:pt idx="0">
                  <c:v>1.12100244205418</c:v>
                </c:pt>
                <c:pt idx="1">
                  <c:v>1.31814102477654</c:v>
                </c:pt>
                <c:pt idx="2">
                  <c:v>1.26532289385937</c:v>
                </c:pt>
                <c:pt idx="3">
                  <c:v>1.27810529212404</c:v>
                </c:pt>
                <c:pt idx="4">
                  <c:v>1.37794890044485</c:v>
                </c:pt>
                <c:pt idx="5">
                  <c:v>1.64322090349058</c:v>
                </c:pt>
                <c:pt idx="6">
                  <c:v>1.47502855062773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财务分析指标!$B$8</c:f>
              <c:strCache>
                <c:ptCount val="1"/>
                <c:pt idx="0">
                  <c:v>权益比率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财务分析指标!$C$1:$I$1</c:f>
              <c:numCache>
                <c:formatCode>General</c:formatCode>
                <c:ptCount val="7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</c:numCache>
            </c:numRef>
          </c:cat>
          <c:val>
            <c:numRef>
              <c:f>财务分析指标!$C$8:$I$8</c:f>
              <c:numCache>
                <c:formatCode>0.00_ </c:formatCode>
                <c:ptCount val="7"/>
                <c:pt idx="0">
                  <c:v>0.471475176158452</c:v>
                </c:pt>
                <c:pt idx="1">
                  <c:v>0.43138014008289</c:v>
                </c:pt>
                <c:pt idx="2">
                  <c:v>0.441438173211733</c:v>
                </c:pt>
                <c:pt idx="3">
                  <c:v>0.438961273413148</c:v>
                </c:pt>
                <c:pt idx="4">
                  <c:v>0.420530483145759</c:v>
                </c:pt>
                <c:pt idx="5">
                  <c:v>0.378326305863964</c:v>
                </c:pt>
                <c:pt idx="6">
                  <c:v>0.40403574324279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63648"/>
        <c:axId val="1323275648"/>
      </c:lineChart>
      <c:catAx>
        <c:axId val="13232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275648"/>
        <c:crosses val="autoZero"/>
        <c:auto val="1"/>
        <c:lblAlgn val="ctr"/>
        <c:lblOffset val="100"/>
        <c:noMultiLvlLbl val="0"/>
      </c:catAx>
      <c:valAx>
        <c:axId val="1323275648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比率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263648"/>
        <c:crosses val="autoZero"/>
        <c:crossBetween val="between"/>
        <c:majorUnit val="0.3"/>
        <c:minorUnit val="0.1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权益比率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图表!$S$6</c:f>
              <c:strCache>
                <c:ptCount val="1"/>
                <c:pt idx="0">
                  <c:v>总资产增长率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图表!$T$5:$Z$5</c:f>
              <c:strCache>
                <c:ptCount val="7"/>
                <c:pt idx="0" c:formatCode="@">
                  <c:v>2023年</c:v>
                </c:pt>
                <c:pt idx="1" c:formatCode="@">
                  <c:v>2022年</c:v>
                </c:pt>
                <c:pt idx="2" c:formatCode="@">
                  <c:v>2021年</c:v>
                </c:pt>
                <c:pt idx="3" c:formatCode="@">
                  <c:v>2020年</c:v>
                </c:pt>
                <c:pt idx="4" c:formatCode="@">
                  <c:v>2019年</c:v>
                </c:pt>
                <c:pt idx="5" c:formatCode="@">
                  <c:v>2018年</c:v>
                </c:pt>
                <c:pt idx="6" c:formatCode="@">
                  <c:v>2017年</c:v>
                </c:pt>
              </c:strCache>
            </c:strRef>
          </c:cat>
          <c:val>
            <c:numRef>
              <c:f>图表!$T$6:$Z$6</c:f>
              <c:numCache>
                <c:formatCode>0.00_ </c:formatCode>
                <c:ptCount val="7"/>
                <c:pt idx="0">
                  <c:v>-0.00920226135279742</c:v>
                </c:pt>
                <c:pt idx="1">
                  <c:v>0.0427257373078239</c:v>
                </c:pt>
                <c:pt idx="2">
                  <c:v>0.154628488525286</c:v>
                </c:pt>
                <c:pt idx="3">
                  <c:v>0.151544327510807</c:v>
                </c:pt>
                <c:pt idx="4">
                  <c:v>-0.0165415744148227</c:v>
                </c:pt>
                <c:pt idx="5">
                  <c:v>0.0843146709802846</c:v>
                </c:pt>
                <c:pt idx="6">
                  <c:v>0.0285729347281719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953536"/>
        <c:axId val="1175948256"/>
      </c:lineChart>
      <c:catAx>
        <c:axId val="11759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948256"/>
        <c:crosses val="autoZero"/>
        <c:auto val="1"/>
        <c:lblAlgn val="ctr"/>
        <c:lblOffset val="100"/>
        <c:noMultiLvlLbl val="0"/>
      </c:catAx>
      <c:valAx>
        <c:axId val="11759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95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393700</xdr:colOff>
      <xdr:row>3</xdr:row>
      <xdr:rowOff>133350</xdr:rowOff>
    </xdr:from>
    <xdr:to>
      <xdr:col>16</xdr:col>
      <xdr:colOff>165100</xdr:colOff>
      <xdr:row>23</xdr:row>
      <xdr:rowOff>88900</xdr:rowOff>
    </xdr:to>
    <xdr:graphicFrame>
      <xdr:nvGraphicFramePr>
        <xdr:cNvPr id="4" name="图表 3"/>
        <xdr:cNvGraphicFramePr/>
      </xdr:nvGraphicFramePr>
      <xdr:xfrm>
        <a:off x="8121650" y="773430"/>
        <a:ext cx="4251960" cy="422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31750</xdr:colOff>
      <xdr:row>1</xdr:row>
      <xdr:rowOff>117475</xdr:rowOff>
    </xdr:from>
    <xdr:to>
      <xdr:col>15</xdr:col>
      <xdr:colOff>641350</xdr:colOff>
      <xdr:row>17</xdr:row>
      <xdr:rowOff>15875</xdr:rowOff>
    </xdr:to>
    <xdr:graphicFrame>
      <xdr:nvGraphicFramePr>
        <xdr:cNvPr id="2" name="图表 1"/>
        <xdr:cNvGraphicFramePr/>
      </xdr:nvGraphicFramePr>
      <xdr:xfrm>
        <a:off x="8168005" y="330835"/>
        <a:ext cx="4448810" cy="33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323850</xdr:colOff>
      <xdr:row>0</xdr:row>
      <xdr:rowOff>0</xdr:rowOff>
    </xdr:from>
    <xdr:to>
      <xdr:col>15</xdr:col>
      <xdr:colOff>774700</xdr:colOff>
      <xdr:row>14</xdr:row>
      <xdr:rowOff>133350</xdr:rowOff>
    </xdr:to>
    <xdr:graphicFrame>
      <xdr:nvGraphicFramePr>
        <xdr:cNvPr id="6" name="图表 5"/>
        <xdr:cNvGraphicFramePr/>
      </xdr:nvGraphicFramePr>
      <xdr:xfrm>
        <a:off x="10797540" y="0"/>
        <a:ext cx="5059680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15</xdr:row>
      <xdr:rowOff>31750</xdr:rowOff>
    </xdr:from>
    <xdr:to>
      <xdr:col>15</xdr:col>
      <xdr:colOff>698500</xdr:colOff>
      <xdr:row>34</xdr:row>
      <xdr:rowOff>12700</xdr:rowOff>
    </xdr:to>
    <xdr:graphicFrame>
      <xdr:nvGraphicFramePr>
        <xdr:cNvPr id="7" name="图表 6"/>
        <xdr:cNvGraphicFramePr/>
      </xdr:nvGraphicFramePr>
      <xdr:xfrm>
        <a:off x="10765790" y="3232150"/>
        <a:ext cx="5015230" cy="4034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1010285</xdr:colOff>
      <xdr:row>1</xdr:row>
      <xdr:rowOff>398145</xdr:rowOff>
    </xdr:from>
    <xdr:to>
      <xdr:col>7</xdr:col>
      <xdr:colOff>903605</xdr:colOff>
      <xdr:row>2</xdr:row>
      <xdr:rowOff>182880</xdr:rowOff>
    </xdr:to>
    <xdr:sp>
      <xdr:nvSpPr>
        <xdr:cNvPr id="2" name="矩形: 圆角 1"/>
        <xdr:cNvSpPr/>
      </xdr:nvSpPr>
      <xdr:spPr>
        <a:xfrm>
          <a:off x="5406390" y="1057910"/>
          <a:ext cx="2682875" cy="432435"/>
        </a:xfrm>
        <a:prstGeom prst="round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</a:rPr>
            <a:t>权益净利率</a:t>
          </a:r>
          <a:endParaRPr lang="zh-CN" altLang="en-US" sz="16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1</xdr:col>
      <xdr:colOff>349250</xdr:colOff>
      <xdr:row>6</xdr:row>
      <xdr:rowOff>122555</xdr:rowOff>
    </xdr:from>
    <xdr:to>
      <xdr:col>3</xdr:col>
      <xdr:colOff>1025525</xdr:colOff>
      <xdr:row>8</xdr:row>
      <xdr:rowOff>30480</xdr:rowOff>
    </xdr:to>
    <xdr:sp>
      <xdr:nvSpPr>
        <xdr:cNvPr id="3" name="矩形: 圆角 2"/>
        <xdr:cNvSpPr/>
      </xdr:nvSpPr>
      <xdr:spPr>
        <a:xfrm>
          <a:off x="989330" y="2522220"/>
          <a:ext cx="2353310" cy="334645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</a:rPr>
            <a:t>总资产净利率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3</xdr:col>
      <xdr:colOff>1025525</xdr:colOff>
      <xdr:row>7</xdr:row>
      <xdr:rowOff>24765</xdr:rowOff>
    </xdr:from>
    <xdr:to>
      <xdr:col>9</xdr:col>
      <xdr:colOff>1477645</xdr:colOff>
      <xdr:row>7</xdr:row>
      <xdr:rowOff>76200</xdr:rowOff>
    </xdr:to>
    <xdr:cxnSp>
      <xdr:nvCxnSpPr>
        <xdr:cNvPr id="4" name="直接连接符 3"/>
        <xdr:cNvCxnSpPr>
          <a:stCxn id="3" idx="3"/>
          <a:endCxn id="13" idx="1"/>
        </xdr:cNvCxnSpPr>
      </xdr:nvCxnSpPr>
      <xdr:spPr>
        <a:xfrm flipV="1">
          <a:off x="3342640" y="2637790"/>
          <a:ext cx="8084820" cy="51435"/>
        </a:xfrm>
        <a:prstGeom prst="line">
          <a:avLst/>
        </a:prstGeom>
        <a:ln w="539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1120775</xdr:colOff>
      <xdr:row>2</xdr:row>
      <xdr:rowOff>162560</xdr:rowOff>
    </xdr:from>
    <xdr:to>
      <xdr:col>6</xdr:col>
      <xdr:colOff>1124585</xdr:colOff>
      <xdr:row>7</xdr:row>
      <xdr:rowOff>13970</xdr:rowOff>
    </xdr:to>
    <xdr:cxnSp>
      <xdr:nvCxnSpPr>
        <xdr:cNvPr id="5" name="直接连接符 4"/>
        <xdr:cNvCxnSpPr/>
      </xdr:nvCxnSpPr>
      <xdr:spPr>
        <a:xfrm>
          <a:off x="6712585" y="1470025"/>
          <a:ext cx="3810" cy="1156970"/>
        </a:xfrm>
        <a:prstGeom prst="line">
          <a:avLst/>
        </a:prstGeom>
        <a:ln w="635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307975</xdr:colOff>
      <xdr:row>7</xdr:row>
      <xdr:rowOff>108585</xdr:rowOff>
    </xdr:from>
    <xdr:to>
      <xdr:col>4</xdr:col>
      <xdr:colOff>307975</xdr:colOff>
      <xdr:row>12</xdr:row>
      <xdr:rowOff>83820</xdr:rowOff>
    </xdr:to>
    <xdr:cxnSp>
      <xdr:nvCxnSpPr>
        <xdr:cNvPr id="6" name="直接连接符 5"/>
        <xdr:cNvCxnSpPr/>
      </xdr:nvCxnSpPr>
      <xdr:spPr>
        <a:xfrm>
          <a:off x="4064000" y="2721610"/>
          <a:ext cx="0" cy="1593215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7</xdr:row>
      <xdr:rowOff>168275</xdr:rowOff>
    </xdr:from>
    <xdr:to>
      <xdr:col>10</xdr:col>
      <xdr:colOff>309245</xdr:colOff>
      <xdr:row>12</xdr:row>
      <xdr:rowOff>134620</xdr:rowOff>
    </xdr:to>
    <xdr:cxnSp>
      <xdr:nvCxnSpPr>
        <xdr:cNvPr id="7" name="直接连接符 6"/>
        <xdr:cNvCxnSpPr/>
      </xdr:nvCxnSpPr>
      <xdr:spPr>
        <a:xfrm>
          <a:off x="11821795" y="2781300"/>
          <a:ext cx="13970" cy="1584325"/>
        </a:xfrm>
        <a:prstGeom prst="line">
          <a:avLst/>
        </a:prstGeom>
        <a:ln w="508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608965</xdr:colOff>
      <xdr:row>12</xdr:row>
      <xdr:rowOff>109220</xdr:rowOff>
    </xdr:from>
    <xdr:to>
      <xdr:col>5</xdr:col>
      <xdr:colOff>641350</xdr:colOff>
      <xdr:row>12</xdr:row>
      <xdr:rowOff>117475</xdr:rowOff>
    </xdr:to>
    <xdr:cxnSp>
      <xdr:nvCxnSpPr>
        <xdr:cNvPr id="8" name="直接连接符 7"/>
        <xdr:cNvCxnSpPr/>
      </xdr:nvCxnSpPr>
      <xdr:spPr>
        <a:xfrm>
          <a:off x="2286000" y="4340225"/>
          <a:ext cx="2751455" cy="8255"/>
        </a:xfrm>
        <a:prstGeom prst="line">
          <a:avLst/>
        </a:prstGeom>
        <a:ln w="4762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38735</xdr:colOff>
      <xdr:row>12</xdr:row>
      <xdr:rowOff>80010</xdr:rowOff>
    </xdr:from>
    <xdr:to>
      <xdr:col>11</xdr:col>
      <xdr:colOff>13970</xdr:colOff>
      <xdr:row>12</xdr:row>
      <xdr:rowOff>104140</xdr:rowOff>
    </xdr:to>
    <xdr:cxnSp>
      <xdr:nvCxnSpPr>
        <xdr:cNvPr id="9" name="直接连接符 8"/>
        <xdr:cNvCxnSpPr>
          <a:stCxn id="42" idx="3"/>
          <a:endCxn id="43" idx="1"/>
        </xdr:cNvCxnSpPr>
      </xdr:nvCxnSpPr>
      <xdr:spPr>
        <a:xfrm flipV="1">
          <a:off x="11565255" y="4311015"/>
          <a:ext cx="833755" cy="24130"/>
        </a:xfrm>
        <a:prstGeom prst="line">
          <a:avLst/>
        </a:prstGeom>
        <a:ln w="539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106749</xdr:colOff>
      <xdr:row>17</xdr:row>
      <xdr:rowOff>121920</xdr:rowOff>
    </xdr:from>
    <xdr:to>
      <xdr:col>2</xdr:col>
      <xdr:colOff>525780</xdr:colOff>
      <xdr:row>17</xdr:row>
      <xdr:rowOff>121933</xdr:rowOff>
    </xdr:to>
    <xdr:cxnSp>
      <xdr:nvCxnSpPr>
        <xdr:cNvPr id="10" name="直接连接符 9"/>
        <xdr:cNvCxnSpPr/>
      </xdr:nvCxnSpPr>
      <xdr:spPr>
        <a:xfrm>
          <a:off x="1783715" y="5970905"/>
          <a:ext cx="419100" cy="0"/>
        </a:xfrm>
        <a:prstGeom prst="line">
          <a:avLst/>
        </a:prstGeom>
        <a:ln w="508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375920</xdr:colOff>
      <xdr:row>17</xdr:row>
      <xdr:rowOff>131445</xdr:rowOff>
    </xdr:from>
    <xdr:to>
      <xdr:col>7</xdr:col>
      <xdr:colOff>15875</xdr:colOff>
      <xdr:row>17</xdr:row>
      <xdr:rowOff>131445</xdr:rowOff>
    </xdr:to>
    <xdr:cxnSp>
      <xdr:nvCxnSpPr>
        <xdr:cNvPr id="11" name="直接连接符 10"/>
        <xdr:cNvCxnSpPr>
          <a:endCxn id="18" idx="1"/>
        </xdr:cNvCxnSpPr>
      </xdr:nvCxnSpPr>
      <xdr:spPr>
        <a:xfrm>
          <a:off x="5967730" y="5980430"/>
          <a:ext cx="1233805" cy="0"/>
        </a:xfrm>
        <a:prstGeom prst="line">
          <a:avLst/>
        </a:prstGeom>
        <a:ln w="508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1477645</xdr:colOff>
      <xdr:row>6</xdr:row>
      <xdr:rowOff>75565</xdr:rowOff>
    </xdr:from>
    <xdr:to>
      <xdr:col>15</xdr:col>
      <xdr:colOff>617855</xdr:colOff>
      <xdr:row>7</xdr:row>
      <xdr:rowOff>183515</xdr:rowOff>
    </xdr:to>
    <xdr:sp>
      <xdr:nvSpPr>
        <xdr:cNvPr id="13" name="矩形: 圆角 59"/>
        <xdr:cNvSpPr/>
      </xdr:nvSpPr>
      <xdr:spPr>
        <a:xfrm>
          <a:off x="11427460" y="2475230"/>
          <a:ext cx="5637530" cy="321310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t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</a:rPr>
            <a:t>权益乘数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  <xdr:twoCellAnchor>
    <xdr:from>
      <xdr:col>0</xdr:col>
      <xdr:colOff>585470</xdr:colOff>
      <xdr:row>11</xdr:row>
      <xdr:rowOff>83820</xdr:rowOff>
    </xdr:from>
    <xdr:to>
      <xdr:col>2</xdr:col>
      <xdr:colOff>531495</xdr:colOff>
      <xdr:row>13</xdr:row>
      <xdr:rowOff>111760</xdr:rowOff>
    </xdr:to>
    <xdr:sp>
      <xdr:nvSpPr>
        <xdr:cNvPr id="14" name="矩形: 圆角 68"/>
        <xdr:cNvSpPr/>
      </xdr:nvSpPr>
      <xdr:spPr>
        <a:xfrm>
          <a:off x="585470" y="4101465"/>
          <a:ext cx="1623060" cy="45466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销售</a:t>
          </a:r>
          <a:r>
            <a:rPr lang="en-US" altLang="zh-CN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/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营业净利率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0</xdr:col>
      <xdr:colOff>563880</xdr:colOff>
      <xdr:row>16</xdr:row>
      <xdr:rowOff>129540</xdr:rowOff>
    </xdr:from>
    <xdr:to>
      <xdr:col>2</xdr:col>
      <xdr:colOff>83820</xdr:colOff>
      <xdr:row>17</xdr:row>
      <xdr:rowOff>302895</xdr:rowOff>
    </xdr:to>
    <xdr:sp>
      <xdr:nvSpPr>
        <xdr:cNvPr id="15" name="矩形: 圆角 70"/>
        <xdr:cNvSpPr/>
      </xdr:nvSpPr>
      <xdr:spPr>
        <a:xfrm>
          <a:off x="563880" y="5765165"/>
          <a:ext cx="1196975" cy="38671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经营利润率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2</xdr:col>
      <xdr:colOff>563880</xdr:colOff>
      <xdr:row>16</xdr:row>
      <xdr:rowOff>144780</xdr:rowOff>
    </xdr:from>
    <xdr:to>
      <xdr:col>4</xdr:col>
      <xdr:colOff>75565</xdr:colOff>
      <xdr:row>17</xdr:row>
      <xdr:rowOff>335915</xdr:rowOff>
    </xdr:to>
    <xdr:sp>
      <xdr:nvSpPr>
        <xdr:cNvPr id="16" name="矩形: 圆角 71"/>
        <xdr:cNvSpPr/>
      </xdr:nvSpPr>
      <xdr:spPr>
        <a:xfrm>
          <a:off x="2240915" y="5780405"/>
          <a:ext cx="1590675" cy="404495"/>
        </a:xfrm>
        <a:prstGeom prst="roundRect">
          <a:avLst>
            <a:gd name="adj" fmla="val 8975"/>
          </a:avLst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考虑税负因素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4</xdr:col>
      <xdr:colOff>601345</xdr:colOff>
      <xdr:row>16</xdr:row>
      <xdr:rowOff>129540</xdr:rowOff>
    </xdr:from>
    <xdr:to>
      <xdr:col>6</xdr:col>
      <xdr:colOff>60325</xdr:colOff>
      <xdr:row>17</xdr:row>
      <xdr:rowOff>327025</xdr:rowOff>
    </xdr:to>
    <xdr:sp>
      <xdr:nvSpPr>
        <xdr:cNvPr id="17" name="矩形: 圆角 72"/>
        <xdr:cNvSpPr/>
      </xdr:nvSpPr>
      <xdr:spPr>
        <a:xfrm>
          <a:off x="4357370" y="5765165"/>
          <a:ext cx="1294765" cy="41084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考虑利息负担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7</xdr:col>
      <xdr:colOff>16510</xdr:colOff>
      <xdr:row>16</xdr:row>
      <xdr:rowOff>140970</xdr:rowOff>
    </xdr:from>
    <xdr:to>
      <xdr:col>8</xdr:col>
      <xdr:colOff>32385</xdr:colOff>
      <xdr:row>17</xdr:row>
      <xdr:rowOff>331470</xdr:rowOff>
    </xdr:to>
    <xdr:sp>
      <xdr:nvSpPr>
        <xdr:cNvPr id="18" name="矩形: 圆角 73"/>
        <xdr:cNvSpPr/>
      </xdr:nvSpPr>
      <xdr:spPr>
        <a:xfrm>
          <a:off x="7202170" y="5776595"/>
          <a:ext cx="1497330" cy="40386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归母净利润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8</xdr:col>
      <xdr:colOff>90170</xdr:colOff>
      <xdr:row>16</xdr:row>
      <xdr:rowOff>143510</xdr:rowOff>
    </xdr:from>
    <xdr:to>
      <xdr:col>8</xdr:col>
      <xdr:colOff>577850</xdr:colOff>
      <xdr:row>17</xdr:row>
      <xdr:rowOff>151130</xdr:rowOff>
    </xdr:to>
    <xdr:sp>
      <xdr:nvSpPr>
        <xdr:cNvPr id="35" name="除号 34"/>
        <xdr:cNvSpPr/>
      </xdr:nvSpPr>
      <xdr:spPr>
        <a:xfrm>
          <a:off x="8757285" y="5779135"/>
          <a:ext cx="487680" cy="220980"/>
        </a:xfrm>
        <a:prstGeom prst="mathDivid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144145</xdr:colOff>
      <xdr:row>12</xdr:row>
      <xdr:rowOff>129540</xdr:rowOff>
    </xdr:from>
    <xdr:to>
      <xdr:col>4</xdr:col>
      <xdr:colOff>463550</xdr:colOff>
      <xdr:row>14</xdr:row>
      <xdr:rowOff>16510</xdr:rowOff>
    </xdr:to>
    <xdr:sp>
      <xdr:nvSpPr>
        <xdr:cNvPr id="37" name="乘号 36"/>
        <xdr:cNvSpPr/>
      </xdr:nvSpPr>
      <xdr:spPr>
        <a:xfrm>
          <a:off x="3900170" y="4360545"/>
          <a:ext cx="319405" cy="595630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262255</xdr:colOff>
      <xdr:row>6</xdr:row>
      <xdr:rowOff>207010</xdr:rowOff>
    </xdr:from>
    <xdr:to>
      <xdr:col>5</xdr:col>
      <xdr:colOff>586740</xdr:colOff>
      <xdr:row>8</xdr:row>
      <xdr:rowOff>103505</xdr:rowOff>
    </xdr:to>
    <xdr:sp>
      <xdr:nvSpPr>
        <xdr:cNvPr id="38" name="乘号 37"/>
        <xdr:cNvSpPr/>
      </xdr:nvSpPr>
      <xdr:spPr>
        <a:xfrm>
          <a:off x="4658360" y="2606675"/>
          <a:ext cx="324485" cy="323215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236220</xdr:colOff>
      <xdr:row>8</xdr:row>
      <xdr:rowOff>177165</xdr:rowOff>
    </xdr:from>
    <xdr:ext cx="309880" cy="310515"/>
    <xdr:sp>
      <xdr:nvSpPr>
        <xdr:cNvPr id="40" name="文本框 39"/>
        <xdr:cNvSpPr txBox="1"/>
      </xdr:nvSpPr>
      <xdr:spPr>
        <a:xfrm>
          <a:off x="7421880" y="3003550"/>
          <a:ext cx="309880" cy="3105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twoCellAnchor>
    <xdr:from>
      <xdr:col>5</xdr:col>
      <xdr:colOff>848995</xdr:colOff>
      <xdr:row>6</xdr:row>
      <xdr:rowOff>76200</xdr:rowOff>
    </xdr:from>
    <xdr:to>
      <xdr:col>7</xdr:col>
      <xdr:colOff>969010</xdr:colOff>
      <xdr:row>7</xdr:row>
      <xdr:rowOff>189865</xdr:rowOff>
    </xdr:to>
    <xdr:sp>
      <xdr:nvSpPr>
        <xdr:cNvPr id="41" name="矩形: 圆角 68"/>
        <xdr:cNvSpPr/>
      </xdr:nvSpPr>
      <xdr:spPr>
        <a:xfrm>
          <a:off x="5245100" y="2475865"/>
          <a:ext cx="2909570" cy="32702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微软雅黑" panose="020B0503020204020204" charset="-122"/>
            </a:rPr>
            <a:t>总资产周转率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193675</xdr:colOff>
      <xdr:row>11</xdr:row>
      <xdr:rowOff>119380</xdr:rowOff>
    </xdr:from>
    <xdr:to>
      <xdr:col>10</xdr:col>
      <xdr:colOff>38735</xdr:colOff>
      <xdr:row>13</xdr:row>
      <xdr:rowOff>88900</xdr:rowOff>
    </xdr:to>
    <xdr:sp>
      <xdr:nvSpPr>
        <xdr:cNvPr id="42" name="矩形: 圆角 68"/>
        <xdr:cNvSpPr/>
      </xdr:nvSpPr>
      <xdr:spPr>
        <a:xfrm>
          <a:off x="8860790" y="4137025"/>
          <a:ext cx="2704465" cy="39624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微软雅黑" panose="020B0503020204020204" charset="-122"/>
            </a:rPr>
            <a:t>平均总资产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11</xdr:col>
      <xdr:colOff>13970</xdr:colOff>
      <xdr:row>11</xdr:row>
      <xdr:rowOff>79375</xdr:rowOff>
    </xdr:from>
    <xdr:to>
      <xdr:col>13</xdr:col>
      <xdr:colOff>194945</xdr:colOff>
      <xdr:row>13</xdr:row>
      <xdr:rowOff>80645</xdr:rowOff>
    </xdr:to>
    <xdr:sp>
      <xdr:nvSpPr>
        <xdr:cNvPr id="43" name="矩形: 圆角 68"/>
        <xdr:cNvSpPr/>
      </xdr:nvSpPr>
      <xdr:spPr>
        <a:xfrm>
          <a:off x="12399010" y="4097020"/>
          <a:ext cx="2143760" cy="42799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微软雅黑" panose="020B0503020204020204" charset="-122"/>
            </a:rPr>
            <a:t>归属母公司股东的利益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6</xdr:col>
      <xdr:colOff>368300</xdr:colOff>
      <xdr:row>13</xdr:row>
      <xdr:rowOff>33020</xdr:rowOff>
    </xdr:from>
    <xdr:to>
      <xdr:col>6</xdr:col>
      <xdr:colOff>368300</xdr:colOff>
      <xdr:row>17</xdr:row>
      <xdr:rowOff>158115</xdr:rowOff>
    </xdr:to>
    <xdr:cxnSp>
      <xdr:nvCxnSpPr>
        <xdr:cNvPr id="44" name="直接连接符 43"/>
        <xdr:cNvCxnSpPr/>
      </xdr:nvCxnSpPr>
      <xdr:spPr>
        <a:xfrm>
          <a:off x="5960110" y="4477385"/>
          <a:ext cx="0" cy="1529715"/>
        </a:xfrm>
        <a:prstGeom prst="line">
          <a:avLst/>
        </a:prstGeom>
        <a:ln w="666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227330</xdr:colOff>
      <xdr:row>13</xdr:row>
      <xdr:rowOff>71120</xdr:rowOff>
    </xdr:from>
    <xdr:to>
      <xdr:col>2</xdr:col>
      <xdr:colOff>234950</xdr:colOff>
      <xdr:row>17</xdr:row>
      <xdr:rowOff>120650</xdr:rowOff>
    </xdr:to>
    <xdr:cxnSp>
      <xdr:nvCxnSpPr>
        <xdr:cNvPr id="45" name="直接连接符 44"/>
        <xdr:cNvCxnSpPr/>
      </xdr:nvCxnSpPr>
      <xdr:spPr>
        <a:xfrm>
          <a:off x="1904365" y="4515485"/>
          <a:ext cx="7620" cy="1454150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622935</xdr:colOff>
      <xdr:row>6</xdr:row>
      <xdr:rowOff>156210</xdr:rowOff>
    </xdr:from>
    <xdr:to>
      <xdr:col>9</xdr:col>
      <xdr:colOff>307340</xdr:colOff>
      <xdr:row>8</xdr:row>
      <xdr:rowOff>52705</xdr:rowOff>
    </xdr:to>
    <xdr:sp>
      <xdr:nvSpPr>
        <xdr:cNvPr id="47" name="乘号 46"/>
        <xdr:cNvSpPr/>
      </xdr:nvSpPr>
      <xdr:spPr>
        <a:xfrm>
          <a:off x="9290050" y="2555875"/>
          <a:ext cx="967105" cy="323215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617855</xdr:colOff>
      <xdr:row>11</xdr:row>
      <xdr:rowOff>52070</xdr:rowOff>
    </xdr:from>
    <xdr:to>
      <xdr:col>7</xdr:col>
      <xdr:colOff>567055</xdr:colOff>
      <xdr:row>13</xdr:row>
      <xdr:rowOff>86995</xdr:rowOff>
    </xdr:to>
    <xdr:sp>
      <xdr:nvSpPr>
        <xdr:cNvPr id="48" name="矩形: 圆角 68"/>
        <xdr:cNvSpPr/>
      </xdr:nvSpPr>
      <xdr:spPr>
        <a:xfrm>
          <a:off x="5013960" y="4069715"/>
          <a:ext cx="2738755" cy="46164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归属母公司股东净利润占比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4</xdr:col>
      <xdr:colOff>60960</xdr:colOff>
      <xdr:row>17</xdr:row>
      <xdr:rowOff>170815</xdr:rowOff>
    </xdr:from>
    <xdr:to>
      <xdr:col>4</xdr:col>
      <xdr:colOff>584200</xdr:colOff>
      <xdr:row>17</xdr:row>
      <xdr:rowOff>170815</xdr:rowOff>
    </xdr:to>
    <xdr:cxnSp>
      <xdr:nvCxnSpPr>
        <xdr:cNvPr id="49" name="直接连接符 48"/>
        <xdr:cNvCxnSpPr/>
      </xdr:nvCxnSpPr>
      <xdr:spPr>
        <a:xfrm>
          <a:off x="3816985" y="6019800"/>
          <a:ext cx="523240" cy="0"/>
        </a:xfrm>
        <a:prstGeom prst="line">
          <a:avLst/>
        </a:prstGeom>
        <a:ln w="539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174625</xdr:colOff>
      <xdr:row>17</xdr:row>
      <xdr:rowOff>90170</xdr:rowOff>
    </xdr:from>
    <xdr:to>
      <xdr:col>2</xdr:col>
      <xdr:colOff>494030</xdr:colOff>
      <xdr:row>18</xdr:row>
      <xdr:rowOff>317500</xdr:rowOff>
    </xdr:to>
    <xdr:sp>
      <xdr:nvSpPr>
        <xdr:cNvPr id="51" name="乘号 50"/>
        <xdr:cNvSpPr/>
      </xdr:nvSpPr>
      <xdr:spPr>
        <a:xfrm>
          <a:off x="1851660" y="5939155"/>
          <a:ext cx="319405" cy="659130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157480</xdr:colOff>
      <xdr:row>17</xdr:row>
      <xdr:rowOff>120650</xdr:rowOff>
    </xdr:from>
    <xdr:to>
      <xdr:col>4</xdr:col>
      <xdr:colOff>476885</xdr:colOff>
      <xdr:row>18</xdr:row>
      <xdr:rowOff>347980</xdr:rowOff>
    </xdr:to>
    <xdr:sp>
      <xdr:nvSpPr>
        <xdr:cNvPr id="52" name="乘号 51"/>
        <xdr:cNvSpPr/>
      </xdr:nvSpPr>
      <xdr:spPr>
        <a:xfrm>
          <a:off x="3913505" y="5969635"/>
          <a:ext cx="319405" cy="659130"/>
        </a:xfrm>
        <a:prstGeom prst="mathMultiply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38735</xdr:colOff>
      <xdr:row>17</xdr:row>
      <xdr:rowOff>138430</xdr:rowOff>
    </xdr:from>
    <xdr:to>
      <xdr:col>9</xdr:col>
      <xdr:colOff>0</xdr:colOff>
      <xdr:row>17</xdr:row>
      <xdr:rowOff>149225</xdr:rowOff>
    </xdr:to>
    <xdr:cxnSp>
      <xdr:nvCxnSpPr>
        <xdr:cNvPr id="53" name="直接连接符 52"/>
        <xdr:cNvCxnSpPr>
          <a:endCxn id="54" idx="1"/>
        </xdr:cNvCxnSpPr>
      </xdr:nvCxnSpPr>
      <xdr:spPr>
        <a:xfrm>
          <a:off x="8705850" y="5987415"/>
          <a:ext cx="1243965" cy="10795"/>
        </a:xfrm>
        <a:prstGeom prst="line">
          <a:avLst/>
        </a:prstGeom>
        <a:ln w="508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166370</xdr:rowOff>
    </xdr:from>
    <xdr:to>
      <xdr:col>9</xdr:col>
      <xdr:colOff>1497330</xdr:colOff>
      <xdr:row>17</xdr:row>
      <xdr:rowOff>341630</xdr:rowOff>
    </xdr:to>
    <xdr:sp>
      <xdr:nvSpPr>
        <xdr:cNvPr id="54" name="矩形: 圆角 73"/>
        <xdr:cNvSpPr/>
      </xdr:nvSpPr>
      <xdr:spPr>
        <a:xfrm>
          <a:off x="9949815" y="5801995"/>
          <a:ext cx="1497330" cy="38862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净利润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0</xdr:col>
      <xdr:colOff>602615</xdr:colOff>
      <xdr:row>17</xdr:row>
      <xdr:rowOff>300990</xdr:rowOff>
    </xdr:from>
    <xdr:to>
      <xdr:col>0</xdr:col>
      <xdr:colOff>602615</xdr:colOff>
      <xdr:row>23</xdr:row>
      <xdr:rowOff>80645</xdr:rowOff>
    </xdr:to>
    <xdr:cxnSp>
      <xdr:nvCxnSpPr>
        <xdr:cNvPr id="55" name="直接连接符 54"/>
        <xdr:cNvCxnSpPr/>
      </xdr:nvCxnSpPr>
      <xdr:spPr>
        <a:xfrm>
          <a:off x="602615" y="6149975"/>
          <a:ext cx="0" cy="1649095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259080</xdr:colOff>
      <xdr:row>23</xdr:row>
      <xdr:rowOff>74930</xdr:rowOff>
    </xdr:from>
    <xdr:to>
      <xdr:col>1</xdr:col>
      <xdr:colOff>815975</xdr:colOff>
      <xdr:row>25</xdr:row>
      <xdr:rowOff>34925</xdr:rowOff>
    </xdr:to>
    <xdr:sp>
      <xdr:nvSpPr>
        <xdr:cNvPr id="56" name="矩形: 圆角 70"/>
        <xdr:cNvSpPr/>
      </xdr:nvSpPr>
      <xdr:spPr>
        <a:xfrm>
          <a:off x="259080" y="7793355"/>
          <a:ext cx="1196975" cy="68135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EBIT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2</xdr:col>
      <xdr:colOff>586740</xdr:colOff>
      <xdr:row>17</xdr:row>
      <xdr:rowOff>363220</xdr:rowOff>
    </xdr:from>
    <xdr:to>
      <xdr:col>2</xdr:col>
      <xdr:colOff>586740</xdr:colOff>
      <xdr:row>23</xdr:row>
      <xdr:rowOff>124460</xdr:rowOff>
    </xdr:to>
    <xdr:cxnSp>
      <xdr:nvCxnSpPr>
        <xdr:cNvPr id="57" name="直接连接符 56"/>
        <xdr:cNvCxnSpPr/>
      </xdr:nvCxnSpPr>
      <xdr:spPr>
        <a:xfrm>
          <a:off x="2263775" y="6212205"/>
          <a:ext cx="0" cy="1630680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321945</xdr:colOff>
      <xdr:row>23</xdr:row>
      <xdr:rowOff>55880</xdr:rowOff>
    </xdr:from>
    <xdr:to>
      <xdr:col>3</xdr:col>
      <xdr:colOff>878840</xdr:colOff>
      <xdr:row>25</xdr:row>
      <xdr:rowOff>15875</xdr:rowOff>
    </xdr:to>
    <xdr:sp>
      <xdr:nvSpPr>
        <xdr:cNvPr id="59" name="矩形: 圆角 70"/>
        <xdr:cNvSpPr/>
      </xdr:nvSpPr>
      <xdr:spPr>
        <a:xfrm>
          <a:off x="1998980" y="7774305"/>
          <a:ext cx="1196975" cy="68135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净利润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4</xdr:col>
      <xdr:colOff>545465</xdr:colOff>
      <xdr:row>23</xdr:row>
      <xdr:rowOff>86360</xdr:rowOff>
    </xdr:from>
    <xdr:to>
      <xdr:col>5</xdr:col>
      <xdr:colOff>1102360</xdr:colOff>
      <xdr:row>25</xdr:row>
      <xdr:rowOff>46355</xdr:rowOff>
    </xdr:to>
    <xdr:sp>
      <xdr:nvSpPr>
        <xdr:cNvPr id="60" name="矩形: 圆角 70"/>
        <xdr:cNvSpPr/>
      </xdr:nvSpPr>
      <xdr:spPr>
        <a:xfrm>
          <a:off x="4301490" y="7804785"/>
          <a:ext cx="1196975" cy="68135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利润总额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4</xdr:col>
      <xdr:colOff>602615</xdr:colOff>
      <xdr:row>17</xdr:row>
      <xdr:rowOff>329565</xdr:rowOff>
    </xdr:from>
    <xdr:to>
      <xdr:col>4</xdr:col>
      <xdr:colOff>602615</xdr:colOff>
      <xdr:row>23</xdr:row>
      <xdr:rowOff>90805</xdr:rowOff>
    </xdr:to>
    <xdr:cxnSp>
      <xdr:nvCxnSpPr>
        <xdr:cNvPr id="61" name="直接连接符 60"/>
        <xdr:cNvCxnSpPr/>
      </xdr:nvCxnSpPr>
      <xdr:spPr>
        <a:xfrm>
          <a:off x="4358640" y="6178550"/>
          <a:ext cx="0" cy="1630680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25</xdr:row>
      <xdr:rowOff>44450</xdr:rowOff>
    </xdr:from>
    <xdr:to>
      <xdr:col>0</xdr:col>
      <xdr:colOff>586740</xdr:colOff>
      <xdr:row>31</xdr:row>
      <xdr:rowOff>85725</xdr:rowOff>
    </xdr:to>
    <xdr:cxnSp>
      <xdr:nvCxnSpPr>
        <xdr:cNvPr id="63" name="直接连接符 62"/>
        <xdr:cNvCxnSpPr/>
      </xdr:nvCxnSpPr>
      <xdr:spPr>
        <a:xfrm>
          <a:off x="586740" y="8484235"/>
          <a:ext cx="0" cy="1577975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458470</xdr:colOff>
      <xdr:row>25</xdr:row>
      <xdr:rowOff>28575</xdr:rowOff>
    </xdr:from>
    <xdr:to>
      <xdr:col>2</xdr:col>
      <xdr:colOff>458470</xdr:colOff>
      <xdr:row>31</xdr:row>
      <xdr:rowOff>95885</xdr:rowOff>
    </xdr:to>
    <xdr:cxnSp>
      <xdr:nvCxnSpPr>
        <xdr:cNvPr id="64" name="直接连接符 63"/>
        <xdr:cNvCxnSpPr/>
      </xdr:nvCxnSpPr>
      <xdr:spPr>
        <a:xfrm>
          <a:off x="2135505" y="8468360"/>
          <a:ext cx="0" cy="1604010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568960</xdr:colOff>
      <xdr:row>25</xdr:row>
      <xdr:rowOff>30480</xdr:rowOff>
    </xdr:from>
    <xdr:to>
      <xdr:col>4</xdr:col>
      <xdr:colOff>568960</xdr:colOff>
      <xdr:row>31</xdr:row>
      <xdr:rowOff>142875</xdr:rowOff>
    </xdr:to>
    <xdr:cxnSp>
      <xdr:nvCxnSpPr>
        <xdr:cNvPr id="65" name="直接连接符 64"/>
        <xdr:cNvCxnSpPr/>
      </xdr:nvCxnSpPr>
      <xdr:spPr>
        <a:xfrm>
          <a:off x="4324985" y="8470265"/>
          <a:ext cx="0" cy="1649095"/>
        </a:xfrm>
        <a:prstGeom prst="line">
          <a:avLst/>
        </a:prstGeom>
        <a:ln w="698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273685</xdr:colOff>
      <xdr:row>31</xdr:row>
      <xdr:rowOff>104775</xdr:rowOff>
    </xdr:from>
    <xdr:to>
      <xdr:col>1</xdr:col>
      <xdr:colOff>830580</xdr:colOff>
      <xdr:row>33</xdr:row>
      <xdr:rowOff>64770</xdr:rowOff>
    </xdr:to>
    <xdr:sp>
      <xdr:nvSpPr>
        <xdr:cNvPr id="66" name="矩形: 圆角 70"/>
        <xdr:cNvSpPr/>
      </xdr:nvSpPr>
      <xdr:spPr>
        <a:xfrm>
          <a:off x="273685" y="10081260"/>
          <a:ext cx="1196975" cy="38671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微软雅黑" panose="020B0503020204020204" charset="-122"/>
              <a:sym typeface="+mn-ea"/>
            </a:rPr>
            <a:t>营业总收入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微软雅黑" panose="020B0503020204020204" charset="-122"/>
          </a:endParaRPr>
        </a:p>
        <a:p>
          <a:pPr algn="ctr">
            <a:buClrTx/>
            <a:buSzTx/>
            <a:buFontTx/>
          </a:pP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2</xdr:col>
      <xdr:colOff>255905</xdr:colOff>
      <xdr:row>31</xdr:row>
      <xdr:rowOff>114300</xdr:rowOff>
    </xdr:from>
    <xdr:to>
      <xdr:col>3</xdr:col>
      <xdr:colOff>812800</xdr:colOff>
      <xdr:row>33</xdr:row>
      <xdr:rowOff>74295</xdr:rowOff>
    </xdr:to>
    <xdr:sp>
      <xdr:nvSpPr>
        <xdr:cNvPr id="67" name="矩形: 圆角 70"/>
        <xdr:cNvSpPr/>
      </xdr:nvSpPr>
      <xdr:spPr>
        <a:xfrm>
          <a:off x="1932940" y="10090785"/>
          <a:ext cx="1196975" cy="38671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利润总额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algn="ctr">
            <a:buClrTx/>
            <a:buSzTx/>
            <a:buFontTx/>
          </a:pP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4</xdr:col>
      <xdr:colOff>382905</xdr:colOff>
      <xdr:row>31</xdr:row>
      <xdr:rowOff>172085</xdr:rowOff>
    </xdr:from>
    <xdr:to>
      <xdr:col>5</xdr:col>
      <xdr:colOff>939800</xdr:colOff>
      <xdr:row>33</xdr:row>
      <xdr:rowOff>132080</xdr:rowOff>
    </xdr:to>
    <xdr:sp>
      <xdr:nvSpPr>
        <xdr:cNvPr id="68" name="矩形: 圆角 70"/>
        <xdr:cNvSpPr/>
      </xdr:nvSpPr>
      <xdr:spPr>
        <a:xfrm>
          <a:off x="4138930" y="10148570"/>
          <a:ext cx="1196975" cy="38671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EBIT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10</xdr:col>
      <xdr:colOff>222250</xdr:colOff>
      <xdr:row>12</xdr:row>
      <xdr:rowOff>127635</xdr:rowOff>
    </xdr:from>
    <xdr:to>
      <xdr:col>10</xdr:col>
      <xdr:colOff>222250</xdr:colOff>
      <xdr:row>17</xdr:row>
      <xdr:rowOff>39370</xdr:rowOff>
    </xdr:to>
    <xdr:cxnSp>
      <xdr:nvCxnSpPr>
        <xdr:cNvPr id="69" name="直接连接符 68"/>
        <xdr:cNvCxnSpPr/>
      </xdr:nvCxnSpPr>
      <xdr:spPr>
        <a:xfrm>
          <a:off x="11748770" y="4358640"/>
          <a:ext cx="0" cy="1529715"/>
        </a:xfrm>
        <a:prstGeom prst="line">
          <a:avLst/>
        </a:prstGeom>
        <a:ln w="666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204470</xdr:colOff>
      <xdr:row>16</xdr:row>
      <xdr:rowOff>213995</xdr:rowOff>
    </xdr:from>
    <xdr:to>
      <xdr:col>11</xdr:col>
      <xdr:colOff>761365</xdr:colOff>
      <xdr:row>17</xdr:row>
      <xdr:rowOff>387350</xdr:rowOff>
    </xdr:to>
    <xdr:sp>
      <xdr:nvSpPr>
        <xdr:cNvPr id="70" name="矩形: 圆角 70"/>
        <xdr:cNvSpPr/>
      </xdr:nvSpPr>
      <xdr:spPr>
        <a:xfrm>
          <a:off x="11730990" y="5848985"/>
          <a:ext cx="1415415" cy="38735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期末总资产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13</xdr:col>
      <xdr:colOff>156210</xdr:colOff>
      <xdr:row>12</xdr:row>
      <xdr:rowOff>185420</xdr:rowOff>
    </xdr:from>
    <xdr:to>
      <xdr:col>13</xdr:col>
      <xdr:colOff>156210</xdr:colOff>
      <xdr:row>17</xdr:row>
      <xdr:rowOff>97155</xdr:rowOff>
    </xdr:to>
    <xdr:cxnSp>
      <xdr:nvCxnSpPr>
        <xdr:cNvPr id="71" name="直接连接符 70"/>
        <xdr:cNvCxnSpPr/>
      </xdr:nvCxnSpPr>
      <xdr:spPr>
        <a:xfrm>
          <a:off x="14504035" y="4416425"/>
          <a:ext cx="0" cy="1529715"/>
        </a:xfrm>
        <a:prstGeom prst="line">
          <a:avLst/>
        </a:prstGeom>
        <a:ln w="666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</xdr:colOff>
      <xdr:row>16</xdr:row>
      <xdr:rowOff>140970</xdr:rowOff>
    </xdr:from>
    <xdr:to>
      <xdr:col>15</xdr:col>
      <xdr:colOff>294640</xdr:colOff>
      <xdr:row>18</xdr:row>
      <xdr:rowOff>1270</xdr:rowOff>
    </xdr:to>
    <xdr:sp>
      <xdr:nvSpPr>
        <xdr:cNvPr id="72" name="矩形: 圆角 70"/>
        <xdr:cNvSpPr/>
      </xdr:nvSpPr>
      <xdr:spPr>
        <a:xfrm>
          <a:off x="14354810" y="5776595"/>
          <a:ext cx="2386965" cy="50546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期末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归属母公司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股东的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利益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10</xdr:col>
      <xdr:colOff>250190</xdr:colOff>
      <xdr:row>21</xdr:row>
      <xdr:rowOff>124460</xdr:rowOff>
    </xdr:from>
    <xdr:to>
      <xdr:col>11</xdr:col>
      <xdr:colOff>807085</xdr:colOff>
      <xdr:row>23</xdr:row>
      <xdr:rowOff>85090</xdr:rowOff>
    </xdr:to>
    <xdr:sp>
      <xdr:nvSpPr>
        <xdr:cNvPr id="73" name="矩形: 圆角 70"/>
        <xdr:cNvSpPr/>
      </xdr:nvSpPr>
      <xdr:spPr>
        <a:xfrm>
          <a:off x="11776710" y="7416165"/>
          <a:ext cx="1415415" cy="38735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期初总资产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13</xdr:col>
      <xdr:colOff>22225</xdr:colOff>
      <xdr:row>21</xdr:row>
      <xdr:rowOff>132715</xdr:rowOff>
    </xdr:from>
    <xdr:to>
      <xdr:col>15</xdr:col>
      <xdr:colOff>451485</xdr:colOff>
      <xdr:row>23</xdr:row>
      <xdr:rowOff>93980</xdr:rowOff>
    </xdr:to>
    <xdr:sp>
      <xdr:nvSpPr>
        <xdr:cNvPr id="74" name="矩形: 圆角 70"/>
        <xdr:cNvSpPr/>
      </xdr:nvSpPr>
      <xdr:spPr>
        <a:xfrm>
          <a:off x="14370050" y="7424420"/>
          <a:ext cx="2528570" cy="38798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t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期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初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归属母公司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股东的</a:t>
          </a:r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利益</a:t>
          </a: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algn="ctr">
            <a:buClrTx/>
            <a:buSzTx/>
            <a:buFontTx/>
          </a:pPr>
          <a:endParaRPr lang="en-US" altLang="zh-CN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  <xdr:twoCellAnchor>
    <xdr:from>
      <xdr:col>10</xdr:col>
      <xdr:colOff>235585</xdr:colOff>
      <xdr:row>17</xdr:row>
      <xdr:rowOff>344805</xdr:rowOff>
    </xdr:from>
    <xdr:to>
      <xdr:col>10</xdr:col>
      <xdr:colOff>235585</xdr:colOff>
      <xdr:row>21</xdr:row>
      <xdr:rowOff>172720</xdr:rowOff>
    </xdr:to>
    <xdr:cxnSp>
      <xdr:nvCxnSpPr>
        <xdr:cNvPr id="75" name="直接连接符 74"/>
        <xdr:cNvCxnSpPr/>
      </xdr:nvCxnSpPr>
      <xdr:spPr>
        <a:xfrm>
          <a:off x="11762105" y="6193790"/>
          <a:ext cx="0" cy="1270635"/>
        </a:xfrm>
        <a:prstGeom prst="line">
          <a:avLst/>
        </a:prstGeom>
        <a:ln w="666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153035</xdr:colOff>
      <xdr:row>17</xdr:row>
      <xdr:rowOff>407670</xdr:rowOff>
    </xdr:from>
    <xdr:to>
      <xdr:col>13</xdr:col>
      <xdr:colOff>153035</xdr:colOff>
      <xdr:row>21</xdr:row>
      <xdr:rowOff>172720</xdr:rowOff>
    </xdr:to>
    <xdr:cxnSp>
      <xdr:nvCxnSpPr>
        <xdr:cNvPr id="76" name="直接连接符 75"/>
        <xdr:cNvCxnSpPr/>
      </xdr:nvCxnSpPr>
      <xdr:spPr>
        <a:xfrm>
          <a:off x="14500860" y="6256655"/>
          <a:ext cx="0" cy="1207770"/>
        </a:xfrm>
        <a:prstGeom prst="line">
          <a:avLst/>
        </a:prstGeom>
        <a:ln w="666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528955</xdr:colOff>
      <xdr:row>8</xdr:row>
      <xdr:rowOff>160655</xdr:rowOff>
    </xdr:from>
    <xdr:to>
      <xdr:col>8</xdr:col>
      <xdr:colOff>358140</xdr:colOff>
      <xdr:row>9</xdr:row>
      <xdr:rowOff>23495</xdr:rowOff>
    </xdr:to>
    <xdr:sp>
      <xdr:nvSpPr>
        <xdr:cNvPr id="77" name="矩形: 圆角 68"/>
        <xdr:cNvSpPr/>
      </xdr:nvSpPr>
      <xdr:spPr>
        <a:xfrm>
          <a:off x="7714615" y="2987040"/>
          <a:ext cx="1310640" cy="396240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微软雅黑" panose="020B0503020204020204" charset="-122"/>
            </a:rPr>
            <a:t>营业总收入</a:t>
          </a:r>
          <a:endParaRPr lang="zh-CN" altLang="en-US" sz="1400">
            <a:solidFill>
              <a:sysClr val="windowText" lastClr="000000"/>
            </a:solidFill>
            <a:latin typeface="黑体" panose="02010609060101010101" charset="-122"/>
            <a:ea typeface="黑体" panose="02010609060101010101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6</xdr:col>
      <xdr:colOff>1567815</xdr:colOff>
      <xdr:row>8</xdr:row>
      <xdr:rowOff>410845</xdr:rowOff>
    </xdr:from>
    <xdr:to>
      <xdr:col>7</xdr:col>
      <xdr:colOff>541020</xdr:colOff>
      <xdr:row>8</xdr:row>
      <xdr:rowOff>410845</xdr:rowOff>
    </xdr:to>
    <xdr:cxnSp>
      <xdr:nvCxnSpPr>
        <xdr:cNvPr id="78" name="直接连接符 77"/>
        <xdr:cNvCxnSpPr/>
      </xdr:nvCxnSpPr>
      <xdr:spPr>
        <a:xfrm>
          <a:off x="7159625" y="3237230"/>
          <a:ext cx="567055" cy="0"/>
        </a:xfrm>
        <a:prstGeom prst="line">
          <a:avLst/>
        </a:prstGeom>
        <a:ln w="539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1583055</xdr:colOff>
      <xdr:row>8</xdr:row>
      <xdr:rowOff>429260</xdr:rowOff>
    </xdr:from>
    <xdr:to>
      <xdr:col>8</xdr:col>
      <xdr:colOff>193675</xdr:colOff>
      <xdr:row>12</xdr:row>
      <xdr:rowOff>104140</xdr:rowOff>
    </xdr:to>
    <xdr:cxnSp>
      <xdr:nvCxnSpPr>
        <xdr:cNvPr id="79" name="直接连接符 78"/>
        <xdr:cNvCxnSpPr>
          <a:endCxn id="42" idx="1"/>
        </xdr:cNvCxnSpPr>
      </xdr:nvCxnSpPr>
      <xdr:spPr>
        <a:xfrm>
          <a:off x="7174865" y="3255645"/>
          <a:ext cx="1685925" cy="1079500"/>
        </a:xfrm>
        <a:prstGeom prst="line">
          <a:avLst/>
        </a:prstGeom>
        <a:ln w="539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554355</xdr:colOff>
      <xdr:row>27</xdr:row>
      <xdr:rowOff>137160</xdr:rowOff>
    </xdr:from>
    <xdr:to>
      <xdr:col>1</xdr:col>
      <xdr:colOff>401955</xdr:colOff>
      <xdr:row>28</xdr:row>
      <xdr:rowOff>144780</xdr:rowOff>
    </xdr:to>
    <xdr:sp>
      <xdr:nvSpPr>
        <xdr:cNvPr id="80" name="除号 79"/>
        <xdr:cNvSpPr/>
      </xdr:nvSpPr>
      <xdr:spPr>
        <a:xfrm>
          <a:off x="554355" y="9260205"/>
          <a:ext cx="487680" cy="220980"/>
        </a:xfrm>
        <a:prstGeom prst="mathDivid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441960</xdr:colOff>
      <xdr:row>27</xdr:row>
      <xdr:rowOff>147320</xdr:rowOff>
    </xdr:from>
    <xdr:to>
      <xdr:col>3</xdr:col>
      <xdr:colOff>289560</xdr:colOff>
      <xdr:row>28</xdr:row>
      <xdr:rowOff>154940</xdr:rowOff>
    </xdr:to>
    <xdr:sp>
      <xdr:nvSpPr>
        <xdr:cNvPr id="81" name="除号 80"/>
        <xdr:cNvSpPr/>
      </xdr:nvSpPr>
      <xdr:spPr>
        <a:xfrm>
          <a:off x="2118995" y="9270365"/>
          <a:ext cx="487680" cy="220980"/>
        </a:xfrm>
        <a:prstGeom prst="mathDivid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520700</xdr:colOff>
      <xdr:row>27</xdr:row>
      <xdr:rowOff>157480</xdr:rowOff>
    </xdr:from>
    <xdr:to>
      <xdr:col>5</xdr:col>
      <xdr:colOff>368300</xdr:colOff>
      <xdr:row>28</xdr:row>
      <xdr:rowOff>165100</xdr:rowOff>
    </xdr:to>
    <xdr:sp>
      <xdr:nvSpPr>
        <xdr:cNvPr id="82" name="除号 81"/>
        <xdr:cNvSpPr/>
      </xdr:nvSpPr>
      <xdr:spPr>
        <a:xfrm>
          <a:off x="4276725" y="9280525"/>
          <a:ext cx="487680" cy="220980"/>
        </a:xfrm>
        <a:prstGeom prst="mathDivide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628650</xdr:colOff>
      <xdr:row>1</xdr:row>
      <xdr:rowOff>95250</xdr:rowOff>
    </xdr:from>
    <xdr:to>
      <xdr:col>8</xdr:col>
      <xdr:colOff>647700</xdr:colOff>
      <xdr:row>17</xdr:row>
      <xdr:rowOff>88900</xdr:rowOff>
    </xdr:to>
    <xdr:graphicFrame>
      <xdr:nvGraphicFramePr>
        <xdr:cNvPr id="2" name="图表 1"/>
        <xdr:cNvGraphicFramePr/>
      </xdr:nvGraphicFramePr>
      <xdr:xfrm>
        <a:off x="628650" y="308610"/>
        <a:ext cx="5132070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69850</xdr:rowOff>
    </xdr:from>
    <xdr:to>
      <xdr:col>17</xdr:col>
      <xdr:colOff>31750</xdr:colOff>
      <xdr:row>17</xdr:row>
      <xdr:rowOff>82550</xdr:rowOff>
    </xdr:to>
    <xdr:graphicFrame>
      <xdr:nvGraphicFramePr>
        <xdr:cNvPr id="5" name="图表 4"/>
        <xdr:cNvGraphicFramePr/>
      </xdr:nvGraphicFramePr>
      <xdr:xfrm>
        <a:off x="6027420" y="283210"/>
        <a:ext cx="4885690" cy="338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615950</xdr:colOff>
      <xdr:row>33</xdr:row>
      <xdr:rowOff>95250</xdr:rowOff>
    </xdr:to>
    <xdr:graphicFrame>
      <xdr:nvGraphicFramePr>
        <xdr:cNvPr id="6" name="图表 5"/>
        <xdr:cNvGraphicFramePr/>
      </xdr:nvGraphicFramePr>
      <xdr:xfrm>
        <a:off x="640080" y="3798570"/>
        <a:ext cx="509651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18</xdr:row>
      <xdr:rowOff>38100</xdr:rowOff>
    </xdr:from>
    <xdr:to>
      <xdr:col>17</xdr:col>
      <xdr:colOff>19050</xdr:colOff>
      <xdr:row>35</xdr:row>
      <xdr:rowOff>12699</xdr:rowOff>
    </xdr:to>
    <xdr:graphicFrame>
      <xdr:nvGraphicFramePr>
        <xdr:cNvPr id="7" name="图表 6"/>
        <xdr:cNvGraphicFramePr/>
      </xdr:nvGraphicFramePr>
      <xdr:xfrm>
        <a:off x="6084570" y="3836670"/>
        <a:ext cx="4815840" cy="360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234950</xdr:colOff>
      <xdr:row>6</xdr:row>
      <xdr:rowOff>66674</xdr:rowOff>
    </xdr:from>
    <xdr:to>
      <xdr:col>24</xdr:col>
      <xdr:colOff>577850</xdr:colOff>
      <xdr:row>22</xdr:row>
      <xdr:rowOff>126999</xdr:rowOff>
    </xdr:to>
    <xdr:graphicFrame>
      <xdr:nvGraphicFramePr>
        <xdr:cNvPr id="8" name="图表 7"/>
        <xdr:cNvGraphicFramePr/>
      </xdr:nvGraphicFramePr>
      <xdr:xfrm>
        <a:off x="11116310" y="1304290"/>
        <a:ext cx="5457190" cy="347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opLeftCell="A69" workbookViewId="0">
      <selection activeCell="A48" sqref="A48"/>
    </sheetView>
  </sheetViews>
  <sheetFormatPr defaultColWidth="9" defaultRowHeight="16.8"/>
  <cols>
    <col min="1" max="1" width="31.0803571428571" customWidth="1"/>
    <col min="9" max="9" width="14.5803571428571" customWidth="1"/>
  </cols>
  <sheetData>
    <row r="1" spans="1:8">
      <c r="A1" t="s">
        <v>0</v>
      </c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</row>
    <row r="2" spans="1:8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1">
      <c r="A3" t="s">
        <v>3</v>
      </c>
    </row>
    <row r="4" spans="1:8">
      <c r="A4" t="s">
        <v>4</v>
      </c>
      <c r="B4">
        <v>3287200944</v>
      </c>
      <c r="C4">
        <v>2648729919</v>
      </c>
      <c r="D4">
        <v>3206113341</v>
      </c>
      <c r="E4">
        <v>2949351186</v>
      </c>
      <c r="F4">
        <v>2480002990</v>
      </c>
      <c r="G4">
        <v>4067655588</v>
      </c>
      <c r="H4">
        <v>3408851835</v>
      </c>
    </row>
    <row r="5" spans="1:8">
      <c r="A5" t="s">
        <v>5</v>
      </c>
      <c r="B5">
        <v>1087005</v>
      </c>
      <c r="C5">
        <v>1183793</v>
      </c>
      <c r="D5">
        <v>0</v>
      </c>
      <c r="E5">
        <v>0</v>
      </c>
      <c r="F5">
        <v>0</v>
      </c>
      <c r="G5">
        <v>950484</v>
      </c>
      <c r="H5">
        <v>56036888</v>
      </c>
    </row>
    <row r="6" spans="1:8">
      <c r="A6" t="s">
        <v>6</v>
      </c>
      <c r="B6">
        <v>117804593</v>
      </c>
      <c r="C6">
        <v>6264062</v>
      </c>
      <c r="D6">
        <v>438003</v>
      </c>
      <c r="E6">
        <v>293614015</v>
      </c>
      <c r="F6">
        <v>30727126</v>
      </c>
      <c r="G6">
        <v>0</v>
      </c>
      <c r="H6">
        <v>0</v>
      </c>
    </row>
    <row r="7" spans="1:8">
      <c r="A7" t="s">
        <v>7</v>
      </c>
      <c r="B7">
        <v>1905524763</v>
      </c>
      <c r="C7">
        <v>2268473106</v>
      </c>
      <c r="D7">
        <v>1914279778</v>
      </c>
      <c r="E7">
        <v>1815453368</v>
      </c>
      <c r="F7">
        <v>1598355143</v>
      </c>
      <c r="G7">
        <v>1644097922</v>
      </c>
      <c r="H7">
        <v>1869189499</v>
      </c>
    </row>
    <row r="8" spans="1:8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9">
      <c r="A9" t="s">
        <v>9</v>
      </c>
      <c r="B9">
        <v>1905524763</v>
      </c>
      <c r="C9">
        <v>2268473106</v>
      </c>
      <c r="D9">
        <v>1914279778</v>
      </c>
      <c r="E9">
        <v>1815453368</v>
      </c>
      <c r="F9">
        <v>1598355143</v>
      </c>
      <c r="G9">
        <v>1644097922</v>
      </c>
      <c r="H9">
        <v>1869189499</v>
      </c>
      <c r="I9" s="21">
        <v>1646914344</v>
      </c>
    </row>
    <row r="10" spans="1:8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11</v>
      </c>
      <c r="B11">
        <v>435534407</v>
      </c>
      <c r="C11">
        <v>488145268</v>
      </c>
      <c r="D11">
        <v>554716875</v>
      </c>
      <c r="E11">
        <v>524691404</v>
      </c>
      <c r="F11">
        <v>476568092</v>
      </c>
      <c r="G11">
        <v>489868533</v>
      </c>
      <c r="H11">
        <v>368763349</v>
      </c>
    </row>
    <row r="12" spans="1:8">
      <c r="A12" t="s">
        <v>12</v>
      </c>
      <c r="B12">
        <v>170353030</v>
      </c>
      <c r="C12">
        <v>62921742</v>
      </c>
      <c r="D12">
        <v>46350985</v>
      </c>
      <c r="E12">
        <v>252581619</v>
      </c>
      <c r="F12">
        <v>102449292</v>
      </c>
      <c r="G12">
        <v>191019050</v>
      </c>
      <c r="H12">
        <v>176644132</v>
      </c>
    </row>
    <row r="13" spans="1:8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15</v>
      </c>
      <c r="B15">
        <v>170353030</v>
      </c>
      <c r="C15">
        <v>62921742</v>
      </c>
      <c r="D15">
        <v>46350985</v>
      </c>
      <c r="E15">
        <v>252581619</v>
      </c>
      <c r="F15">
        <v>102449292</v>
      </c>
      <c r="G15">
        <v>0</v>
      </c>
      <c r="H15">
        <v>176644132</v>
      </c>
    </row>
    <row r="16" spans="1:8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9">
      <c r="A17" t="s">
        <v>17</v>
      </c>
      <c r="B17">
        <v>3567106707</v>
      </c>
      <c r="C17">
        <v>4196700084</v>
      </c>
      <c r="D17">
        <v>3114510306</v>
      </c>
      <c r="E17">
        <v>2862339185</v>
      </c>
      <c r="F17">
        <v>2306975111</v>
      </c>
      <c r="G17">
        <v>2032663787</v>
      </c>
      <c r="H17">
        <v>1797541362</v>
      </c>
      <c r="I17" s="21">
        <v>1848692750</v>
      </c>
    </row>
    <row r="18" spans="1:8">
      <c r="A18" t="s">
        <v>18</v>
      </c>
      <c r="B18">
        <v>18148150</v>
      </c>
      <c r="C18">
        <v>18148150</v>
      </c>
      <c r="D18">
        <v>18148150</v>
      </c>
      <c r="E18">
        <v>18148150</v>
      </c>
      <c r="F18">
        <v>18148150</v>
      </c>
      <c r="G18">
        <v>0</v>
      </c>
      <c r="H18">
        <v>0</v>
      </c>
    </row>
    <row r="19" spans="1:8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22</v>
      </c>
      <c r="B22">
        <v>217150664</v>
      </c>
      <c r="C22">
        <v>217906255</v>
      </c>
      <c r="D22">
        <v>323734360</v>
      </c>
      <c r="E22">
        <v>260673454</v>
      </c>
      <c r="F22">
        <v>192284806</v>
      </c>
      <c r="G22">
        <v>155732206</v>
      </c>
      <c r="H22">
        <v>171390531</v>
      </c>
    </row>
    <row r="23" spans="1:9">
      <c r="A23" t="s">
        <v>23</v>
      </c>
      <c r="B23">
        <v>9719910263</v>
      </c>
      <c r="C23">
        <v>9908472379</v>
      </c>
      <c r="D23">
        <v>9178291798</v>
      </c>
      <c r="E23">
        <v>8976852381</v>
      </c>
      <c r="F23">
        <v>7205510710</v>
      </c>
      <c r="G23">
        <v>8581987570</v>
      </c>
      <c r="H23">
        <v>7848417596</v>
      </c>
      <c r="I23" s="21">
        <v>7599866795</v>
      </c>
    </row>
    <row r="24" spans="1:1">
      <c r="A24" t="s">
        <v>24</v>
      </c>
    </row>
    <row r="25" spans="1:8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2455494</v>
      </c>
      <c r="H26">
        <v>2459597</v>
      </c>
    </row>
    <row r="27" spans="1:8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950000</v>
      </c>
      <c r="H28">
        <v>950000</v>
      </c>
    </row>
    <row r="29" spans="1:8">
      <c r="A29" t="s">
        <v>29</v>
      </c>
      <c r="B29">
        <v>86000941</v>
      </c>
      <c r="C29">
        <v>80583307</v>
      </c>
      <c r="D29">
        <v>130089941</v>
      </c>
      <c r="E29">
        <v>115209613</v>
      </c>
      <c r="F29">
        <v>75203324</v>
      </c>
      <c r="G29">
        <v>73562748</v>
      </c>
      <c r="H29">
        <v>71971161</v>
      </c>
    </row>
    <row r="30" spans="1:8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31</v>
      </c>
      <c r="B31">
        <v>312754939</v>
      </c>
      <c r="C31">
        <v>1028043784</v>
      </c>
      <c r="D31">
        <v>1439872482</v>
      </c>
      <c r="E31">
        <v>675778803</v>
      </c>
      <c r="F31">
        <v>669061668</v>
      </c>
      <c r="G31">
        <v>1221771437</v>
      </c>
      <c r="H31">
        <v>325648106</v>
      </c>
    </row>
    <row r="32" spans="1:8">
      <c r="A32" t="s">
        <v>32</v>
      </c>
      <c r="B32">
        <v>0</v>
      </c>
      <c r="C32">
        <v>0</v>
      </c>
      <c r="D32">
        <v>1439872482</v>
      </c>
      <c r="E32">
        <v>0</v>
      </c>
      <c r="F32">
        <v>0</v>
      </c>
      <c r="G32">
        <v>0</v>
      </c>
      <c r="H32">
        <v>325648106</v>
      </c>
    </row>
    <row r="33" spans="1:8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34</v>
      </c>
      <c r="B34">
        <v>9161562586</v>
      </c>
      <c r="C34">
        <v>8598421348</v>
      </c>
      <c r="D34">
        <v>8066604311</v>
      </c>
      <c r="E34">
        <v>8370111193</v>
      </c>
      <c r="F34">
        <v>7590967529</v>
      </c>
      <c r="G34">
        <v>5932506947</v>
      </c>
      <c r="H34">
        <v>6053918036</v>
      </c>
    </row>
    <row r="35" spans="1:8">
      <c r="A35" t="s">
        <v>35</v>
      </c>
      <c r="B35">
        <v>9161562586</v>
      </c>
      <c r="C35">
        <v>8598421348</v>
      </c>
      <c r="D35">
        <v>8066604311</v>
      </c>
      <c r="E35">
        <v>8370111193</v>
      </c>
      <c r="F35">
        <v>7590967529</v>
      </c>
      <c r="G35">
        <v>5932506947</v>
      </c>
      <c r="H35">
        <v>6053918036</v>
      </c>
    </row>
    <row r="36" spans="1:8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37</v>
      </c>
      <c r="B37">
        <v>2039270377</v>
      </c>
      <c r="C37">
        <v>1863712671</v>
      </c>
      <c r="D37">
        <v>1193717797</v>
      </c>
      <c r="E37">
        <v>851376371</v>
      </c>
      <c r="F37">
        <v>827864881</v>
      </c>
      <c r="G37">
        <v>1012546244</v>
      </c>
      <c r="H37">
        <v>1093745439</v>
      </c>
    </row>
    <row r="38" spans="1:8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t="s">
        <v>40</v>
      </c>
      <c r="B40">
        <v>931266451</v>
      </c>
      <c r="C40">
        <v>1027044693</v>
      </c>
      <c r="D40">
        <v>1672486949</v>
      </c>
      <c r="E40">
        <v>0</v>
      </c>
      <c r="F40">
        <v>0</v>
      </c>
      <c r="G40">
        <v>0</v>
      </c>
      <c r="H40">
        <v>0</v>
      </c>
    </row>
    <row r="41" spans="1:8">
      <c r="A41" t="s">
        <v>41</v>
      </c>
      <c r="B41">
        <v>872499675</v>
      </c>
      <c r="C41">
        <v>786110067</v>
      </c>
      <c r="D41">
        <v>571200868</v>
      </c>
      <c r="E41">
        <v>459749260</v>
      </c>
      <c r="F41">
        <v>369937729</v>
      </c>
      <c r="G41">
        <v>377049125</v>
      </c>
      <c r="H41">
        <v>371749222</v>
      </c>
    </row>
    <row r="42" spans="1:8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43</v>
      </c>
      <c r="B43">
        <v>749597898</v>
      </c>
      <c r="C43">
        <v>822579099</v>
      </c>
      <c r="D43">
        <v>827125614</v>
      </c>
      <c r="E43">
        <v>545906979</v>
      </c>
      <c r="F43">
        <v>330236841</v>
      </c>
      <c r="G43">
        <v>252993532</v>
      </c>
      <c r="H43">
        <v>256065992</v>
      </c>
    </row>
    <row r="44" spans="1:8">
      <c r="A44" t="s">
        <v>44</v>
      </c>
      <c r="B44">
        <v>61483428</v>
      </c>
      <c r="C44">
        <v>24068086</v>
      </c>
      <c r="D44">
        <v>21241033</v>
      </c>
      <c r="E44">
        <v>12742354</v>
      </c>
      <c r="F44">
        <v>11676710</v>
      </c>
      <c r="G44">
        <v>9202614</v>
      </c>
      <c r="H44">
        <v>6991462</v>
      </c>
    </row>
    <row r="45" spans="1:8">
      <c r="A45" t="s">
        <v>45</v>
      </c>
      <c r="B45">
        <v>115798279</v>
      </c>
      <c r="C45">
        <v>158742194</v>
      </c>
      <c r="D45">
        <v>128828263</v>
      </c>
      <c r="E45">
        <v>245640026</v>
      </c>
      <c r="F45">
        <v>439768085</v>
      </c>
      <c r="G45">
        <v>462771921</v>
      </c>
      <c r="H45">
        <v>507233928</v>
      </c>
    </row>
    <row r="46" spans="1:8">
      <c r="A46" t="s">
        <v>46</v>
      </c>
      <c r="B46">
        <v>64769207</v>
      </c>
      <c r="C46">
        <v>81098387</v>
      </c>
      <c r="D46">
        <v>196827375</v>
      </c>
      <c r="E46">
        <v>26255710</v>
      </c>
      <c r="F46">
        <v>114412625</v>
      </c>
      <c r="G46">
        <v>5961789</v>
      </c>
      <c r="H46">
        <v>106838</v>
      </c>
    </row>
    <row r="47" spans="1:8">
      <c r="A47" t="s">
        <v>47</v>
      </c>
      <c r="B47">
        <v>14507409644</v>
      </c>
      <c r="C47">
        <v>14543864321</v>
      </c>
      <c r="D47">
        <v>14272109228</v>
      </c>
      <c r="E47">
        <v>11333057914</v>
      </c>
      <c r="F47">
        <v>10431596095</v>
      </c>
      <c r="G47">
        <v>9351771851</v>
      </c>
      <c r="H47">
        <v>8690839781</v>
      </c>
    </row>
    <row r="48" spans="1:9">
      <c r="A48" t="s">
        <v>48</v>
      </c>
      <c r="B48">
        <v>24227319907</v>
      </c>
      <c r="C48">
        <v>24452336700</v>
      </c>
      <c r="D48">
        <v>23450401026</v>
      </c>
      <c r="E48">
        <v>20309910295</v>
      </c>
      <c r="F48">
        <v>17637106805</v>
      </c>
      <c r="G48">
        <v>17933759421</v>
      </c>
      <c r="H48">
        <v>16539257377</v>
      </c>
      <c r="I48" s="21">
        <v>16079810015</v>
      </c>
    </row>
    <row r="49" spans="1:1">
      <c r="A49" t="s">
        <v>49</v>
      </c>
    </row>
    <row r="50" spans="1:8">
      <c r="A50" t="s">
        <v>50</v>
      </c>
      <c r="B50">
        <v>1756937715</v>
      </c>
      <c r="C50">
        <v>1202759784</v>
      </c>
      <c r="D50">
        <v>712580089</v>
      </c>
      <c r="E50">
        <v>1314421625</v>
      </c>
      <c r="F50">
        <v>1493958158</v>
      </c>
      <c r="G50">
        <v>3809856335</v>
      </c>
      <c r="H50">
        <v>3096664367</v>
      </c>
    </row>
    <row r="51" spans="1:8">
      <c r="A5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97003623</v>
      </c>
      <c r="H51">
        <v>36354235</v>
      </c>
    </row>
    <row r="52" spans="1:8">
      <c r="A52" t="s">
        <v>52</v>
      </c>
      <c r="B52">
        <v>3112497790</v>
      </c>
      <c r="C52">
        <v>3904111000</v>
      </c>
      <c r="D52">
        <v>3314709933</v>
      </c>
      <c r="E52">
        <v>2987733504</v>
      </c>
      <c r="F52">
        <v>2514817536</v>
      </c>
      <c r="G52">
        <v>1950828319</v>
      </c>
      <c r="H52">
        <v>2145563555</v>
      </c>
    </row>
    <row r="53" spans="1:8">
      <c r="A53" t="s">
        <v>53</v>
      </c>
      <c r="B53">
        <v>0</v>
      </c>
      <c r="C53">
        <v>0</v>
      </c>
      <c r="D53">
        <v>10000000</v>
      </c>
      <c r="E53">
        <v>0</v>
      </c>
      <c r="F53">
        <v>0</v>
      </c>
      <c r="G53">
        <v>0</v>
      </c>
      <c r="H53">
        <v>0</v>
      </c>
    </row>
    <row r="54" spans="1:8">
      <c r="A54" t="s">
        <v>54</v>
      </c>
      <c r="B54">
        <v>3112497790</v>
      </c>
      <c r="C54">
        <v>3904111000</v>
      </c>
      <c r="D54">
        <v>3304709933</v>
      </c>
      <c r="E54">
        <v>2987733504</v>
      </c>
      <c r="F54">
        <v>2514817536</v>
      </c>
      <c r="G54">
        <v>1950828319</v>
      </c>
      <c r="H54">
        <v>2145563555</v>
      </c>
    </row>
    <row r="55" spans="1:8">
      <c r="A55" t="s">
        <v>55</v>
      </c>
      <c r="B55">
        <v>0</v>
      </c>
      <c r="C55">
        <v>0</v>
      </c>
      <c r="D55">
        <v>0</v>
      </c>
      <c r="E55">
        <v>0</v>
      </c>
      <c r="F55">
        <v>1012944395</v>
      </c>
      <c r="G55">
        <v>913128019</v>
      </c>
      <c r="H55">
        <v>543576688</v>
      </c>
    </row>
    <row r="56" spans="1:8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57</v>
      </c>
      <c r="B57">
        <v>458627185</v>
      </c>
      <c r="C57">
        <v>541610206</v>
      </c>
      <c r="D57">
        <v>475732399</v>
      </c>
      <c r="E57">
        <v>477268839</v>
      </c>
      <c r="F57">
        <v>386882175</v>
      </c>
      <c r="G57">
        <v>334629323</v>
      </c>
      <c r="H57">
        <v>288772072</v>
      </c>
    </row>
    <row r="58" spans="1:8">
      <c r="A58" t="s">
        <v>58</v>
      </c>
      <c r="B58">
        <v>99490236</v>
      </c>
      <c r="C58">
        <v>147300711</v>
      </c>
      <c r="D58">
        <v>170428455</v>
      </c>
      <c r="E58">
        <v>372389037</v>
      </c>
      <c r="F58">
        <v>369870064</v>
      </c>
      <c r="G58">
        <v>324872406</v>
      </c>
      <c r="H58">
        <v>425899643</v>
      </c>
    </row>
    <row r="59" spans="1:8">
      <c r="A59" t="s">
        <v>59</v>
      </c>
      <c r="B59">
        <v>2126084753</v>
      </c>
      <c r="C59">
        <v>2634088560</v>
      </c>
      <c r="D59">
        <v>2540421691</v>
      </c>
      <c r="E59">
        <v>2506578716</v>
      </c>
      <c r="F59">
        <v>2423373308</v>
      </c>
      <c r="G59">
        <v>2348917399</v>
      </c>
      <c r="H59">
        <v>2498243418</v>
      </c>
    </row>
    <row r="60" spans="1:8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39553713</v>
      </c>
      <c r="H60">
        <v>21229323</v>
      </c>
    </row>
    <row r="61" spans="1:8">
      <c r="A61" t="s">
        <v>61</v>
      </c>
      <c r="B61">
        <v>23397701</v>
      </c>
      <c r="C61">
        <v>22007981</v>
      </c>
      <c r="D61">
        <v>23141853</v>
      </c>
      <c r="E61">
        <v>22991853</v>
      </c>
      <c r="F61">
        <v>21707981</v>
      </c>
      <c r="G61">
        <v>21557981</v>
      </c>
      <c r="H61">
        <v>0</v>
      </c>
    </row>
    <row r="62" spans="1:8">
      <c r="A62" t="s">
        <v>62</v>
      </c>
      <c r="B62">
        <v>2102687052</v>
      </c>
      <c r="C62">
        <v>2612080579</v>
      </c>
      <c r="D62">
        <v>2517279838</v>
      </c>
      <c r="E62">
        <v>2483586863</v>
      </c>
      <c r="F62">
        <v>2401665327</v>
      </c>
      <c r="G62">
        <v>2287805705</v>
      </c>
      <c r="H62">
        <v>2477014095</v>
      </c>
    </row>
    <row r="63" spans="1:8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66</v>
      </c>
      <c r="B66">
        <v>1047052905</v>
      </c>
      <c r="C66">
        <v>1033433246</v>
      </c>
      <c r="D66">
        <v>269306053</v>
      </c>
      <c r="E66">
        <v>319448063</v>
      </c>
      <c r="F66">
        <v>614099</v>
      </c>
      <c r="G66">
        <v>1142040</v>
      </c>
      <c r="H66">
        <v>1345715</v>
      </c>
    </row>
    <row r="67" spans="1:8">
      <c r="A67" t="s">
        <v>67</v>
      </c>
      <c r="B67">
        <v>172446944</v>
      </c>
      <c r="C67">
        <v>120168123</v>
      </c>
      <c r="D67">
        <v>114906982</v>
      </c>
      <c r="E67">
        <v>112784930</v>
      </c>
      <c r="F67">
        <v>0</v>
      </c>
      <c r="G67">
        <v>0</v>
      </c>
      <c r="H67">
        <v>0</v>
      </c>
    </row>
    <row r="68" spans="1:8">
      <c r="A68" t="s">
        <v>68</v>
      </c>
      <c r="B68">
        <v>10197576837</v>
      </c>
      <c r="C68">
        <v>10734516944</v>
      </c>
      <c r="D68">
        <v>8689140992</v>
      </c>
      <c r="E68">
        <v>9006812147</v>
      </c>
      <c r="F68">
        <v>8230772133</v>
      </c>
      <c r="G68">
        <v>9780377464</v>
      </c>
      <c r="H68">
        <v>9036419693</v>
      </c>
    </row>
    <row r="69" spans="1:1">
      <c r="A69" t="s">
        <v>69</v>
      </c>
    </row>
    <row r="70" spans="1:8">
      <c r="A70" t="s">
        <v>70</v>
      </c>
      <c r="B70">
        <v>534669400</v>
      </c>
      <c r="C70">
        <v>201789375</v>
      </c>
      <c r="D70">
        <v>910004118</v>
      </c>
      <c r="E70">
        <v>477306993</v>
      </c>
      <c r="F70">
        <v>617455993</v>
      </c>
      <c r="G70">
        <v>900086863</v>
      </c>
      <c r="H70">
        <v>397256436</v>
      </c>
    </row>
    <row r="71" spans="1:8">
      <c r="A71" t="s">
        <v>71</v>
      </c>
      <c r="B71">
        <v>0</v>
      </c>
      <c r="C71">
        <v>788706630</v>
      </c>
      <c r="D71">
        <v>774898188</v>
      </c>
      <c r="E71">
        <v>834080608</v>
      </c>
      <c r="F71">
        <v>830577669</v>
      </c>
      <c r="G71">
        <v>0</v>
      </c>
      <c r="H71">
        <v>0</v>
      </c>
    </row>
    <row r="72" spans="1:8">
      <c r="A72" t="s">
        <v>72</v>
      </c>
      <c r="B72">
        <v>793032243</v>
      </c>
      <c r="C72">
        <v>802998226</v>
      </c>
      <c r="D72">
        <v>1440196651</v>
      </c>
      <c r="E72">
        <v>0</v>
      </c>
      <c r="F72">
        <v>0</v>
      </c>
      <c r="G72">
        <v>0</v>
      </c>
      <c r="H72">
        <v>0</v>
      </c>
    </row>
    <row r="73" spans="1:8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74</v>
      </c>
      <c r="B74">
        <v>31357283</v>
      </c>
      <c r="C74">
        <v>19680863</v>
      </c>
      <c r="D74">
        <v>26742844</v>
      </c>
      <c r="E74">
        <v>21069568</v>
      </c>
      <c r="F74">
        <v>41205182</v>
      </c>
      <c r="G74">
        <v>41251039</v>
      </c>
      <c r="H74">
        <v>4573805</v>
      </c>
    </row>
    <row r="75" spans="1:8">
      <c r="A75" t="s">
        <v>75</v>
      </c>
      <c r="B75">
        <v>31357283</v>
      </c>
      <c r="C75">
        <v>19680863</v>
      </c>
      <c r="D75">
        <v>26742844</v>
      </c>
      <c r="E75">
        <v>18946757</v>
      </c>
      <c r="F75">
        <v>1340259</v>
      </c>
      <c r="G75">
        <v>1428494</v>
      </c>
      <c r="H75">
        <v>2450994</v>
      </c>
    </row>
    <row r="76" spans="1:8">
      <c r="A76" t="s">
        <v>76</v>
      </c>
      <c r="B76">
        <v>0</v>
      </c>
      <c r="C76">
        <v>0</v>
      </c>
      <c r="D76">
        <v>0</v>
      </c>
      <c r="E76">
        <v>2122811</v>
      </c>
      <c r="F76">
        <v>39864923</v>
      </c>
      <c r="G76">
        <v>39822545</v>
      </c>
      <c r="H76">
        <v>2122811</v>
      </c>
    </row>
    <row r="77" spans="1:8">
      <c r="A77" t="s">
        <v>77</v>
      </c>
      <c r="B77">
        <v>14129760</v>
      </c>
      <c r="C77">
        <v>10715141</v>
      </c>
      <c r="D77">
        <v>10870427</v>
      </c>
      <c r="E77">
        <v>0</v>
      </c>
      <c r="F77">
        <v>0</v>
      </c>
      <c r="G77">
        <v>0</v>
      </c>
      <c r="H77">
        <v>0</v>
      </c>
    </row>
    <row r="78" spans="1:8">
      <c r="A78" t="s">
        <v>78</v>
      </c>
      <c r="B78">
        <v>205534818</v>
      </c>
      <c r="C78">
        <v>333293592</v>
      </c>
      <c r="D78">
        <v>265653863</v>
      </c>
      <c r="E78">
        <v>327825044</v>
      </c>
      <c r="F78">
        <v>188481672</v>
      </c>
      <c r="G78">
        <v>102619119</v>
      </c>
      <c r="H78">
        <v>130863893</v>
      </c>
    </row>
    <row r="79" spans="1:8">
      <c r="A79" t="s">
        <v>79</v>
      </c>
      <c r="B79">
        <v>496433538</v>
      </c>
      <c r="C79">
        <v>502267618</v>
      </c>
      <c r="D79">
        <v>482072609</v>
      </c>
      <c r="E79">
        <v>727551849</v>
      </c>
      <c r="F79">
        <v>311673110</v>
      </c>
      <c r="G79">
        <v>324611984</v>
      </c>
      <c r="H79">
        <v>287692403</v>
      </c>
    </row>
    <row r="80" spans="1:8">
      <c r="A80" t="s">
        <v>80</v>
      </c>
      <c r="B80">
        <v>532006107</v>
      </c>
      <c r="C80">
        <v>510115880</v>
      </c>
      <c r="D80">
        <v>498919144</v>
      </c>
      <c r="E80">
        <v>0</v>
      </c>
      <c r="F80">
        <v>0</v>
      </c>
      <c r="G80">
        <v>0</v>
      </c>
      <c r="H80">
        <v>0</v>
      </c>
    </row>
    <row r="81" spans="1:8">
      <c r="A81" t="s">
        <v>81</v>
      </c>
      <c r="B81">
        <v>2607163149</v>
      </c>
      <c r="C81">
        <v>3169567325</v>
      </c>
      <c r="D81">
        <v>4409357844</v>
      </c>
      <c r="E81">
        <v>2387834062</v>
      </c>
      <c r="F81">
        <v>1989393626</v>
      </c>
      <c r="G81">
        <v>1368569005</v>
      </c>
      <c r="H81">
        <v>820386537</v>
      </c>
    </row>
    <row r="82" spans="1:8">
      <c r="A82" t="s">
        <v>82</v>
      </c>
      <c r="B82">
        <v>12804739986</v>
      </c>
      <c r="C82">
        <v>13904084269</v>
      </c>
      <c r="D82">
        <v>13098498836</v>
      </c>
      <c r="E82">
        <v>11394646209</v>
      </c>
      <c r="F82">
        <v>10220165759</v>
      </c>
      <c r="G82">
        <v>11148946469</v>
      </c>
      <c r="H82">
        <v>9856806230</v>
      </c>
    </row>
    <row r="83" spans="1:1">
      <c r="A83" t="s">
        <v>83</v>
      </c>
    </row>
    <row r="84" spans="1:8">
      <c r="A84" t="s">
        <v>84</v>
      </c>
      <c r="B84">
        <v>1378473763</v>
      </c>
      <c r="C84">
        <v>1378640863</v>
      </c>
      <c r="D84">
        <v>1378640863</v>
      </c>
      <c r="E84">
        <v>1224487509</v>
      </c>
      <c r="F84">
        <v>1224487509</v>
      </c>
      <c r="G84">
        <v>1224487509</v>
      </c>
      <c r="H84">
        <v>1224487509</v>
      </c>
    </row>
    <row r="85" spans="1:8">
      <c r="A85" t="s">
        <v>85</v>
      </c>
      <c r="B85">
        <v>2922450338</v>
      </c>
      <c r="C85">
        <v>2922599097</v>
      </c>
      <c r="D85">
        <v>2919324832</v>
      </c>
      <c r="E85">
        <v>1689958354</v>
      </c>
      <c r="F85">
        <v>1689640307</v>
      </c>
      <c r="G85">
        <v>1689095256</v>
      </c>
      <c r="H85">
        <v>1708238187</v>
      </c>
    </row>
    <row r="86" spans="1:8">
      <c r="A86" t="s">
        <v>86</v>
      </c>
      <c r="B86">
        <v>193200</v>
      </c>
      <c r="C86">
        <v>193200</v>
      </c>
      <c r="D86">
        <v>193200</v>
      </c>
      <c r="E86">
        <v>193200</v>
      </c>
      <c r="F86">
        <v>193200</v>
      </c>
      <c r="G86">
        <v>193200</v>
      </c>
      <c r="H86">
        <v>193200</v>
      </c>
    </row>
    <row r="87" spans="1:8">
      <c r="A87" t="s">
        <v>87</v>
      </c>
      <c r="B87">
        <v>-157291087</v>
      </c>
      <c r="C87">
        <v>-223499134</v>
      </c>
      <c r="D87">
        <v>-218990433</v>
      </c>
      <c r="E87">
        <v>-51078511</v>
      </c>
      <c r="F87">
        <v>-163502571</v>
      </c>
      <c r="G87">
        <v>-168001210</v>
      </c>
      <c r="H87">
        <v>-107915568</v>
      </c>
    </row>
    <row r="88" spans="1:8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t="s">
        <v>89</v>
      </c>
      <c r="B89">
        <v>689320432</v>
      </c>
      <c r="C89">
        <v>689320432</v>
      </c>
      <c r="D89">
        <v>677183645</v>
      </c>
      <c r="E89">
        <v>612243755</v>
      </c>
      <c r="F89">
        <v>612243755</v>
      </c>
      <c r="G89">
        <v>589096200</v>
      </c>
      <c r="H89">
        <v>531178067</v>
      </c>
    </row>
    <row r="90" spans="1:8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91</v>
      </c>
      <c r="B91">
        <v>4089701599</v>
      </c>
      <c r="C91">
        <v>3232662484</v>
      </c>
      <c r="D91">
        <v>3104693631</v>
      </c>
      <c r="E91">
        <v>2803669485</v>
      </c>
      <c r="F91">
        <v>2355262555</v>
      </c>
      <c r="G91">
        <v>2002451850</v>
      </c>
      <c r="H91">
        <v>2002484675</v>
      </c>
    </row>
    <row r="92" spans="1:8">
      <c r="A92" t="s">
        <v>92</v>
      </c>
      <c r="B92">
        <v>8922461845</v>
      </c>
      <c r="C92">
        <v>7999530542</v>
      </c>
      <c r="D92">
        <v>7860659338</v>
      </c>
      <c r="E92">
        <v>6279087392</v>
      </c>
      <c r="F92">
        <v>5717938355</v>
      </c>
      <c r="G92">
        <v>5336936405</v>
      </c>
      <c r="H92">
        <v>5358279670</v>
      </c>
    </row>
    <row r="93" spans="1:8">
      <c r="A93" t="s">
        <v>93</v>
      </c>
      <c r="B93">
        <v>2500118076</v>
      </c>
      <c r="C93">
        <v>2548721889</v>
      </c>
      <c r="D93">
        <v>2491242852</v>
      </c>
      <c r="E93">
        <v>2636176694</v>
      </c>
      <c r="F93">
        <v>1699002691</v>
      </c>
      <c r="G93">
        <v>1447876547</v>
      </c>
      <c r="H93">
        <v>1324171477</v>
      </c>
    </row>
    <row r="94" spans="1:9">
      <c r="A94" t="s">
        <v>94</v>
      </c>
      <c r="B94">
        <v>11422579921</v>
      </c>
      <c r="C94">
        <v>10548252431</v>
      </c>
      <c r="D94">
        <v>10351902190</v>
      </c>
      <c r="E94">
        <v>8915264086</v>
      </c>
      <c r="F94">
        <v>7416941046</v>
      </c>
      <c r="G94">
        <v>6784812952</v>
      </c>
      <c r="H94">
        <v>6682451147</v>
      </c>
      <c r="I94" s="21">
        <v>6159945278</v>
      </c>
    </row>
    <row r="95" spans="1:8">
      <c r="A95" t="s">
        <v>95</v>
      </c>
      <c r="B95">
        <v>24227319907</v>
      </c>
      <c r="C95">
        <v>24452336700</v>
      </c>
      <c r="D95">
        <v>23450401026</v>
      </c>
      <c r="E95">
        <v>20309910295</v>
      </c>
      <c r="F95">
        <v>17637106805</v>
      </c>
      <c r="G95">
        <v>17933759421</v>
      </c>
      <c r="H95">
        <v>16539257377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A21" sqref="A21"/>
    </sheetView>
  </sheetViews>
  <sheetFormatPr defaultColWidth="9" defaultRowHeight="16.8"/>
  <cols>
    <col min="1" max="1" width="34.4107142857143" customWidth="1"/>
    <col min="2" max="2" width="12.3303571428571" customWidth="1"/>
    <col min="9" max="9" width="13.6607142857143" customWidth="1"/>
  </cols>
  <sheetData>
    <row r="1" spans="1:8">
      <c r="A1" t="s">
        <v>0</v>
      </c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</row>
    <row r="2" spans="1:8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8">
      <c r="A3" t="s">
        <v>96</v>
      </c>
      <c r="B3">
        <v>26485200199</v>
      </c>
      <c r="C3">
        <v>28214908036</v>
      </c>
      <c r="D3">
        <v>29205992515</v>
      </c>
      <c r="E3">
        <v>25222715966</v>
      </c>
      <c r="F3">
        <v>22563236819</v>
      </c>
      <c r="G3">
        <v>20985560398</v>
      </c>
      <c r="H3">
        <v>21672185188</v>
      </c>
    </row>
    <row r="4" spans="1:9">
      <c r="A4" t="s">
        <v>97</v>
      </c>
      <c r="B4">
        <v>26485200199</v>
      </c>
      <c r="C4">
        <v>28214908036</v>
      </c>
      <c r="D4">
        <v>29205992515</v>
      </c>
      <c r="E4">
        <v>25222715966</v>
      </c>
      <c r="F4">
        <v>22563236819</v>
      </c>
      <c r="G4">
        <v>20985560398</v>
      </c>
      <c r="H4">
        <v>21672185188</v>
      </c>
      <c r="I4" s="21">
        <v>20206750930</v>
      </c>
    </row>
    <row r="5" spans="1:8">
      <c r="A5" t="s">
        <v>98</v>
      </c>
      <c r="B5">
        <v>25761255785</v>
      </c>
      <c r="C5">
        <v>27639328079</v>
      </c>
      <c r="D5">
        <v>28616423269</v>
      </c>
      <c r="E5">
        <v>24093521101</v>
      </c>
      <c r="F5">
        <v>21320133580</v>
      </c>
      <c r="G5">
        <v>20226634261</v>
      </c>
      <c r="H5">
        <v>20719027583</v>
      </c>
    </row>
    <row r="6" spans="1:8">
      <c r="A6" t="s">
        <v>99</v>
      </c>
      <c r="B6">
        <v>21279242476</v>
      </c>
      <c r="C6">
        <v>22952053914</v>
      </c>
      <c r="D6">
        <v>23846305511</v>
      </c>
      <c r="E6">
        <v>18712364564</v>
      </c>
      <c r="F6">
        <v>15504696954</v>
      </c>
      <c r="G6">
        <v>13993223213</v>
      </c>
      <c r="H6">
        <v>14452324030</v>
      </c>
    </row>
    <row r="7" spans="1:8">
      <c r="A7" t="s">
        <v>100</v>
      </c>
      <c r="B7">
        <v>92840686</v>
      </c>
      <c r="C7">
        <v>92738113</v>
      </c>
      <c r="D7">
        <v>103617240</v>
      </c>
      <c r="E7">
        <v>86338476</v>
      </c>
      <c r="F7">
        <v>86917872</v>
      </c>
      <c r="G7">
        <v>96361848</v>
      </c>
      <c r="H7">
        <v>121017130</v>
      </c>
    </row>
    <row r="8" spans="1:8">
      <c r="A8" t="s">
        <v>101</v>
      </c>
      <c r="B8">
        <v>3181938505</v>
      </c>
      <c r="C8">
        <v>3473565933</v>
      </c>
      <c r="D8">
        <v>3649524399</v>
      </c>
      <c r="E8">
        <v>4308682900</v>
      </c>
      <c r="F8">
        <v>4860231451</v>
      </c>
      <c r="G8">
        <v>4994995363</v>
      </c>
      <c r="H8">
        <v>5163646454</v>
      </c>
    </row>
    <row r="9" spans="1:8">
      <c r="A9" t="s">
        <v>102</v>
      </c>
      <c r="B9">
        <v>886162411</v>
      </c>
      <c r="C9">
        <v>878386807</v>
      </c>
      <c r="D9">
        <v>814015577</v>
      </c>
      <c r="E9">
        <v>820001592</v>
      </c>
      <c r="F9">
        <v>695581365</v>
      </c>
      <c r="G9">
        <v>668331651</v>
      </c>
      <c r="H9">
        <v>664422619</v>
      </c>
    </row>
    <row r="10" spans="1:8">
      <c r="A10" t="s">
        <v>103</v>
      </c>
      <c r="B10">
        <v>234872372</v>
      </c>
      <c r="C10">
        <v>157921780</v>
      </c>
      <c r="D10">
        <v>113701109</v>
      </c>
      <c r="E10">
        <v>93288672</v>
      </c>
      <c r="F10">
        <v>104565511</v>
      </c>
      <c r="G10">
        <v>201113144</v>
      </c>
      <c r="H10">
        <v>252175718</v>
      </c>
    </row>
    <row r="11" spans="1:8">
      <c r="A11" t="s">
        <v>104</v>
      </c>
      <c r="B11">
        <v>86199335</v>
      </c>
      <c r="C11">
        <v>84661532</v>
      </c>
      <c r="D11">
        <v>89259433</v>
      </c>
      <c r="E11">
        <v>72844897</v>
      </c>
      <c r="F11">
        <v>68140427</v>
      </c>
      <c r="G11">
        <v>58513339</v>
      </c>
      <c r="H11">
        <v>0</v>
      </c>
    </row>
    <row r="12" spans="1:8">
      <c r="A12" t="s">
        <v>105</v>
      </c>
      <c r="B12">
        <v>0</v>
      </c>
      <c r="C12">
        <v>0</v>
      </c>
      <c r="D12">
        <v>0</v>
      </c>
      <c r="E12">
        <v>0</v>
      </c>
      <c r="F12">
        <v>0</v>
      </c>
      <c r="G12">
        <v>214095703</v>
      </c>
      <c r="H12">
        <v>65441632</v>
      </c>
    </row>
    <row r="13" spans="1:8">
      <c r="A13" t="s">
        <v>106</v>
      </c>
      <c r="B13">
        <v>6992560</v>
      </c>
      <c r="C13">
        <v>-6894747</v>
      </c>
      <c r="D13">
        <v>0</v>
      </c>
      <c r="E13">
        <v>0</v>
      </c>
      <c r="F13">
        <v>0</v>
      </c>
      <c r="G13">
        <v>0</v>
      </c>
      <c r="H13">
        <v>132203</v>
      </c>
    </row>
    <row r="14" spans="1:8">
      <c r="A14" t="s">
        <v>107</v>
      </c>
      <c r="B14">
        <v>5417634</v>
      </c>
      <c r="C14">
        <v>-14353204</v>
      </c>
      <c r="D14">
        <v>-4627648</v>
      </c>
      <c r="E14">
        <v>6163496</v>
      </c>
      <c r="F14">
        <v>3140576</v>
      </c>
      <c r="G14">
        <v>-354652</v>
      </c>
      <c r="H14">
        <v>4881512</v>
      </c>
    </row>
    <row r="15" spans="1:8">
      <c r="A15" t="s">
        <v>108</v>
      </c>
      <c r="B15">
        <v>5417634</v>
      </c>
      <c r="C15">
        <v>-8276473</v>
      </c>
      <c r="D15">
        <v>-4682635</v>
      </c>
      <c r="E15">
        <v>-2535805</v>
      </c>
      <c r="F15">
        <v>3140576</v>
      </c>
      <c r="G15">
        <v>-354652</v>
      </c>
      <c r="H15">
        <v>4881512</v>
      </c>
    </row>
    <row r="16" spans="1:8">
      <c r="A16" t="s">
        <v>109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9">
      <c r="A17" t="s">
        <v>110</v>
      </c>
      <c r="B17">
        <v>891509067</v>
      </c>
      <c r="C17">
        <v>541208847</v>
      </c>
      <c r="D17">
        <v>656865218</v>
      </c>
      <c r="E17">
        <v>1196378501</v>
      </c>
      <c r="F17">
        <v>1135172138</v>
      </c>
      <c r="G17">
        <v>878500774</v>
      </c>
      <c r="H17">
        <v>1101116420</v>
      </c>
      <c r="I17" s="21">
        <v>975513150</v>
      </c>
    </row>
    <row r="18" spans="1:8">
      <c r="A18" t="s">
        <v>111</v>
      </c>
      <c r="B18">
        <v>89889882</v>
      </c>
      <c r="C18">
        <v>40423563</v>
      </c>
      <c r="D18">
        <v>82732036</v>
      </c>
      <c r="E18">
        <v>33668395</v>
      </c>
      <c r="F18">
        <v>19032931</v>
      </c>
      <c r="G18">
        <v>26033216</v>
      </c>
      <c r="H18">
        <v>44661548</v>
      </c>
    </row>
    <row r="19" spans="1:8">
      <c r="A19" t="s">
        <v>112</v>
      </c>
      <c r="B19">
        <v>165016296</v>
      </c>
      <c r="C19">
        <v>83727734</v>
      </c>
      <c r="D19">
        <v>39693707</v>
      </c>
      <c r="E19">
        <v>73135056</v>
      </c>
      <c r="F19">
        <v>80427647</v>
      </c>
      <c r="G19">
        <v>112228418</v>
      </c>
      <c r="H19">
        <v>143003839</v>
      </c>
    </row>
    <row r="20" spans="1:8">
      <c r="A20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114</v>
      </c>
      <c r="B21">
        <v>816382653</v>
      </c>
      <c r="C21">
        <v>497904676</v>
      </c>
      <c r="D21">
        <v>699903547</v>
      </c>
      <c r="E21">
        <v>1156911840</v>
      </c>
      <c r="F21">
        <v>1073777422</v>
      </c>
      <c r="G21">
        <v>792305572</v>
      </c>
      <c r="H21">
        <v>1002774129</v>
      </c>
    </row>
    <row r="22" spans="1:8">
      <c r="A22" t="s">
        <v>115</v>
      </c>
      <c r="B22">
        <v>-14182404</v>
      </c>
      <c r="C22">
        <v>106747742</v>
      </c>
      <c r="D22">
        <v>133009974</v>
      </c>
      <c r="E22">
        <v>371769878</v>
      </c>
      <c r="F22">
        <v>391325059</v>
      </c>
      <c r="G22">
        <v>265711572</v>
      </c>
      <c r="H22">
        <v>184665316</v>
      </c>
    </row>
    <row r="23" spans="1:9">
      <c r="A23" t="s">
        <v>116</v>
      </c>
      <c r="B23">
        <v>830565057</v>
      </c>
      <c r="C23">
        <v>391156934</v>
      </c>
      <c r="D23">
        <v>566893573</v>
      </c>
      <c r="E23">
        <v>785141962</v>
      </c>
      <c r="F23">
        <v>682452363</v>
      </c>
      <c r="G23">
        <v>526594000</v>
      </c>
      <c r="H23">
        <v>818108813</v>
      </c>
      <c r="I23" s="21">
        <v>675261476</v>
      </c>
    </row>
    <row r="24" spans="1:8">
      <c r="A24" t="s">
        <v>117</v>
      </c>
      <c r="B24">
        <v>967330384</v>
      </c>
      <c r="C24">
        <v>360688178</v>
      </c>
      <c r="D24">
        <v>592337225</v>
      </c>
      <c r="E24">
        <v>607590306</v>
      </c>
      <c r="F24">
        <v>498407011</v>
      </c>
      <c r="G24">
        <v>341756709</v>
      </c>
      <c r="H24">
        <v>617239581</v>
      </c>
    </row>
    <row r="25" spans="1:8">
      <c r="A25" t="s">
        <v>118</v>
      </c>
      <c r="B25">
        <v>-136765327</v>
      </c>
      <c r="C25">
        <v>30468756</v>
      </c>
      <c r="D25">
        <v>-25443652</v>
      </c>
      <c r="E25">
        <v>177551656</v>
      </c>
      <c r="F25">
        <v>184045352</v>
      </c>
      <c r="G25">
        <v>184837291</v>
      </c>
      <c r="H25">
        <v>200869232</v>
      </c>
    </row>
    <row r="26" spans="1:1">
      <c r="A26" t="s">
        <v>119</v>
      </c>
    </row>
    <row r="27" spans="1:8">
      <c r="A27" t="s">
        <v>120</v>
      </c>
      <c r="B27">
        <v>0.7</v>
      </c>
      <c r="C27">
        <v>0.26</v>
      </c>
      <c r="D27">
        <v>0.48</v>
      </c>
      <c r="E27">
        <v>0.5</v>
      </c>
      <c r="F27">
        <v>0.41</v>
      </c>
      <c r="G27">
        <v>0.28</v>
      </c>
      <c r="H27">
        <v>0.5</v>
      </c>
    </row>
    <row r="28" spans="1:8">
      <c r="A28" t="s">
        <v>121</v>
      </c>
      <c r="B28">
        <v>0.7</v>
      </c>
      <c r="C28">
        <v>0.26</v>
      </c>
      <c r="D28">
        <v>0.48</v>
      </c>
      <c r="E28">
        <v>0.5</v>
      </c>
      <c r="F28">
        <v>0</v>
      </c>
      <c r="G28">
        <v>0.28</v>
      </c>
      <c r="H28">
        <v>0.5</v>
      </c>
    </row>
    <row r="29" spans="1:8">
      <c r="A29" t="s">
        <v>122</v>
      </c>
      <c r="B29">
        <v>173295791</v>
      </c>
      <c r="C29">
        <v>34909758</v>
      </c>
      <c r="D29">
        <v>-485809637</v>
      </c>
      <c r="E29">
        <v>253321700</v>
      </c>
      <c r="F29">
        <v>82248230</v>
      </c>
      <c r="G29">
        <v>-124359577</v>
      </c>
      <c r="H29">
        <v>-93989969</v>
      </c>
    </row>
    <row r="30" spans="1:8">
      <c r="A30" t="s">
        <v>123</v>
      </c>
      <c r="B30">
        <v>1003860848</v>
      </c>
      <c r="C30">
        <v>426066692</v>
      </c>
      <c r="D30">
        <v>81083936</v>
      </c>
      <c r="E30">
        <v>1038463662</v>
      </c>
      <c r="F30">
        <v>764700593</v>
      </c>
      <c r="G30">
        <v>402234423</v>
      </c>
      <c r="H30">
        <v>724118844</v>
      </c>
    </row>
    <row r="31" spans="1:8">
      <c r="A31" t="s">
        <v>124</v>
      </c>
      <c r="B31">
        <v>1033538431</v>
      </c>
      <c r="C31">
        <v>356179477</v>
      </c>
      <c r="D31">
        <v>424425303</v>
      </c>
      <c r="E31">
        <v>720014366</v>
      </c>
      <c r="F31">
        <v>502905650</v>
      </c>
      <c r="G31">
        <v>281671067</v>
      </c>
      <c r="H31">
        <v>558114378</v>
      </c>
    </row>
    <row r="32" spans="1:8">
      <c r="A32" t="s">
        <v>125</v>
      </c>
      <c r="B32">
        <v>-29677583</v>
      </c>
      <c r="C32">
        <v>69887215</v>
      </c>
      <c r="D32">
        <v>-343341367</v>
      </c>
      <c r="E32">
        <v>318449296</v>
      </c>
      <c r="F32">
        <v>261794943</v>
      </c>
      <c r="G32">
        <v>120563356</v>
      </c>
      <c r="H32">
        <v>166004466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B1" sqref="B1:H1"/>
    </sheetView>
  </sheetViews>
  <sheetFormatPr defaultColWidth="9" defaultRowHeight="16.8" outlineLevelCol="7"/>
  <cols>
    <col min="1" max="1" width="18.5892857142857" customWidth="1"/>
  </cols>
  <sheetData>
    <row r="1" spans="1:8">
      <c r="A1" t="s">
        <v>0</v>
      </c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</row>
    <row r="2" spans="1:8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1">
      <c r="A3" t="s">
        <v>126</v>
      </c>
    </row>
    <row r="4" spans="1:8">
      <c r="A4" t="s">
        <v>127</v>
      </c>
      <c r="B4">
        <v>30379439869</v>
      </c>
      <c r="C4">
        <v>33126994541</v>
      </c>
      <c r="D4">
        <v>35080710256</v>
      </c>
      <c r="E4">
        <v>29932997479</v>
      </c>
      <c r="F4">
        <v>24928368404</v>
      </c>
      <c r="G4">
        <v>24298235875</v>
      </c>
      <c r="H4">
        <v>23728329975</v>
      </c>
    </row>
    <row r="5" spans="1:8">
      <c r="A5" t="s">
        <v>128</v>
      </c>
      <c r="B5">
        <v>0</v>
      </c>
      <c r="C5">
        <v>34589036</v>
      </c>
      <c r="D5">
        <v>385358962</v>
      </c>
      <c r="E5">
        <v>311894365</v>
      </c>
      <c r="F5">
        <v>308875875</v>
      </c>
      <c r="G5">
        <v>347651976</v>
      </c>
      <c r="H5">
        <v>395750251</v>
      </c>
    </row>
    <row r="6" spans="1:8">
      <c r="A6" t="s">
        <v>129</v>
      </c>
      <c r="B6">
        <v>172915591</v>
      </c>
      <c r="C6">
        <v>222965280</v>
      </c>
      <c r="D6">
        <v>344585434</v>
      </c>
      <c r="E6">
        <v>627817392</v>
      </c>
      <c r="F6">
        <v>137192349</v>
      </c>
      <c r="G6">
        <v>150924097</v>
      </c>
      <c r="H6">
        <v>113336260</v>
      </c>
    </row>
    <row r="7" spans="1:8">
      <c r="A7" t="s">
        <v>130</v>
      </c>
      <c r="B7">
        <v>30552355460</v>
      </c>
      <c r="C7">
        <v>33384548857</v>
      </c>
      <c r="D7">
        <v>35810654652</v>
      </c>
      <c r="E7">
        <v>30872709236</v>
      </c>
      <c r="F7">
        <v>25374436628</v>
      </c>
      <c r="G7">
        <v>24796811948</v>
      </c>
      <c r="H7">
        <v>24237416486</v>
      </c>
    </row>
    <row r="8" spans="1:8">
      <c r="A8" t="s">
        <v>131</v>
      </c>
      <c r="B8">
        <v>22117409084</v>
      </c>
      <c r="C8">
        <v>26413442378</v>
      </c>
      <c r="D8">
        <v>26995214539</v>
      </c>
      <c r="E8">
        <v>21747580779</v>
      </c>
      <c r="F8">
        <v>15838792355</v>
      </c>
      <c r="G8">
        <v>15760032238</v>
      </c>
      <c r="H8">
        <v>15435450606</v>
      </c>
    </row>
    <row r="9" spans="1:8">
      <c r="A9" t="s">
        <v>132</v>
      </c>
      <c r="B9">
        <v>4191444800</v>
      </c>
      <c r="C9">
        <v>3459689924</v>
      </c>
      <c r="D9">
        <v>3445607684</v>
      </c>
      <c r="E9">
        <v>3013903693</v>
      </c>
      <c r="F9">
        <v>2888927295</v>
      </c>
      <c r="G9">
        <v>2676224429</v>
      </c>
      <c r="H9">
        <v>2386769877</v>
      </c>
    </row>
    <row r="10" spans="1:8">
      <c r="A10" t="s">
        <v>133</v>
      </c>
      <c r="B10">
        <v>362354764</v>
      </c>
      <c r="C10">
        <v>659840545</v>
      </c>
      <c r="D10">
        <v>852004305</v>
      </c>
      <c r="E10">
        <v>855312098</v>
      </c>
      <c r="F10">
        <v>904865527</v>
      </c>
      <c r="G10">
        <v>1124288992</v>
      </c>
      <c r="H10">
        <v>1426780207</v>
      </c>
    </row>
    <row r="11" spans="1:8">
      <c r="A11" t="s">
        <v>134</v>
      </c>
      <c r="B11">
        <v>2416796855</v>
      </c>
      <c r="C11">
        <v>2184438682</v>
      </c>
      <c r="D11">
        <v>2459346964</v>
      </c>
      <c r="E11">
        <v>3097317523</v>
      </c>
      <c r="F11">
        <v>3332135570</v>
      </c>
      <c r="G11">
        <v>3782630139</v>
      </c>
      <c r="H11">
        <v>3387999860</v>
      </c>
    </row>
    <row r="12" spans="1:8">
      <c r="A12" t="s">
        <v>135</v>
      </c>
      <c r="B12">
        <v>29088005503</v>
      </c>
      <c r="C12">
        <v>32717411529</v>
      </c>
      <c r="D12">
        <v>33752173492</v>
      </c>
      <c r="E12">
        <v>28714114093</v>
      </c>
      <c r="F12">
        <v>22964720747</v>
      </c>
      <c r="G12">
        <v>23343175798</v>
      </c>
      <c r="H12">
        <v>22637000550</v>
      </c>
    </row>
    <row r="13" spans="1:8">
      <c r="A13" t="s">
        <v>136</v>
      </c>
      <c r="B13">
        <v>1464349957</v>
      </c>
      <c r="C13">
        <v>667137328</v>
      </c>
      <c r="D13">
        <v>2058481160</v>
      </c>
      <c r="E13">
        <v>2158595143</v>
      </c>
      <c r="F13">
        <v>2409715881</v>
      </c>
      <c r="G13">
        <v>1453636150</v>
      </c>
      <c r="H13">
        <v>1600415936</v>
      </c>
    </row>
    <row r="14" spans="1:1">
      <c r="A14" t="s">
        <v>137</v>
      </c>
    </row>
    <row r="15" spans="1:8">
      <c r="A15" t="s">
        <v>138</v>
      </c>
      <c r="B15">
        <v>0</v>
      </c>
      <c r="C15">
        <v>0</v>
      </c>
      <c r="D15">
        <v>23000000</v>
      </c>
      <c r="E15">
        <v>0</v>
      </c>
      <c r="F15">
        <v>0</v>
      </c>
      <c r="G15">
        <v>0</v>
      </c>
      <c r="H15">
        <v>0</v>
      </c>
    </row>
    <row r="16" spans="1:8">
      <c r="A16" t="s">
        <v>139</v>
      </c>
      <c r="B16">
        <v>0</v>
      </c>
      <c r="C16">
        <v>4843430</v>
      </c>
      <c r="D16">
        <v>4843431</v>
      </c>
      <c r="E16">
        <v>6457906</v>
      </c>
      <c r="F16">
        <v>1500000</v>
      </c>
      <c r="G16">
        <v>0</v>
      </c>
      <c r="H16">
        <v>0</v>
      </c>
    </row>
    <row r="17" spans="1:8">
      <c r="A17" t="s">
        <v>140</v>
      </c>
      <c r="B17">
        <v>536360279</v>
      </c>
      <c r="C17">
        <v>278640432</v>
      </c>
      <c r="D17">
        <v>430074294</v>
      </c>
      <c r="E17">
        <v>293901451</v>
      </c>
      <c r="F17">
        <v>308251030</v>
      </c>
      <c r="G17">
        <v>209736336</v>
      </c>
      <c r="H17">
        <v>266882591</v>
      </c>
    </row>
    <row r="18" spans="1:8">
      <c r="A18" t="s">
        <v>141</v>
      </c>
      <c r="B18">
        <v>30310000</v>
      </c>
      <c r="C18">
        <v>0</v>
      </c>
      <c r="D18">
        <v>0</v>
      </c>
      <c r="E18">
        <v>200000</v>
      </c>
      <c r="F18">
        <v>0</v>
      </c>
      <c r="G18">
        <v>0</v>
      </c>
      <c r="H18">
        <v>645267</v>
      </c>
    </row>
    <row r="19" spans="1:8">
      <c r="A19" t="s">
        <v>142</v>
      </c>
      <c r="B19">
        <v>0</v>
      </c>
      <c r="C19">
        <v>0</v>
      </c>
      <c r="D19">
        <v>0</v>
      </c>
      <c r="E19">
        <v>0</v>
      </c>
      <c r="F19">
        <v>0</v>
      </c>
      <c r="G19">
        <v>74850231</v>
      </c>
      <c r="H19">
        <v>47114572</v>
      </c>
    </row>
    <row r="20" spans="1:8">
      <c r="A20" t="s">
        <v>143</v>
      </c>
      <c r="B20">
        <v>566670279</v>
      </c>
      <c r="C20">
        <v>283483862</v>
      </c>
      <c r="D20">
        <v>457917725</v>
      </c>
      <c r="E20">
        <v>300559357</v>
      </c>
      <c r="F20">
        <v>309751030</v>
      </c>
      <c r="G20">
        <v>284586567</v>
      </c>
      <c r="H20">
        <v>314642430</v>
      </c>
    </row>
    <row r="21" spans="1:8">
      <c r="A21" t="s">
        <v>144</v>
      </c>
      <c r="B21">
        <v>908185519</v>
      </c>
      <c r="C21">
        <v>1386014807</v>
      </c>
      <c r="D21">
        <v>2382843486</v>
      </c>
      <c r="E21">
        <v>1879736508</v>
      </c>
      <c r="F21">
        <v>2052789286</v>
      </c>
      <c r="G21">
        <v>1834785682</v>
      </c>
      <c r="H21">
        <v>1258835831</v>
      </c>
    </row>
    <row r="22" spans="1:8">
      <c r="A22" t="s">
        <v>145</v>
      </c>
      <c r="B22">
        <v>3486802</v>
      </c>
      <c r="C22">
        <v>0</v>
      </c>
      <c r="D22">
        <v>24500000</v>
      </c>
      <c r="E22">
        <v>49000000</v>
      </c>
      <c r="F22">
        <v>0</v>
      </c>
      <c r="G22">
        <v>0</v>
      </c>
      <c r="H22">
        <v>0</v>
      </c>
    </row>
    <row r="23" spans="1:8">
      <c r="A23" t="s">
        <v>146</v>
      </c>
      <c r="B23">
        <v>0</v>
      </c>
      <c r="C23">
        <v>0</v>
      </c>
      <c r="D23">
        <v>645170193</v>
      </c>
      <c r="E23">
        <v>221608055</v>
      </c>
      <c r="F23">
        <v>85551298</v>
      </c>
      <c r="G23">
        <v>184353000</v>
      </c>
      <c r="H23">
        <v>131635557</v>
      </c>
    </row>
    <row r="24" spans="1:8">
      <c r="A24" t="s">
        <v>147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148</v>
      </c>
      <c r="B25">
        <v>911672321</v>
      </c>
      <c r="C25">
        <v>1386014807</v>
      </c>
      <c r="D25">
        <v>3052513679</v>
      </c>
      <c r="E25">
        <v>2150344563</v>
      </c>
      <c r="F25">
        <v>2138340584</v>
      </c>
      <c r="G25">
        <v>2019138682</v>
      </c>
      <c r="H25">
        <v>1390471388</v>
      </c>
    </row>
    <row r="26" spans="1:8">
      <c r="A26" t="s">
        <v>149</v>
      </c>
      <c r="B26">
        <v>-345002042</v>
      </c>
      <c r="C26">
        <v>-1102530945</v>
      </c>
      <c r="D26">
        <v>-2594595954</v>
      </c>
      <c r="E26">
        <v>-1849785206</v>
      </c>
      <c r="F26">
        <v>-1828589554</v>
      </c>
      <c r="G26">
        <v>-1734552115</v>
      </c>
      <c r="H26">
        <v>-1075828958</v>
      </c>
    </row>
    <row r="27" spans="1:1">
      <c r="A27" t="s">
        <v>150</v>
      </c>
    </row>
    <row r="28" spans="1:8">
      <c r="A28" t="s">
        <v>151</v>
      </c>
      <c r="B28">
        <v>0</v>
      </c>
      <c r="C28">
        <v>0</v>
      </c>
      <c r="D28">
        <v>1968472489</v>
      </c>
      <c r="E28">
        <v>651833518</v>
      </c>
      <c r="F28">
        <v>0</v>
      </c>
      <c r="G28">
        <v>0</v>
      </c>
      <c r="H28">
        <v>22586000</v>
      </c>
    </row>
    <row r="29" spans="1:8">
      <c r="A29" t="s">
        <v>152</v>
      </c>
      <c r="B29">
        <v>0</v>
      </c>
      <c r="C29">
        <v>0</v>
      </c>
      <c r="D29">
        <v>49000000</v>
      </c>
      <c r="E29">
        <v>651833518</v>
      </c>
      <c r="F29">
        <v>0</v>
      </c>
      <c r="G29">
        <v>0</v>
      </c>
      <c r="H29">
        <v>22586000</v>
      </c>
    </row>
    <row r="30" spans="1:8">
      <c r="A30" t="s">
        <v>153</v>
      </c>
      <c r="B30">
        <v>2750279706</v>
      </c>
      <c r="C30">
        <v>2347822176</v>
      </c>
      <c r="D30">
        <v>1060228453</v>
      </c>
      <c r="E30">
        <v>2936053861</v>
      </c>
      <c r="F30">
        <v>5920047559</v>
      </c>
      <c r="G30">
        <v>4456690790</v>
      </c>
      <c r="H30">
        <v>3427480005</v>
      </c>
    </row>
    <row r="31" spans="1:8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155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156</v>
      </c>
      <c r="B33">
        <v>2750279706</v>
      </c>
      <c r="C33">
        <v>2347822176</v>
      </c>
      <c r="D33">
        <v>3028700942</v>
      </c>
      <c r="E33">
        <v>3587887379</v>
      </c>
      <c r="F33">
        <v>5920047559</v>
      </c>
      <c r="G33">
        <v>4456690790</v>
      </c>
      <c r="H33">
        <v>3450066005</v>
      </c>
    </row>
    <row r="34" spans="1:8">
      <c r="A34" t="s">
        <v>157</v>
      </c>
      <c r="B34">
        <v>2604007868</v>
      </c>
      <c r="C34">
        <v>1799823889</v>
      </c>
      <c r="D34">
        <v>1630719358</v>
      </c>
      <c r="E34">
        <v>3143019897</v>
      </c>
      <c r="F34">
        <v>7771721729</v>
      </c>
      <c r="G34">
        <v>3362822890</v>
      </c>
      <c r="H34">
        <v>1414400917</v>
      </c>
    </row>
    <row r="35" spans="1:8">
      <c r="A35" t="s">
        <v>158</v>
      </c>
      <c r="B35">
        <v>287908079</v>
      </c>
      <c r="C35">
        <v>347735422</v>
      </c>
      <c r="D35">
        <v>280816462</v>
      </c>
      <c r="E35">
        <v>279989520</v>
      </c>
      <c r="F35">
        <v>318349495</v>
      </c>
      <c r="G35">
        <v>322136287</v>
      </c>
      <c r="H35">
        <v>687137220</v>
      </c>
    </row>
    <row r="36" spans="1:8">
      <c r="A36" t="s">
        <v>159</v>
      </c>
      <c r="B36">
        <v>11306402</v>
      </c>
      <c r="C36">
        <v>12638600</v>
      </c>
      <c r="D36">
        <v>17079953</v>
      </c>
      <c r="E36">
        <v>12788600</v>
      </c>
      <c r="F36">
        <v>12788600</v>
      </c>
      <c r="G36">
        <v>11319853</v>
      </c>
      <c r="H36">
        <v>32102000</v>
      </c>
    </row>
    <row r="37" spans="1:8">
      <c r="A37" t="s">
        <v>160</v>
      </c>
      <c r="B37">
        <v>354743415</v>
      </c>
      <c r="C37">
        <v>326743736</v>
      </c>
      <c r="D37">
        <v>334110706</v>
      </c>
      <c r="E37">
        <v>0</v>
      </c>
      <c r="F37">
        <v>0</v>
      </c>
      <c r="G37">
        <v>0</v>
      </c>
      <c r="H37">
        <v>1578447393</v>
      </c>
    </row>
    <row r="38" spans="1:8">
      <c r="A38" t="s">
        <v>161</v>
      </c>
      <c r="B38">
        <v>3246659362</v>
      </c>
      <c r="C38">
        <v>2474303047</v>
      </c>
      <c r="D38">
        <v>2245646526</v>
      </c>
      <c r="E38">
        <v>3423009417</v>
      </c>
      <c r="F38">
        <v>8090071224</v>
      </c>
      <c r="G38">
        <v>3684959177</v>
      </c>
      <c r="H38">
        <v>3744552445</v>
      </c>
    </row>
    <row r="39" spans="1:8">
      <c r="A39" t="s">
        <v>162</v>
      </c>
      <c r="B39">
        <v>-496379656</v>
      </c>
      <c r="C39">
        <v>-126480871</v>
      </c>
      <c r="D39">
        <v>783054416</v>
      </c>
      <c r="E39">
        <v>164877962</v>
      </c>
      <c r="F39">
        <v>-2170023665</v>
      </c>
      <c r="G39">
        <v>771731613</v>
      </c>
      <c r="H39">
        <v>-294486440</v>
      </c>
    </row>
    <row r="40" spans="1:8">
      <c r="A40" t="s">
        <v>163</v>
      </c>
      <c r="B40">
        <v>1838551</v>
      </c>
      <c r="C40">
        <v>7491066</v>
      </c>
      <c r="D40">
        <v>-4877998</v>
      </c>
      <c r="E40">
        <v>-4339703</v>
      </c>
      <c r="F40">
        <v>1244740</v>
      </c>
      <c r="G40">
        <v>-783737</v>
      </c>
      <c r="H40">
        <v>-187612764</v>
      </c>
    </row>
    <row r="41" spans="1:8">
      <c r="A41" t="s">
        <v>164</v>
      </c>
      <c r="B41">
        <v>624806810</v>
      </c>
      <c r="C41">
        <v>-554383422</v>
      </c>
      <c r="D41">
        <v>242061624</v>
      </c>
      <c r="E41">
        <v>469348196</v>
      </c>
      <c r="F41">
        <v>-1587652598</v>
      </c>
      <c r="G41">
        <v>490031911</v>
      </c>
      <c r="H41">
        <v>42487774</v>
      </c>
    </row>
    <row r="42" spans="1:8">
      <c r="A42" t="s">
        <v>165</v>
      </c>
      <c r="B42">
        <v>2648729919</v>
      </c>
      <c r="C42">
        <v>3203113341</v>
      </c>
      <c r="D42">
        <v>2961051717</v>
      </c>
      <c r="E42">
        <v>2480002990</v>
      </c>
      <c r="F42">
        <v>4067655588</v>
      </c>
      <c r="G42">
        <v>3577623677</v>
      </c>
      <c r="H42">
        <v>3366364061</v>
      </c>
    </row>
    <row r="43" spans="1:8">
      <c r="A43" t="s">
        <v>166</v>
      </c>
      <c r="B43">
        <v>3273536729</v>
      </c>
      <c r="C43">
        <v>2648729919</v>
      </c>
      <c r="D43">
        <v>3203113341</v>
      </c>
      <c r="E43">
        <v>2949351186</v>
      </c>
      <c r="F43">
        <v>2480002990</v>
      </c>
      <c r="G43">
        <v>4067655588</v>
      </c>
      <c r="H43">
        <v>3408851835</v>
      </c>
    </row>
    <row r="44" spans="1:1">
      <c r="A44" t="s">
        <v>167</v>
      </c>
    </row>
    <row r="45" spans="1:8">
      <c r="A45" t="s">
        <v>168</v>
      </c>
      <c r="B45">
        <v>830565057</v>
      </c>
      <c r="C45">
        <v>391156934</v>
      </c>
      <c r="D45">
        <v>566893573</v>
      </c>
      <c r="E45">
        <v>785141962</v>
      </c>
      <c r="F45">
        <v>682452363</v>
      </c>
      <c r="G45">
        <v>526594000</v>
      </c>
      <c r="H45">
        <v>818108813</v>
      </c>
    </row>
    <row r="46" spans="1:8">
      <c r="A46" t="s">
        <v>93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</v>
      </c>
      <c r="B48">
        <v>347557427</v>
      </c>
      <c r="C48">
        <v>171591204</v>
      </c>
      <c r="D48">
        <v>92722878</v>
      </c>
      <c r="E48">
        <v>44151589</v>
      </c>
      <c r="F48">
        <v>195585974</v>
      </c>
      <c r="G48">
        <v>214095703</v>
      </c>
      <c r="H48">
        <v>65441632</v>
      </c>
    </row>
    <row r="49" spans="1:8">
      <c r="A49" t="s">
        <v>171</v>
      </c>
      <c r="B49">
        <v>1057582230</v>
      </c>
      <c r="C49">
        <v>957441035</v>
      </c>
      <c r="D49">
        <v>892956941</v>
      </c>
      <c r="E49">
        <v>912280585</v>
      </c>
      <c r="F49">
        <v>796111933</v>
      </c>
      <c r="G49">
        <v>809868626</v>
      </c>
      <c r="H49">
        <v>831391528</v>
      </c>
    </row>
    <row r="50" spans="1:8">
      <c r="A50" t="s">
        <v>172</v>
      </c>
      <c r="B50">
        <v>96247987</v>
      </c>
      <c r="C50">
        <v>33211996</v>
      </c>
      <c r="D50">
        <v>13714210</v>
      </c>
      <c r="E50">
        <v>18433634</v>
      </c>
      <c r="F50">
        <v>14586318</v>
      </c>
      <c r="G50">
        <v>14710502</v>
      </c>
      <c r="H50">
        <v>13855943</v>
      </c>
    </row>
    <row r="51" spans="1:8">
      <c r="A51" t="s">
        <v>173</v>
      </c>
      <c r="B51">
        <v>20706975</v>
      </c>
      <c r="C51">
        <v>13315382</v>
      </c>
      <c r="D51">
        <v>8850122</v>
      </c>
      <c r="E51">
        <v>10431500</v>
      </c>
      <c r="F51">
        <v>6627832</v>
      </c>
      <c r="G51">
        <v>6255531</v>
      </c>
      <c r="H51">
        <v>1764922</v>
      </c>
    </row>
    <row r="52" spans="1:8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176</v>
      </c>
      <c r="B54">
        <v>-447968366</v>
      </c>
      <c r="C54">
        <v>-33907765</v>
      </c>
      <c r="D54">
        <v>-63540191</v>
      </c>
      <c r="E54">
        <v>-4614701</v>
      </c>
      <c r="F54">
        <v>-12593867</v>
      </c>
      <c r="G54">
        <v>-1065921</v>
      </c>
      <c r="H54">
        <v>-65392368</v>
      </c>
    </row>
    <row r="55" spans="1:8">
      <c r="A55" t="s">
        <v>177</v>
      </c>
      <c r="B55">
        <v>128946881</v>
      </c>
      <c r="C55">
        <v>39911212</v>
      </c>
      <c r="D55">
        <v>-3008809</v>
      </c>
      <c r="E55">
        <v>7330872</v>
      </c>
      <c r="F55">
        <v>43993773</v>
      </c>
      <c r="G55">
        <v>80802372</v>
      </c>
      <c r="H55">
        <v>125939291</v>
      </c>
    </row>
    <row r="56" spans="1:8">
      <c r="A56" t="s">
        <v>178</v>
      </c>
      <c r="B56">
        <v>-6992560</v>
      </c>
      <c r="C56">
        <v>6894747</v>
      </c>
      <c r="D56">
        <v>0</v>
      </c>
      <c r="E56">
        <v>0</v>
      </c>
      <c r="F56">
        <v>0</v>
      </c>
      <c r="G56">
        <v>0</v>
      </c>
      <c r="H56">
        <v>-132203</v>
      </c>
    </row>
    <row r="57" spans="1:8">
      <c r="A57" t="s">
        <v>179</v>
      </c>
      <c r="B57">
        <v>0</v>
      </c>
      <c r="C57">
        <v>0</v>
      </c>
      <c r="D57">
        <v>0</v>
      </c>
      <c r="E57">
        <v>-86788371</v>
      </c>
      <c r="F57">
        <v>0</v>
      </c>
      <c r="G57">
        <v>0</v>
      </c>
      <c r="H57">
        <v>0</v>
      </c>
    </row>
    <row r="58" spans="1:8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103</v>
      </c>
      <c r="B59">
        <v>237050677</v>
      </c>
      <c r="C59">
        <v>163228274</v>
      </c>
      <c r="D59">
        <v>55651314</v>
      </c>
      <c r="E59">
        <v>131012955</v>
      </c>
      <c r="F59">
        <v>147932424</v>
      </c>
      <c r="G59">
        <v>227064293</v>
      </c>
      <c r="H59">
        <v>249826527</v>
      </c>
    </row>
    <row r="60" spans="1:8">
      <c r="A60" t="s">
        <v>181</v>
      </c>
      <c r="B60">
        <v>-5417634</v>
      </c>
      <c r="C60">
        <v>14353204</v>
      </c>
      <c r="D60">
        <v>4627648</v>
      </c>
      <c r="E60">
        <v>-6163496</v>
      </c>
      <c r="F60">
        <v>-3140576</v>
      </c>
      <c r="G60">
        <v>354652</v>
      </c>
      <c r="H60">
        <v>-4881512</v>
      </c>
    </row>
    <row r="61" spans="1:8">
      <c r="A61" t="s">
        <v>182</v>
      </c>
      <c r="B61">
        <v>42943915</v>
      </c>
      <c r="C61">
        <v>-29913931</v>
      </c>
      <c r="D61">
        <v>117236254</v>
      </c>
      <c r="E61">
        <v>196113597</v>
      </c>
      <c r="F61">
        <v>-4567167</v>
      </c>
      <c r="G61">
        <v>80643459</v>
      </c>
      <c r="H61">
        <v>-85176553</v>
      </c>
    </row>
    <row r="62" spans="1:8">
      <c r="A62" t="s">
        <v>183</v>
      </c>
      <c r="B62">
        <v>-173933544</v>
      </c>
      <c r="C62">
        <v>59244159</v>
      </c>
      <c r="D62">
        <v>8333827</v>
      </c>
      <c r="E62">
        <v>42266756</v>
      </c>
      <c r="F62">
        <v>83626638</v>
      </c>
      <c r="G62">
        <v>-27053853</v>
      </c>
      <c r="H62">
        <v>17848028</v>
      </c>
    </row>
    <row r="63" spans="1:8">
      <c r="A63" t="s">
        <v>184</v>
      </c>
      <c r="B63">
        <v>565150428</v>
      </c>
      <c r="C63">
        <v>-1204111841</v>
      </c>
      <c r="D63">
        <v>-248063449</v>
      </c>
      <c r="E63">
        <v>-446676707</v>
      </c>
      <c r="F63">
        <v>-313407028</v>
      </c>
      <c r="G63">
        <v>-254535382</v>
      </c>
      <c r="H63">
        <v>30144740</v>
      </c>
    </row>
    <row r="64" spans="1:8">
      <c r="A64" t="s">
        <v>185</v>
      </c>
      <c r="B64">
        <v>413869187</v>
      </c>
      <c r="C64">
        <v>-104912077</v>
      </c>
      <c r="D64">
        <v>91814583</v>
      </c>
      <c r="E64">
        <v>-469209701</v>
      </c>
      <c r="F64">
        <v>-48721581</v>
      </c>
      <c r="G64">
        <v>104967811</v>
      </c>
      <c r="H64">
        <v>-254432741</v>
      </c>
    </row>
    <row r="65" spans="1:8">
      <c r="A65" t="s">
        <v>186</v>
      </c>
      <c r="B65">
        <v>-1934977425</v>
      </c>
      <c r="C65">
        <v>-67384042</v>
      </c>
      <c r="D65">
        <v>299338331</v>
      </c>
      <c r="E65">
        <v>922273471</v>
      </c>
      <c r="F65">
        <v>810761762</v>
      </c>
      <c r="G65">
        <v>-311306071</v>
      </c>
      <c r="H65">
        <v>-143154612</v>
      </c>
    </row>
    <row r="66" spans="1:8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t="s">
        <v>189</v>
      </c>
      <c r="B68">
        <v>1137597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t="s">
        <v>190</v>
      </c>
      <c r="B69">
        <v>1464349957</v>
      </c>
      <c r="C69">
        <v>667137328</v>
      </c>
      <c r="D69">
        <v>2058481160</v>
      </c>
      <c r="E69">
        <v>2158595143</v>
      </c>
      <c r="F69">
        <v>2409715881</v>
      </c>
      <c r="G69">
        <v>1453636150</v>
      </c>
      <c r="H69">
        <v>1600415936</v>
      </c>
    </row>
    <row r="70" spans="1:8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194</v>
      </c>
      <c r="B73">
        <v>3273536729</v>
      </c>
      <c r="C73">
        <v>2648729919</v>
      </c>
      <c r="D73">
        <v>3203113341</v>
      </c>
      <c r="E73">
        <v>2949351186</v>
      </c>
      <c r="F73">
        <v>2480002990</v>
      </c>
      <c r="G73">
        <v>4067655588</v>
      </c>
      <c r="H73">
        <v>3408851835</v>
      </c>
    </row>
    <row r="74" spans="1:8">
      <c r="A74" t="s">
        <v>195</v>
      </c>
      <c r="B74">
        <v>2648729919</v>
      </c>
      <c r="C74">
        <v>3203113341</v>
      </c>
      <c r="D74">
        <v>2961051717</v>
      </c>
      <c r="E74">
        <v>2480002990</v>
      </c>
      <c r="F74">
        <v>4067655588</v>
      </c>
      <c r="G74">
        <v>3577623677</v>
      </c>
      <c r="H74">
        <v>3366364061</v>
      </c>
    </row>
    <row r="75" spans="1:8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198</v>
      </c>
      <c r="B77">
        <v>624806810</v>
      </c>
      <c r="C77">
        <v>-554383422</v>
      </c>
      <c r="D77">
        <v>242061624</v>
      </c>
      <c r="E77">
        <v>469348196</v>
      </c>
      <c r="F77">
        <v>-1587652598</v>
      </c>
      <c r="G77">
        <v>490031911</v>
      </c>
      <c r="H77">
        <v>42487774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opLeftCell="A4" workbookViewId="0">
      <selection activeCell="I22" sqref="I22"/>
    </sheetView>
  </sheetViews>
  <sheetFormatPr defaultColWidth="9" defaultRowHeight="16.8"/>
  <cols>
    <col min="1" max="1" width="12.3303571428571" style="20" customWidth="1"/>
    <col min="2" max="2" width="16.25" style="20" customWidth="1"/>
    <col min="3" max="3" width="17.4017857142857" style="20" customWidth="1"/>
    <col min="4" max="4" width="16.8035714285714" style="20" customWidth="1"/>
    <col min="5" max="5" width="17.6964285714286" style="20" customWidth="1"/>
    <col min="6" max="6" width="17.5535714285714" style="20" customWidth="1"/>
    <col min="7" max="7" width="16.5089285714286" style="20" customWidth="1"/>
    <col min="8" max="8" width="17.25" style="20" customWidth="1"/>
    <col min="9" max="9" width="15.4732142857143" style="20" customWidth="1"/>
    <col min="10" max="11" width="8.66071428571429" style="20"/>
    <col min="12" max="12" width="14.3303571428571" style="20" customWidth="1"/>
    <col min="13" max="14" width="10.4107142857143" style="20" customWidth="1"/>
    <col min="15" max="16" width="12.3303571428571" style="20" customWidth="1"/>
    <col min="17" max="17" width="9.16071428571429" style="20" customWidth="1"/>
    <col min="18" max="16384" width="8.66071428571429" style="20"/>
  </cols>
  <sheetData>
    <row r="1" spans="2:9">
      <c r="B1" s="20" t="s">
        <v>0</v>
      </c>
      <c r="C1">
        <v>2023</v>
      </c>
      <c r="D1">
        <v>2022</v>
      </c>
      <c r="E1">
        <v>2021</v>
      </c>
      <c r="F1">
        <v>2020</v>
      </c>
      <c r="G1">
        <v>2019</v>
      </c>
      <c r="H1">
        <v>2018</v>
      </c>
      <c r="I1">
        <v>2017</v>
      </c>
    </row>
    <row r="2" spans="2:2">
      <c r="B2" s="20" t="s">
        <v>199</v>
      </c>
    </row>
    <row r="4" spans="1:9">
      <c r="A4" s="20" t="s">
        <v>200</v>
      </c>
      <c r="B4" s="20" t="s">
        <v>201</v>
      </c>
      <c r="C4" s="20">
        <f>资产负债表!B23/资产负债表!B68</f>
        <v>0.953158815899589</v>
      </c>
      <c r="D4" s="20">
        <f>资产负债表!C23/资产负债表!C68</f>
        <v>0.923047812089792</v>
      </c>
      <c r="E4" s="20">
        <f>资产负债表!D23/资产负债表!D68</f>
        <v>1.05629449521539</v>
      </c>
      <c r="F4" s="20">
        <f>资产负债表!E23/资产负债表!E68</f>
        <v>0.996673654839134</v>
      </c>
      <c r="G4" s="20">
        <f>资产负债表!F23/资产负债表!F68</f>
        <v>0.875435571969078</v>
      </c>
      <c r="H4" s="20">
        <f>资产负债表!G23/资产负债表!G68</f>
        <v>0.87746997511997</v>
      </c>
      <c r="I4" s="20">
        <f>资产负债表!H23/资产负债表!H68</f>
        <v>0.868531770617042</v>
      </c>
    </row>
    <row r="5" spans="2:9">
      <c r="B5" s="20" t="s">
        <v>202</v>
      </c>
      <c r="C5" s="20">
        <f>(资产负债表!B23-资产负债表!B17)/资产负债表!B68</f>
        <v>0.603359371971163</v>
      </c>
      <c r="D5" s="20">
        <f>(资产负债表!C23-资产负债表!C17)/资产负债表!C68</f>
        <v>0.532094022003716</v>
      </c>
      <c r="E5" s="20">
        <f>(资产负债表!D23-资产负债表!D17)/资产负债表!D68</f>
        <v>0.697857417388308</v>
      </c>
      <c r="F5" s="20">
        <f>(资产负债表!E23-资产负债表!E17)/资产负债表!E68</f>
        <v>0.678876509935497</v>
      </c>
      <c r="G5" s="20">
        <f>(资产负债表!F23-资产负债表!F17)/资产负债表!F68</f>
        <v>0.595148975071255</v>
      </c>
      <c r="H5" s="20">
        <f>(资产负债表!G23-资产负债表!G17)/资产负债表!G68</f>
        <v>0.669639163427691</v>
      </c>
      <c r="I5" s="20">
        <f>(资产负债表!H23-资产负债表!H17)/资产负债表!H68</f>
        <v>0.669609916268859</v>
      </c>
    </row>
    <row r="6" spans="1:9">
      <c r="A6" s="20" t="s">
        <v>203</v>
      </c>
      <c r="B6" s="20" t="s">
        <v>204</v>
      </c>
      <c r="C6" s="20">
        <f>资产负债表!B82/资产负债表!B48</f>
        <v>0.528524823841548</v>
      </c>
      <c r="D6" s="20">
        <f>资产负债表!C82/资产负债表!C48</f>
        <v>0.56861985991711</v>
      </c>
      <c r="E6" s="20">
        <f>资产负债表!D82/资产负债表!D48</f>
        <v>0.558561826788266</v>
      </c>
      <c r="F6" s="20">
        <f>资产负债表!E82/资产负债表!E48</f>
        <v>0.561038726586852</v>
      </c>
      <c r="G6" s="20">
        <f>资产负债表!F82/资产负债表!F48</f>
        <v>0.579469516854241</v>
      </c>
      <c r="H6" s="20">
        <f>资产负债表!G82/资产负债表!G48</f>
        <v>0.621673694136036</v>
      </c>
      <c r="I6" s="20">
        <f>资产负债表!H82/资产负债表!H48</f>
        <v>0.59596425675721</v>
      </c>
    </row>
    <row r="7" spans="2:9">
      <c r="B7" s="20" t="s">
        <v>205</v>
      </c>
      <c r="C7" s="20">
        <f>资产负债表!B82/资产负债表!B94</f>
        <v>1.12100244205418</v>
      </c>
      <c r="D7" s="20">
        <f>资产负债表!C82/资产负债表!C94</f>
        <v>1.31814102477654</v>
      </c>
      <c r="E7" s="20">
        <f>资产负债表!D82/资产负债表!D94</f>
        <v>1.26532289385937</v>
      </c>
      <c r="F7" s="20">
        <f>资产负债表!E82/资产负债表!E94</f>
        <v>1.27810529212404</v>
      </c>
      <c r="G7" s="20">
        <f>资产负债表!F82/资产负债表!F94</f>
        <v>1.37794890044485</v>
      </c>
      <c r="H7" s="20">
        <f>资产负债表!G82/资产负债表!G94</f>
        <v>1.64322090349058</v>
      </c>
      <c r="I7" s="20">
        <f>资产负债表!H82/资产负债表!H94</f>
        <v>1.47502855062773</v>
      </c>
    </row>
    <row r="8" spans="2:9">
      <c r="B8" s="20" t="s">
        <v>206</v>
      </c>
      <c r="C8" s="20">
        <f>资产负债表!B94/资产负债表!B48</f>
        <v>0.471475176158452</v>
      </c>
      <c r="D8" s="20">
        <f>资产负债表!C94/资产负债表!C48</f>
        <v>0.43138014008289</v>
      </c>
      <c r="E8" s="20">
        <f>资产负债表!D94/资产负债表!D48</f>
        <v>0.441438173211733</v>
      </c>
      <c r="F8" s="20">
        <f>资产负债表!E94/资产负债表!E48</f>
        <v>0.438961273413148</v>
      </c>
      <c r="G8" s="20">
        <f>资产负债表!F94/资产负债表!F48</f>
        <v>0.420530483145759</v>
      </c>
      <c r="H8" s="20">
        <f>资产负债表!G94/资产负债表!G48</f>
        <v>0.378326305863964</v>
      </c>
      <c r="I8" s="20">
        <f>资产负债表!H94/资产负债表!H48</f>
        <v>0.40403574324279</v>
      </c>
    </row>
    <row r="9" spans="1:9">
      <c r="A9" s="20" t="s">
        <v>207</v>
      </c>
      <c r="B9" s="20" t="s">
        <v>208</v>
      </c>
      <c r="C9" s="20">
        <f>利润表!B6*2/(资产负债表!B17+资产负债表!C17)</f>
        <v>5.48165173318518</v>
      </c>
      <c r="D9" s="20">
        <f>利润表!C6*2/(资产负债表!C17+资产负债表!D17)</f>
        <v>6.27859210436427</v>
      </c>
      <c r="E9" s="20">
        <f>利润表!D6*2/(资产负债表!D17+资产负债表!E17)</f>
        <v>7.97955697124648</v>
      </c>
      <c r="F9" s="20">
        <f>利润表!E6*2/(资产负债表!E17+资产负债表!F17)</f>
        <v>7.23978597257264</v>
      </c>
      <c r="G9" s="20">
        <f>利润表!F6*2/(资产负债表!F17+资产负债表!G17)</f>
        <v>7.14561617610425</v>
      </c>
      <c r="H9" s="20">
        <f>利润表!G6*2/(资产负债表!G17+资产负债表!H17)</f>
        <v>7.30677479072022</v>
      </c>
      <c r="I9" s="20">
        <f>利润表!H6*2/(资产负债表!H17+资产负债表!I17)</f>
        <v>7.92726061249684</v>
      </c>
    </row>
    <row r="10" spans="2:9">
      <c r="B10" s="20" t="s">
        <v>209</v>
      </c>
      <c r="C10" s="20">
        <f>365/C9</f>
        <v>66.5857697216223</v>
      </c>
      <c r="D10" s="20">
        <f t="shared" ref="D10:I10" si="0">365/D9</f>
        <v>58.1340520188097</v>
      </c>
      <c r="E10" s="20">
        <f t="shared" si="0"/>
        <v>45.7418878410469</v>
      </c>
      <c r="F10" s="20">
        <f t="shared" si="0"/>
        <v>50.4158550242747</v>
      </c>
      <c r="G10" s="20">
        <f t="shared" si="0"/>
        <v>51.080269497346</v>
      </c>
      <c r="H10" s="20">
        <f t="shared" si="0"/>
        <v>49.9536403480724</v>
      </c>
      <c r="I10" s="20">
        <f t="shared" si="0"/>
        <v>46.0436483474001</v>
      </c>
    </row>
    <row r="11" spans="2:9">
      <c r="B11" s="20" t="s">
        <v>210</v>
      </c>
      <c r="C11" s="20">
        <f>利润表!B4*2/(资产负债表!B9+资产负债表!C9)</f>
        <v>12.6905671877333</v>
      </c>
      <c r="D11" s="20">
        <f>利润表!C4*2/(资产负债表!C9+资产负债表!D9)</f>
        <v>13.4910709852971</v>
      </c>
      <c r="E11" s="20">
        <f>利润表!D4*2/(资产负债表!D9+资产负债表!E9)</f>
        <v>15.6611700471506</v>
      </c>
      <c r="F11" s="20">
        <f>利润表!E4*2/(资产负债表!E9+资产负债表!F9)</f>
        <v>14.7768780145267</v>
      </c>
      <c r="G11" s="20">
        <f>利润表!F4*2/(资产负债表!F9+资产负债表!G9)</f>
        <v>13.9173868467391</v>
      </c>
      <c r="H11" s="20">
        <f>利润表!G4*2/(资产负债表!G9+资产负债表!H9)</f>
        <v>11.9463954315624</v>
      </c>
      <c r="I11" s="20">
        <f>利润表!H4*2/(资产负债表!H9+资产负债表!I9)</f>
        <v>12.3273863092217</v>
      </c>
    </row>
    <row r="12" spans="2:9">
      <c r="B12" s="20" t="s">
        <v>211</v>
      </c>
      <c r="C12" s="20">
        <f>365/C11</f>
        <v>28.7615198438735</v>
      </c>
      <c r="D12" s="20">
        <f t="shared" ref="D12:I12" si="1">365/D11</f>
        <v>27.0549313985366</v>
      </c>
      <c r="E12" s="20">
        <f t="shared" si="1"/>
        <v>23.3060492224467</v>
      </c>
      <c r="F12" s="20">
        <f t="shared" si="1"/>
        <v>24.700752056096</v>
      </c>
      <c r="G12" s="20">
        <f t="shared" si="1"/>
        <v>26.2261877189625</v>
      </c>
      <c r="H12" s="20">
        <f t="shared" si="1"/>
        <v>30.5531490306833</v>
      </c>
      <c r="I12" s="20">
        <f t="shared" si="1"/>
        <v>29.6088717303323</v>
      </c>
    </row>
    <row r="13" spans="2:9">
      <c r="B13" s="20" t="s">
        <v>212</v>
      </c>
      <c r="C13" s="20">
        <f>C10+C12</f>
        <v>95.3472895654958</v>
      </c>
      <c r="D13" s="20">
        <f t="shared" ref="D13:I13" si="2">D10+D12</f>
        <v>85.1889834173463</v>
      </c>
      <c r="E13" s="20">
        <f t="shared" si="2"/>
        <v>69.0479370634936</v>
      </c>
      <c r="F13" s="20">
        <f t="shared" si="2"/>
        <v>75.1166070803707</v>
      </c>
      <c r="G13" s="20">
        <f t="shared" si="2"/>
        <v>77.3064572163085</v>
      </c>
      <c r="H13" s="20">
        <f t="shared" si="2"/>
        <v>80.5067893787557</v>
      </c>
      <c r="I13" s="20">
        <f t="shared" si="2"/>
        <v>75.6525200777324</v>
      </c>
    </row>
    <row r="14" spans="2:9">
      <c r="B14" s="20" t="s">
        <v>213</v>
      </c>
      <c r="C14" s="20">
        <f>利润表!B4*2/(资产负债表!B23+资产负债表!C23)</f>
        <v>2.69866353046614</v>
      </c>
      <c r="D14" s="20">
        <f>利润表!C4*2/(资产负债表!C23+资产负债表!D23)</f>
        <v>2.95648940536496</v>
      </c>
      <c r="E14" s="20">
        <f>利润表!D4*2/(资产负债表!D23+资产负债表!E23)</f>
        <v>3.21737929779511</v>
      </c>
      <c r="F14" s="20">
        <f>利润表!E4*2/(资产负债表!E23+资产负债表!F23)</f>
        <v>3.11730936009314</v>
      </c>
      <c r="G14" s="20">
        <f>利润表!F4*2/(资产负债表!F23+资产负债表!G23)</f>
        <v>2.85836760439539</v>
      </c>
      <c r="H14" s="20">
        <f>利润表!G4*2/(资产负债表!G23+资产负债表!H23)</f>
        <v>2.5544787466868</v>
      </c>
      <c r="I14" s="20">
        <f>利润表!H4*2/(资产负债表!H23+资产负债表!I23)</f>
        <v>2.80577242617646</v>
      </c>
    </row>
    <row r="15" spans="2:9">
      <c r="B15" s="20" t="s">
        <v>214</v>
      </c>
      <c r="C15" s="20">
        <f>365/C14</f>
        <v>135.252133465098</v>
      </c>
      <c r="D15" s="20">
        <f t="shared" ref="D15:I15" si="3">365/D14</f>
        <v>123.457232533171</v>
      </c>
      <c r="E15" s="20">
        <f t="shared" si="3"/>
        <v>113.446369301293</v>
      </c>
      <c r="F15" s="20">
        <f t="shared" si="3"/>
        <v>117.088154506775</v>
      </c>
      <c r="G15" s="20">
        <f t="shared" si="3"/>
        <v>127.695261952567</v>
      </c>
      <c r="H15" s="20">
        <f t="shared" si="3"/>
        <v>142.886293524035</v>
      </c>
      <c r="I15" s="20">
        <f t="shared" si="3"/>
        <v>130.088953970298</v>
      </c>
    </row>
    <row r="16" spans="2:9">
      <c r="B16" s="20" t="s">
        <v>215</v>
      </c>
      <c r="C16" s="20">
        <f>利润表!B4*2/(资产负债表!B48+资产负债表!C48)</f>
        <v>1.08814244162895</v>
      </c>
      <c r="D16" s="20">
        <f>利润表!C4*2/(资产负债表!C48+资产负债表!D48)</f>
        <v>1.17800816301511</v>
      </c>
      <c r="E16" s="20">
        <f>利润表!D4*2/(资产负债表!D48+资产负债表!E48)</f>
        <v>1.33481648705659</v>
      </c>
      <c r="F16" s="20">
        <f>利润表!E4*2/(资产负债表!E48+资产负债表!F48)</f>
        <v>1.32936488259574</v>
      </c>
      <c r="G16" s="20">
        <f>利润表!F4*2/(资产负债表!F48+资产负债表!G48)</f>
        <v>1.26863578050892</v>
      </c>
      <c r="H16" s="20">
        <f>利润表!G4*2/(资产负债表!G48+资产负债表!H48)</f>
        <v>1.21750646431487</v>
      </c>
      <c r="I16" s="20">
        <f>利润表!H4*2/(资产负债表!H48+资产负债表!I48)</f>
        <v>1.32880470968433</v>
      </c>
    </row>
    <row r="17" spans="2:9">
      <c r="B17" s="20" t="s">
        <v>216</v>
      </c>
      <c r="C17" s="20">
        <f>365/C16</f>
        <v>335.434025947553</v>
      </c>
      <c r="D17" s="20">
        <f t="shared" ref="D17:I17" si="4">365/D16</f>
        <v>309.845051553618</v>
      </c>
      <c r="E17" s="20">
        <f t="shared" si="4"/>
        <v>273.445828351179</v>
      </c>
      <c r="F17" s="20">
        <f t="shared" si="4"/>
        <v>274.567204819865</v>
      </c>
      <c r="G17" s="20">
        <f t="shared" si="4"/>
        <v>287.710630275285</v>
      </c>
      <c r="H17" s="20">
        <f t="shared" si="4"/>
        <v>299.793069440003</v>
      </c>
      <c r="I17" s="20">
        <f t="shared" si="4"/>
        <v>274.68295178357</v>
      </c>
    </row>
    <row r="18" spans="1:9">
      <c r="A18" s="20" t="s">
        <v>217</v>
      </c>
      <c r="B18" s="20" t="s">
        <v>218</v>
      </c>
      <c r="C18" s="20">
        <f>利润表!B23/利润表!B4</f>
        <v>0.0313595914231133</v>
      </c>
      <c r="D18" s="20">
        <f>利润表!C23/利润表!C4</f>
        <v>0.0138634842793361</v>
      </c>
      <c r="E18" s="20">
        <f>利润表!D23/利润表!D4</f>
        <v>0.0194101800412654</v>
      </c>
      <c r="F18" s="20">
        <f>利润表!E23/利润表!E4</f>
        <v>0.0311283671059994</v>
      </c>
      <c r="G18" s="20">
        <f>利润表!F23/利润表!F4</f>
        <v>0.0302462083997329</v>
      </c>
      <c r="H18" s="20">
        <f>利润表!G23/利润表!G4</f>
        <v>0.0250931588202994</v>
      </c>
      <c r="I18" s="20">
        <f>利润表!H23/利润表!H4</f>
        <v>0.0377492535202676</v>
      </c>
    </row>
    <row r="19" spans="2:9">
      <c r="B19" s="20" t="s">
        <v>219</v>
      </c>
      <c r="C19" s="20">
        <f>利润表!B21*2/(资产负债表!B48+资产负债表!C48)</f>
        <v>0.0335410193868379</v>
      </c>
      <c r="D19" s="20">
        <f>利润表!C21*2/(资产负债表!C48+资产负债表!D48)</f>
        <v>0.0207881511427583</v>
      </c>
      <c r="E19" s="20">
        <f>利润表!D21*2/(资产负债表!D48+资产负债表!E48)</f>
        <v>0.0319880515413118</v>
      </c>
      <c r="F19" s="20">
        <f>利润表!E21*2/(资产负债表!E48+资产负债表!F48)</f>
        <v>0.0609751136407504</v>
      </c>
      <c r="G19" s="20">
        <f>利润表!F21*2/(资产负债表!F48+资产负债表!G48)</f>
        <v>0.0603739821896796</v>
      </c>
      <c r="H19" s="20">
        <f>利润表!G21*2/(资产负债表!G48+资产负债表!H48)</f>
        <v>0.0459667093624348</v>
      </c>
      <c r="I19" s="20">
        <f>利润表!H21*2/(资产负债表!H48+资产负债表!I48)</f>
        <v>0.0614839239239523</v>
      </c>
    </row>
    <row r="20" spans="2:9">
      <c r="B20" s="20" t="s">
        <v>220</v>
      </c>
      <c r="C20" s="20">
        <f>利润表!B23*2/(资产负债表!B94+资产负债表!C94)</f>
        <v>0.0756061530754336</v>
      </c>
      <c r="D20" s="20">
        <f>利润表!C23*2/(资产负债表!C94+资产负债表!D94)</f>
        <v>0.0374310086306227</v>
      </c>
      <c r="E20" s="20">
        <f>利润表!D23*2/(资产负债表!D94+资产负债表!E94)</f>
        <v>0.0588455577617708</v>
      </c>
      <c r="F20" s="20">
        <f>利润表!E23*2/(资产负债表!E94+资产负债表!F94)</f>
        <v>0.0961464732599588</v>
      </c>
      <c r="G20" s="20">
        <f>利润表!F23*2/(资产负债表!F94+资产负债表!G94)</f>
        <v>0.0961081797496433</v>
      </c>
      <c r="H20" s="20">
        <f>利润表!G23*2/(资产负债表!G94+资产负债表!H94)</f>
        <v>0.0782035602968686</v>
      </c>
      <c r="I20" s="20">
        <f>利润表!H23*2/(资产负债表!H94+资产负债表!I94)</f>
        <v>0.127407500271119</v>
      </c>
    </row>
    <row r="21" spans="2:9">
      <c r="B21" s="20" t="s">
        <v>221</v>
      </c>
      <c r="C21" s="20">
        <v>0.7</v>
      </c>
      <c r="D21" s="20">
        <v>0.26</v>
      </c>
      <c r="E21" s="20">
        <v>0.48</v>
      </c>
      <c r="F21" s="20">
        <v>0.5</v>
      </c>
      <c r="G21" s="20">
        <v>0.41</v>
      </c>
      <c r="H21" s="20">
        <v>0.28</v>
      </c>
      <c r="I21" s="20">
        <v>0.5</v>
      </c>
    </row>
    <row r="22" spans="2:9">
      <c r="B22" s="20" t="s">
        <v>222</v>
      </c>
      <c r="C22" s="20">
        <f>105125.5*10000</f>
        <v>1051255000</v>
      </c>
      <c r="D22" s="20">
        <f>65778.86*10000</f>
        <v>657788600</v>
      </c>
      <c r="E22" s="20">
        <f>80983.83*10000</f>
        <v>809838300</v>
      </c>
      <c r="F22" s="20">
        <f>125924.5*10000</f>
        <v>1259245000</v>
      </c>
      <c r="G22" s="20">
        <f>122170.98*10000</f>
        <v>1221709800</v>
      </c>
      <c r="H22" s="20">
        <f>101936.99*10000</f>
        <v>1019369900</v>
      </c>
      <c r="I22" s="20">
        <f>125511.79*10000</f>
        <v>1255117900</v>
      </c>
    </row>
    <row r="23" spans="1:9">
      <c r="A23" s="20" t="s">
        <v>223</v>
      </c>
      <c r="B23" s="20" t="s">
        <v>224</v>
      </c>
      <c r="C23" s="20">
        <f>(利润表!B4-利润表!C4)/利润表!C4</f>
        <v>-0.0613047483547715</v>
      </c>
      <c r="D23" s="20">
        <f>(利润表!C4-利润表!D4)/利润表!D4</f>
        <v>-0.033934285181063</v>
      </c>
      <c r="E23" s="20">
        <f>(利润表!D4-利润表!E4)/利润表!E4</f>
        <v>0.157924172574017</v>
      </c>
      <c r="F23" s="20">
        <f>(利润表!E4-利润表!F4)/利润表!F4</f>
        <v>0.117867802759598</v>
      </c>
      <c r="G23" s="20">
        <f>(利润表!F4-利润表!G4)/利润表!G4</f>
        <v>0.075179141804112</v>
      </c>
      <c r="H23" s="20">
        <f>(利润表!G4-利润表!H4)/利润表!H4</f>
        <v>-0.0316823054086944</v>
      </c>
      <c r="I23" s="20">
        <f>(利润表!H4-利润表!I4)/利润表!I4</f>
        <v>0.0725220132161049</v>
      </c>
    </row>
    <row r="24" spans="2:9">
      <c r="B24" s="20" t="s">
        <v>225</v>
      </c>
      <c r="C24" s="20">
        <f>(利润表!B17-利润表!C17)/利润表!C17</f>
        <v>0.647255162109351</v>
      </c>
      <c r="D24" s="20">
        <f>(利润表!C17-利润表!D17)/利润表!D17</f>
        <v>-0.176073215373081</v>
      </c>
      <c r="E24" s="20">
        <f>(利润表!D17-利润表!E17)/利润表!E17</f>
        <v>-0.450955347784204</v>
      </c>
      <c r="F24" s="20">
        <f>(利润表!E17-利润表!F17)/利润表!F17</f>
        <v>0.0539181336038041</v>
      </c>
      <c r="G24" s="20">
        <f>(利润表!F17-利润表!G17)/利润表!G17</f>
        <v>0.29216976421241</v>
      </c>
      <c r="H24" s="20">
        <f>(利润表!G17-利润表!H17)/利润表!H17</f>
        <v>-0.202172669443981</v>
      </c>
      <c r="I24" s="20">
        <f>(利润表!H17-利润表!I17)/利润表!I17</f>
        <v>0.1287561013401</v>
      </c>
    </row>
    <row r="25" spans="2:9">
      <c r="B25" s="20" t="s">
        <v>226</v>
      </c>
      <c r="C25" s="20">
        <f>(利润表!B23-利润表!C23)/利润表!C23</f>
        <v>1.12335506495201</v>
      </c>
      <c r="D25" s="20">
        <f>(利润表!C23-利润表!D23)/利润表!D23</f>
        <v>-0.309999349736851</v>
      </c>
      <c r="E25" s="20">
        <f>(利润表!D23-利润表!E23)/利润表!E23</f>
        <v>-0.27797315589152</v>
      </c>
      <c r="F25" s="20">
        <f>(利润表!E23-利润表!F23)/利润表!F23</f>
        <v>0.150471453492498</v>
      </c>
      <c r="G25" s="20">
        <f>(利润表!F23-利润表!G23)/利润表!G23</f>
        <v>0.295974437612278</v>
      </c>
      <c r="H25" s="20">
        <f>(利润表!G23-利润表!H23)/利润表!H23</f>
        <v>-0.356327677159493</v>
      </c>
      <c r="I25" s="20">
        <f>(利润表!H23-利润表!I23)/利润表!I23</f>
        <v>0.21154373835477</v>
      </c>
    </row>
    <row r="26" spans="2:9">
      <c r="B26" s="20" t="s">
        <v>227</v>
      </c>
      <c r="C26" s="20">
        <f>(资产负债表!B48-资产负债表!C48)/资产负债表!C48</f>
        <v>-0.00920226135279742</v>
      </c>
      <c r="D26" s="20">
        <f>(资产负债表!C48-资产负债表!D48)/资产负债表!D48</f>
        <v>0.0427257373078239</v>
      </c>
      <c r="E26" s="20">
        <f>(资产负债表!D48-资产负债表!E48)/资产负债表!E48</f>
        <v>0.154628488525286</v>
      </c>
      <c r="F26" s="20">
        <f>(资产负债表!E48-资产负债表!F48)/资产负债表!F48</f>
        <v>0.151544327510807</v>
      </c>
      <c r="G26" s="20">
        <f>(资产负债表!F48-资产负债表!G48)/资产负债表!G48</f>
        <v>-0.0165415744148227</v>
      </c>
      <c r="H26" s="20">
        <f>(资产负债表!G48-资产负债表!H48)/资产负债表!H48</f>
        <v>0.0843146709802846</v>
      </c>
      <c r="I26" s="20">
        <f>(资产负债表!H48-资产负债表!I48)/资产负债表!I48</f>
        <v>0.0285729347281719</v>
      </c>
    </row>
    <row r="27" spans="2:9">
      <c r="B27" s="20" t="s">
        <v>228</v>
      </c>
      <c r="C27" s="20">
        <f>(资产负债表!B94-资产负债表!C94)/资产负债表!C94</f>
        <v>0.0828883737585252</v>
      </c>
      <c r="D27" s="20">
        <f>(资产负债表!C94-资产负债表!D94)/资产负债表!D94</f>
        <v>0.0189675517983232</v>
      </c>
      <c r="E27" s="20">
        <f>(资产负债表!D94-资产负债表!E94)/资产负债表!E94</f>
        <v>0.161143639733119</v>
      </c>
      <c r="F27" s="20">
        <f>(资产负债表!E94-资产负债表!F94)/资产负债表!F94</f>
        <v>0.202013610558231</v>
      </c>
      <c r="G27" s="20">
        <f>(资产负债表!F94-资产负债表!G94)/资产负债表!G94</f>
        <v>0.0931680944592089</v>
      </c>
      <c r="H27" s="20">
        <f>(资产负债表!G94-资产负债表!H94)/资产负债表!H94</f>
        <v>0.0153180027430435</v>
      </c>
      <c r="I27" s="20">
        <f>(资产负债表!H94-资产负债表!I94)/资产负债表!I94</f>
        <v>0.0848231348525301</v>
      </c>
    </row>
  </sheetData>
  <pageMargins left="0.7" right="0.7" top="0.75" bottom="0.75" header="0.3" footer="0.3"/>
  <headerFooter/>
  <ignoredErrors>
    <ignoredError sqref="C16:I16 D11:J11 C1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zoomScale="66" zoomScaleNormal="66" workbookViewId="0">
      <selection activeCell="B19" sqref="B19:F19"/>
    </sheetView>
  </sheetViews>
  <sheetFormatPr defaultColWidth="9" defaultRowHeight="16.8"/>
  <cols>
    <col min="2" max="2" width="14.5803571428571" customWidth="1"/>
    <col min="4" max="4" width="20.2321428571429" customWidth="1"/>
    <col min="6" max="6" width="16.8125" customWidth="1"/>
    <col min="7" max="7" width="22.4107142857143" customWidth="1"/>
    <col min="8" max="8" width="20.8303571428571" customWidth="1"/>
    <col min="9" max="9" width="18.0357142857143" customWidth="1"/>
    <col min="10" max="10" width="22.1696428571429" customWidth="1"/>
    <col min="11" max="11" width="12.0714285714286"/>
    <col min="12" max="12" width="18.5982142857143" customWidth="1"/>
    <col min="15" max="15" width="20.5178571428571" customWidth="1"/>
  </cols>
  <sheetData>
    <row r="1" ht="51.95" spans="1:15">
      <c r="A1" s="5" t="s">
        <v>229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51" customHeight="1" spans="1:15">
      <c r="A2" s="7" t="s">
        <v>230</v>
      </c>
      <c r="B2" s="8"/>
      <c r="C2" s="8"/>
      <c r="D2" s="8"/>
      <c r="E2" s="8"/>
      <c r="F2" s="8"/>
      <c r="G2" s="8"/>
      <c r="H2" s="8"/>
      <c r="I2" s="8"/>
      <c r="J2" s="17" t="s">
        <v>231</v>
      </c>
      <c r="K2" s="18">
        <v>2018</v>
      </c>
      <c r="L2" s="8"/>
      <c r="M2" s="8"/>
      <c r="N2" s="8"/>
      <c r="O2" s="19"/>
    </row>
    <row r="3" ht="20.4" spans="1:1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9"/>
    </row>
    <row r="4" ht="32" customHeight="1" spans="1:15">
      <c r="A4" s="10"/>
      <c r="B4" s="8"/>
      <c r="C4" s="8"/>
      <c r="D4" s="8"/>
      <c r="E4" s="8"/>
      <c r="F4" s="8"/>
      <c r="G4" s="8"/>
      <c r="H4" s="11">
        <f>D9*L9*G9</f>
        <v>0.0287458636718595</v>
      </c>
      <c r="I4" s="8"/>
      <c r="J4" s="8"/>
      <c r="K4" s="8"/>
      <c r="L4" s="8"/>
      <c r="M4" s="8"/>
      <c r="N4" s="8"/>
      <c r="O4" s="19"/>
    </row>
    <row r="5" spans="1:1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9"/>
    </row>
    <row r="6" spans="1:15">
      <c r="A6" s="10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9"/>
    </row>
    <row r="7" spans="1:15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9"/>
    </row>
    <row r="8" spans="1:1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9"/>
    </row>
    <row r="9" ht="42" customHeight="1" spans="1:15">
      <c r="A9" s="10"/>
      <c r="B9" s="8"/>
      <c r="C9" s="8"/>
      <c r="D9" s="11">
        <f>B14*G14</f>
        <v>0.0162853267922533</v>
      </c>
      <c r="E9" s="8"/>
      <c r="F9" s="8"/>
      <c r="G9" s="12">
        <f>I10/J14</f>
        <v>1.21750646431487</v>
      </c>
      <c r="H9" s="8"/>
      <c r="I9" s="8"/>
      <c r="J9" s="8"/>
      <c r="K9" s="8"/>
      <c r="L9" s="12">
        <f>1/(1-(L14/J14))</f>
        <v>1.4497983728434</v>
      </c>
      <c r="M9" s="8"/>
      <c r="N9" s="8"/>
      <c r="O9" s="19"/>
    </row>
    <row r="10" ht="35" customHeight="1" spans="1:15">
      <c r="A10" s="10"/>
      <c r="B10" s="8"/>
      <c r="C10" s="8"/>
      <c r="D10" s="8"/>
      <c r="E10" s="8"/>
      <c r="F10" s="8"/>
      <c r="G10" s="8"/>
      <c r="H10" s="8"/>
      <c r="I10" s="12">
        <f>HLOOKUP(K2,利润表!A1:H32,3,FALSE)</f>
        <v>20985560398</v>
      </c>
      <c r="J10" s="8"/>
      <c r="K10" s="8"/>
      <c r="L10" s="8"/>
      <c r="M10" s="8"/>
      <c r="N10" s="8"/>
      <c r="O10" s="19"/>
    </row>
    <row r="11" spans="1:15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9"/>
    </row>
    <row r="12" spans="1:15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9"/>
    </row>
    <row r="13" spans="1:15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9"/>
    </row>
    <row r="14" ht="39" customHeight="1" spans="1:15">
      <c r="A14" s="10"/>
      <c r="B14" s="11">
        <f>B19*D19*F19</f>
        <v>0.0250931588202994</v>
      </c>
      <c r="C14" s="8"/>
      <c r="D14" s="8"/>
      <c r="E14" s="8"/>
      <c r="F14" s="8"/>
      <c r="G14" s="11">
        <f>H19/J19</f>
        <v>0.648994688507655</v>
      </c>
      <c r="H14" s="14"/>
      <c r="I14" s="8"/>
      <c r="J14" s="15">
        <f>(L19+L25)/2</f>
        <v>17236508399</v>
      </c>
      <c r="K14" s="8"/>
      <c r="L14" s="15">
        <f>(O19+O25)/2</f>
        <v>5347608037.5</v>
      </c>
      <c r="M14" s="8"/>
      <c r="N14" s="8"/>
      <c r="O14" s="19"/>
    </row>
    <row r="15" ht="38" customHeight="1" spans="1:15">
      <c r="A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9"/>
    </row>
    <row r="16" spans="1:15">
      <c r="A16" s="1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9"/>
    </row>
    <row r="17" spans="1:15">
      <c r="A17" s="10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9"/>
    </row>
    <row r="18" ht="34" customHeight="1" spans="1:15">
      <c r="A18" s="10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9"/>
    </row>
    <row r="19" ht="46" customHeight="1" spans="1:15">
      <c r="A19" s="10"/>
      <c r="B19" s="12">
        <f>B27/B35</f>
        <v>0.0485748238630382</v>
      </c>
      <c r="C19" s="13"/>
      <c r="D19" s="12">
        <f>D27/D35</f>
        <v>0.664634982524142</v>
      </c>
      <c r="E19" s="13"/>
      <c r="F19" s="12">
        <f>F27/F35</f>
        <v>0.777250311197142</v>
      </c>
      <c r="G19" s="8"/>
      <c r="H19" s="15">
        <f>HLOOKUP(K2,利润表!A1:H32,24,FALSE)</f>
        <v>341756709</v>
      </c>
      <c r="I19" s="8"/>
      <c r="J19" s="15">
        <f>HLOOKUP(K2,利润表!A1:H32,23,FALSE)</f>
        <v>526594000</v>
      </c>
      <c r="K19" s="8"/>
      <c r="L19" s="15">
        <f>HLOOKUP(K2,资产负债表!A1:I95,48,FALSE)</f>
        <v>17933759421</v>
      </c>
      <c r="M19" s="8"/>
      <c r="N19" s="8"/>
      <c r="O19" s="15">
        <f>HLOOKUP(K2,资产负债表!A1:I95,92,FALSE)</f>
        <v>5336936405</v>
      </c>
    </row>
    <row r="20" spans="1:15">
      <c r="A20" s="1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9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9"/>
    </row>
    <row r="22" spans="1: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9"/>
    </row>
    <row r="23" spans="1: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ht="40" customHeight="1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>
        <f>HLOOKUP(K2-1,资产负债表!A1:I95,48,FALSE)</f>
        <v>16539257377</v>
      </c>
      <c r="M25" s="14"/>
      <c r="N25" s="14"/>
      <c r="O25" s="15">
        <f>HLOOKUP(K2-1,资产负债表!A1:I95,92,FALSE)</f>
        <v>5358279670</v>
      </c>
    </row>
    <row r="26" spans="1: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ht="37" customHeight="1" spans="1:15">
      <c r="A27" s="14"/>
      <c r="B27" s="15">
        <f>HLOOKUP(K2,财务分析指标!A1:I27,22,FALSE)</f>
        <v>1019369900</v>
      </c>
      <c r="C27" s="14"/>
      <c r="D27" s="15">
        <f>J19</f>
        <v>526594000</v>
      </c>
      <c r="E27" s="16"/>
      <c r="F27" s="15">
        <f>HLOOKUP(K2,利润表!A1:H32,21,FALSE)</f>
        <v>792305572</v>
      </c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36" customHeight="1" spans="1:15">
      <c r="A35" s="14"/>
      <c r="B35" s="15">
        <f>I10</f>
        <v>20985560398</v>
      </c>
      <c r="C35" s="14"/>
      <c r="D35" s="15">
        <f>F27</f>
        <v>792305572</v>
      </c>
      <c r="E35" s="14"/>
      <c r="F35" s="15">
        <f>B27</f>
        <v>1019369900</v>
      </c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</sheetData>
  <mergeCells count="1">
    <mergeCell ref="A1:O1"/>
  </mergeCells>
  <dataValidations count="2">
    <dataValidation type="list" allowBlank="1" showInputMessage="1" showErrorMessage="1" sqref="A1:O1 A2:J2 L2:O2">
      <formula1>"2017，2018，2019，2020，2021，2022，2023"</formula1>
    </dataValidation>
    <dataValidation type="list" allowBlank="1" showInputMessage="1" showErrorMessage="1" sqref="K2">
      <formula1>"2017,2018,2019,2020,2021,2022,2023"</formula1>
    </dataValidation>
  </dataValidation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6"/>
  <sheetViews>
    <sheetView topLeftCell="K1" workbookViewId="0">
      <selection activeCell="S6" sqref="S6"/>
    </sheetView>
  </sheetViews>
  <sheetFormatPr defaultColWidth="9" defaultRowHeight="16.8" outlineLevelRow="5"/>
  <cols>
    <col min="19" max="19" width="17.9107142857143" customWidth="1"/>
  </cols>
  <sheetData>
    <row r="1" spans="1:1">
      <c r="A1" t="s">
        <v>232</v>
      </c>
    </row>
    <row r="5" spans="19:26">
      <c r="S5" s="1" t="s">
        <v>231</v>
      </c>
      <c r="T5" s="2" t="s">
        <v>233</v>
      </c>
      <c r="U5" s="2" t="s">
        <v>234</v>
      </c>
      <c r="V5" s="2" t="s">
        <v>235</v>
      </c>
      <c r="W5" s="2" t="s">
        <v>236</v>
      </c>
      <c r="X5" s="2" t="s">
        <v>237</v>
      </c>
      <c r="Y5" s="2" t="s">
        <v>238</v>
      </c>
      <c r="Z5" s="2" t="s">
        <v>239</v>
      </c>
    </row>
    <row r="6" ht="13.5" customHeight="1" spans="19:26">
      <c r="S6" s="3" t="s">
        <v>227</v>
      </c>
      <c r="T6" s="4">
        <f>VLOOKUP($S$6,财务分析指标!B4:I27,2,FALSE)</f>
        <v>-0.00920226135279742</v>
      </c>
      <c r="U6" s="4">
        <f>VLOOKUP(S6,财务分析指标!B4:I27,3,FALSE)</f>
        <v>0.0427257373078239</v>
      </c>
      <c r="V6" s="4">
        <f>VLOOKUP(S6,财务分析指标!B4:I27,4,FALSE)</f>
        <v>0.154628488525286</v>
      </c>
      <c r="W6" s="4">
        <f>VLOOKUP(S6,财务分析指标!B4:I27,5,FALSE)</f>
        <v>0.151544327510807</v>
      </c>
      <c r="X6" s="4">
        <f>VLOOKUP(S6,财务分析指标!B4:I27,6,FALSE)</f>
        <v>-0.0165415744148227</v>
      </c>
      <c r="Y6" s="4">
        <f>VLOOKUP(S6,财务分析指标!B4:I27,7,FALSE)</f>
        <v>0.0843146709802846</v>
      </c>
      <c r="Z6" s="4">
        <f>VLOOKUP(S6,财务分析指标!B4:I27,8,FALSE)</f>
        <v>0.0285729347281719</v>
      </c>
    </row>
  </sheetData>
  <dataValidations count="1">
    <dataValidation type="list" allowBlank="1" showInputMessage="1" showErrorMessage="1" sqref="S6">
      <formula1>财务分析指标!$B$4:$B$27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资产负债表</vt:lpstr>
      <vt:lpstr>利润表</vt:lpstr>
      <vt:lpstr>现金流量表</vt:lpstr>
      <vt:lpstr>财务分析指标</vt:lpstr>
      <vt:lpstr>财务综合分析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✨</cp:lastModifiedBy>
  <dcterms:created xsi:type="dcterms:W3CDTF">2024-05-31T11:29:00Z</dcterms:created>
  <dcterms:modified xsi:type="dcterms:W3CDTF">2024-06-12T17:04:40Z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5F094074A7DA9E27A3646966E10F600E_42</vt:lpwstr>
  </property>
</Properties>
</file>