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480" activeTab="4"/>
  </bookViews>
  <sheets>
    <sheet name="固定资产查询" sheetId="1" r:id="rId1"/>
    <sheet name="Sheet2" sheetId="7" state="hidden" r:id="rId2"/>
    <sheet name="年限总和法提计折旧表" sheetId="16" r:id="rId3"/>
    <sheet name="双倍余额递减法" sheetId="17" r:id="rId4"/>
    <sheet name="直线法提计折旧表" sheetId="18" r:id="rId5"/>
  </sheets>
  <externalReferences>
    <externalReference r:id="rId6"/>
  </externalReferences>
  <definedNames>
    <definedName name="_xlnm._FilterDatabase" localSheetId="0" hidden="1">固定资产查询!$A$3:$N$45</definedName>
    <definedName name="编号">OFFSET(固定资产查询!$A$4,,,COUNTA(固定资产查询!$A:$A)-3,)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<sst xmlns="http://schemas.openxmlformats.org/spreadsheetml/2006/main" count="313" uniqueCount="122">
  <si>
    <t>固定资产清单</t>
  </si>
  <si>
    <t>当前日期</t>
  </si>
  <si>
    <t>编号</t>
  </si>
  <si>
    <t>部门名称</t>
  </si>
  <si>
    <t>类别名称</t>
  </si>
  <si>
    <t>固定资产名称</t>
  </si>
  <si>
    <t>规格型号</t>
  </si>
  <si>
    <t>开始使用日期</t>
  </si>
  <si>
    <t>使用年限</t>
  </si>
  <si>
    <t>单位</t>
  </si>
  <si>
    <t>单价</t>
  </si>
  <si>
    <t>数量</t>
  </si>
  <si>
    <t>原值</t>
  </si>
  <si>
    <t>净残值率</t>
  </si>
  <si>
    <t>净残值</t>
  </si>
  <si>
    <t>折旧方法</t>
  </si>
  <si>
    <t>已计提月份</t>
  </si>
  <si>
    <t>资产状态</t>
  </si>
  <si>
    <t>辅助车间</t>
  </si>
  <si>
    <t>房屋及建筑物</t>
  </si>
  <si>
    <t>铁路专线仓库</t>
  </si>
  <si>
    <t>405M2</t>
  </si>
  <si>
    <t>年限总和法</t>
  </si>
  <si>
    <t>化验中心</t>
  </si>
  <si>
    <t>机器设备</t>
  </si>
  <si>
    <t>水洗筛余物装置</t>
  </si>
  <si>
    <t>TBY - 60</t>
  </si>
  <si>
    <t>台</t>
  </si>
  <si>
    <t>高效动态吸附仪</t>
  </si>
  <si>
    <t>HPDAT   88型</t>
  </si>
  <si>
    <t>一车间</t>
  </si>
  <si>
    <t>造粒机房</t>
  </si>
  <si>
    <t>双倍余额递减法</t>
  </si>
  <si>
    <t>炉前罐</t>
  </si>
  <si>
    <t>个</t>
  </si>
  <si>
    <t>直线法</t>
  </si>
  <si>
    <t>化验楼.仪表房</t>
  </si>
  <si>
    <t>防爆电机</t>
  </si>
  <si>
    <t>YB 132M - 47.5 KW</t>
  </si>
  <si>
    <t>电机</t>
  </si>
  <si>
    <t>Y200L - 2 - 30KW</t>
  </si>
  <si>
    <t>气相层析仪</t>
  </si>
  <si>
    <t>102GD</t>
  </si>
  <si>
    <t>厂外道路</t>
  </si>
  <si>
    <t>70M</t>
  </si>
  <si>
    <t>厂内道路</t>
  </si>
  <si>
    <t>80M</t>
  </si>
  <si>
    <r>
      <rPr>
        <sz val="12"/>
        <color theme="1"/>
        <rFont val="仿宋"/>
        <charset val="134"/>
      </rPr>
      <t>4</t>
    </r>
    <r>
      <rPr>
        <sz val="12"/>
        <rFont val="仿宋"/>
        <charset val="134"/>
      </rPr>
      <t>号炉土建</t>
    </r>
  </si>
  <si>
    <t>管理部门</t>
  </si>
  <si>
    <t>办公楼</t>
  </si>
  <si>
    <t>混合</t>
  </si>
  <si>
    <t>乙型房</t>
  </si>
  <si>
    <t>罐车</t>
  </si>
  <si>
    <t>辆</t>
  </si>
  <si>
    <t>运输设备</t>
  </si>
  <si>
    <t>轻型载货汽车</t>
  </si>
  <si>
    <t>YB 120M - 58 KW</t>
  </si>
  <si>
    <t>奔驰小轿车</t>
  </si>
  <si>
    <t>L - 2 - 30KW</t>
  </si>
  <si>
    <t>食堂</t>
  </si>
  <si>
    <t>其他</t>
  </si>
  <si>
    <t>应急电源</t>
  </si>
  <si>
    <t>乐声冷暖空调机</t>
  </si>
  <si>
    <t>离心风机</t>
  </si>
  <si>
    <t>二车间</t>
  </si>
  <si>
    <t>蓄水池</t>
  </si>
  <si>
    <t>成品仓库</t>
  </si>
  <si>
    <t>尾气站、配电房</t>
  </si>
  <si>
    <t>油印机</t>
  </si>
  <si>
    <t>臭氧净化器</t>
  </si>
  <si>
    <t>开关电源</t>
  </si>
  <si>
    <t>YJ118A - 1801 - 5</t>
  </si>
  <si>
    <t>物位变送器</t>
  </si>
  <si>
    <t>RF - 90542 BL=700</t>
  </si>
  <si>
    <t>支</t>
  </si>
  <si>
    <t>压力变送器</t>
  </si>
  <si>
    <t>PMC330G.R.F.P15</t>
  </si>
  <si>
    <t>PMC330G.R.F.P150-10WR</t>
  </si>
  <si>
    <t>PMC330G.R.F.P150-2WR</t>
  </si>
  <si>
    <t>盘盈设备</t>
  </si>
  <si>
    <t>电脑</t>
  </si>
  <si>
    <t>套</t>
  </si>
  <si>
    <t>叉车</t>
  </si>
  <si>
    <t>高频热气机</t>
  </si>
  <si>
    <t>华凌空调</t>
  </si>
  <si>
    <t>KFR - 60LW</t>
  </si>
  <si>
    <t>KFR - 45LW</t>
  </si>
  <si>
    <t>打印机</t>
  </si>
  <si>
    <t>空调</t>
  </si>
  <si>
    <t>干湿机</t>
  </si>
  <si>
    <t>油槽车</t>
  </si>
  <si>
    <t>复印机</t>
  </si>
  <si>
    <t>NP3020</t>
  </si>
  <si>
    <t>固定资产增加单</t>
  </si>
  <si>
    <t>公司名称</t>
  </si>
  <si>
    <t>制表时间</t>
  </si>
  <si>
    <t>单位：万元</t>
  </si>
  <si>
    <t>资产编号</t>
  </si>
  <si>
    <t>资产名称</t>
  </si>
  <si>
    <t>厂牌号码</t>
  </si>
  <si>
    <t>金额</t>
  </si>
  <si>
    <t>耐用年度</t>
  </si>
  <si>
    <t>附属设备</t>
  </si>
  <si>
    <t>使用设备</t>
  </si>
  <si>
    <t>月折旧额</t>
  </si>
  <si>
    <t>中文</t>
  </si>
  <si>
    <t>英文</t>
  </si>
  <si>
    <t>合计</t>
  </si>
  <si>
    <t>年限总和法提计折旧表</t>
  </si>
  <si>
    <t>已计提月数</t>
  </si>
  <si>
    <t xml:space="preserve">使用部门 </t>
  </si>
  <si>
    <t>启用日期</t>
  </si>
  <si>
    <t>资产原值</t>
  </si>
  <si>
    <t>固定资产折旧计算</t>
  </si>
  <si>
    <t>年份</t>
  </si>
  <si>
    <t>年折旧额</t>
  </si>
  <si>
    <t>年折旧率</t>
  </si>
  <si>
    <t>月折旧率</t>
  </si>
  <si>
    <t>累计折旧额</t>
  </si>
  <si>
    <t>折余价值</t>
  </si>
  <si>
    <t>双倍余额递减法提计折旧表</t>
  </si>
  <si>
    <t>直线法提计折旧表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</si>
</sst>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0.00_ "/>
    <numFmt numFmtId="178" formatCode="0_);[Red]\(0\)"/>
    <numFmt numFmtId="179" formatCode="0.0_);[Red]\(0.0\)"/>
  </numFmts>
  <fonts count="30">
    <font>
      <sz val="11"/>
      <color theme="1"/>
      <name val="宋体"/>
      <charset val="134"/>
      <scheme val="minor"/>
    </font>
    <font>
      <b/>
      <sz val="18"/>
      <color theme="1"/>
      <name val="黑体"/>
      <charset val="134"/>
    </font>
    <font>
      <sz val="12"/>
      <color theme="1"/>
      <name val="SimSun"/>
      <charset val="134"/>
    </font>
    <font>
      <b/>
      <sz val="14"/>
      <color theme="1"/>
      <name val="华文中宋"/>
      <charset val="134"/>
    </font>
    <font>
      <sz val="24"/>
      <color theme="1"/>
      <name val="华文中宋"/>
      <charset val="134"/>
    </font>
    <font>
      <sz val="14"/>
      <color theme="1"/>
      <name val="华文中宋"/>
      <charset val="134"/>
    </font>
    <font>
      <sz val="10"/>
      <color theme="1"/>
      <name val="华文中宋"/>
      <charset val="134"/>
    </font>
    <font>
      <b/>
      <sz val="12"/>
      <color theme="1"/>
      <name val="仿宋"/>
      <charset val="134"/>
    </font>
    <font>
      <sz val="12"/>
      <color theme="1"/>
      <name val="仿宋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仿宋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19" fillId="8" borderId="16" applyNumberFormat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21" fillId="9" borderId="17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7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justify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4" fontId="5" fillId="4" borderId="8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0" xfId="0" applyFont="1" applyFill="1">
      <alignment vertical="center"/>
    </xf>
    <xf numFmtId="0" fontId="9" fillId="0" borderId="0" xfId="0" applyFont="1">
      <alignment vertical="center"/>
    </xf>
    <xf numFmtId="0" fontId="4" fillId="3" borderId="0" xfId="0" applyFont="1" applyFill="1" applyAlignment="1">
      <alignment horizontal="justify" vertical="center"/>
    </xf>
    <xf numFmtId="0" fontId="4" fillId="3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8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178" fontId="8" fillId="0" borderId="1" xfId="0" applyNumberFormat="1" applyFont="1" applyBorder="1" applyAlignment="1">
      <alignment horizontal="center" vertical="center"/>
    </xf>
    <xf numFmtId="9" fontId="8" fillId="0" borderId="1" xfId="3" applyFont="1" applyFill="1" applyBorder="1" applyAlignment="1">
      <alignment horizontal="center" vertical="center"/>
    </xf>
    <xf numFmtId="179" fontId="7" fillId="5" borderId="8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66;&#23450;&#36164;&#20135;&#21407;&#22987;&#25968;&#25454;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固定资产清单"/>
      <sheetName val="Sheet2"/>
      <sheetName val="Sheet1"/>
    </sheetNames>
    <sheetDataSet>
      <sheetData sheetId="0"/>
      <sheetData sheetId="1"/>
      <sheetData sheetId="2">
        <row r="1">
          <cell r="A1">
            <v>36893</v>
          </cell>
        </row>
        <row r="2">
          <cell r="A2">
            <v>37227</v>
          </cell>
        </row>
        <row r="3">
          <cell r="A3">
            <v>36893</v>
          </cell>
        </row>
        <row r="4">
          <cell r="A4">
            <v>37165</v>
          </cell>
        </row>
        <row r="5">
          <cell r="A5">
            <v>37196</v>
          </cell>
        </row>
        <row r="6">
          <cell r="A6">
            <v>37136</v>
          </cell>
        </row>
        <row r="8">
          <cell r="A8">
            <v>38261</v>
          </cell>
        </row>
        <row r="9">
          <cell r="A9">
            <v>38839</v>
          </cell>
        </row>
        <row r="10">
          <cell r="A10">
            <v>37378</v>
          </cell>
        </row>
        <row r="11">
          <cell r="A11">
            <v>39388</v>
          </cell>
        </row>
        <row r="12">
          <cell r="A12">
            <v>40452</v>
          </cell>
        </row>
        <row r="13">
          <cell r="A13">
            <v>35125</v>
          </cell>
        </row>
        <row r="14">
          <cell r="A14">
            <v>35370</v>
          </cell>
        </row>
        <row r="15">
          <cell r="A15">
            <v>35887</v>
          </cell>
        </row>
        <row r="16">
          <cell r="A16">
            <v>38231</v>
          </cell>
        </row>
        <row r="17">
          <cell r="A17">
            <v>39174</v>
          </cell>
        </row>
        <row r="18">
          <cell r="A18">
            <v>39174</v>
          </cell>
        </row>
        <row r="19">
          <cell r="A19">
            <v>35431</v>
          </cell>
        </row>
        <row r="20">
          <cell r="A20">
            <v>35978</v>
          </cell>
        </row>
        <row r="21">
          <cell r="A21">
            <v>35796</v>
          </cell>
        </row>
        <row r="22">
          <cell r="A22">
            <v>35432</v>
          </cell>
        </row>
        <row r="23">
          <cell r="A23">
            <v>41061</v>
          </cell>
        </row>
        <row r="24">
          <cell r="A24">
            <v>35796</v>
          </cell>
        </row>
        <row r="25">
          <cell r="A25">
            <v>35796</v>
          </cell>
        </row>
        <row r="26">
          <cell r="A26">
            <v>38353</v>
          </cell>
        </row>
        <row r="27">
          <cell r="A27">
            <v>38353</v>
          </cell>
        </row>
        <row r="28">
          <cell r="A28">
            <v>38353</v>
          </cell>
        </row>
        <row r="29">
          <cell r="A29">
            <v>38535</v>
          </cell>
        </row>
        <row r="30">
          <cell r="A30">
            <v>38535</v>
          </cell>
        </row>
        <row r="31">
          <cell r="A31">
            <v>38535</v>
          </cell>
        </row>
        <row r="32">
          <cell r="A32">
            <v>38535</v>
          </cell>
        </row>
        <row r="33">
          <cell r="A33">
            <v>38535</v>
          </cell>
        </row>
        <row r="34">
          <cell r="A34">
            <v>38353</v>
          </cell>
        </row>
        <row r="36">
          <cell r="A36">
            <v>38353</v>
          </cell>
        </row>
        <row r="37">
          <cell r="A37">
            <v>39053</v>
          </cell>
        </row>
        <row r="38">
          <cell r="A38">
            <v>39053</v>
          </cell>
        </row>
        <row r="39">
          <cell r="A39">
            <v>38718</v>
          </cell>
        </row>
        <row r="40">
          <cell r="A40">
            <v>35977</v>
          </cell>
        </row>
        <row r="41">
          <cell r="A41">
            <v>35977</v>
          </cell>
        </row>
        <row r="42">
          <cell r="A42">
            <v>35066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46"/>
  <sheetViews>
    <sheetView workbookViewId="0">
      <selection activeCell="J9" sqref="J9"/>
    </sheetView>
  </sheetViews>
  <sheetFormatPr defaultColWidth="9" defaultRowHeight="16.8"/>
  <cols>
    <col min="1" max="1" width="5.88461538461539" style="14" customWidth="1"/>
    <col min="2" max="2" width="11.6634615384615" customWidth="1"/>
    <col min="3" max="4" width="17.6634615384615" customWidth="1"/>
    <col min="5" max="5" width="11.7019230769231" style="15" customWidth="1"/>
    <col min="6" max="6" width="13" customWidth="1"/>
    <col min="7" max="7" width="8.44230769230769" customWidth="1"/>
    <col min="8" max="8" width="4.77884615384615" customWidth="1"/>
    <col min="9" max="9" width="13.1346153846154" customWidth="1"/>
    <col min="10" max="10" width="5.22115384615385" customWidth="1"/>
    <col min="11" max="11" width="11.2211538461538" customWidth="1"/>
    <col min="12" max="12" width="10.4423076923077" customWidth="1"/>
    <col min="13" max="13" width="14.3365384615385" customWidth="1"/>
    <col min="14" max="14" width="18.5576923076923" customWidth="1"/>
    <col min="15" max="15" width="14.0961538461538" customWidth="1"/>
    <col min="16" max="16" width="13.1346153846154" customWidth="1"/>
  </cols>
  <sheetData>
    <row r="1" ht="35.4" customHeight="1" spans="1:16">
      <c r="A1" s="16" t="s">
        <v>0</v>
      </c>
      <c r="B1" s="17"/>
      <c r="C1" s="17"/>
      <c r="D1" s="17"/>
      <c r="E1" s="28"/>
      <c r="F1" s="29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ht="25.2" customHeight="1" spans="1:16">
      <c r="A2" s="18" t="s">
        <v>1</v>
      </c>
      <c r="B2" s="19"/>
      <c r="C2" s="20">
        <f ca="1">TODAY()</f>
        <v>45447</v>
      </c>
      <c r="D2" s="21"/>
      <c r="E2" s="3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ht="25.8" customHeight="1" spans="1:16">
      <c r="A3" s="22" t="s">
        <v>2</v>
      </c>
      <c r="B3" s="22" t="s">
        <v>3</v>
      </c>
      <c r="C3" s="22" t="s">
        <v>4</v>
      </c>
      <c r="D3" s="23" t="s">
        <v>5</v>
      </c>
      <c r="E3" s="33" t="s">
        <v>6</v>
      </c>
      <c r="F3" s="22" t="s">
        <v>7</v>
      </c>
      <c r="G3" s="23" t="s">
        <v>8</v>
      </c>
      <c r="H3" s="23" t="s">
        <v>9</v>
      </c>
      <c r="I3" s="23" t="s">
        <v>10</v>
      </c>
      <c r="J3" s="23" t="s">
        <v>11</v>
      </c>
      <c r="K3" s="23" t="s">
        <v>12</v>
      </c>
      <c r="L3" s="23" t="s">
        <v>13</v>
      </c>
      <c r="M3" s="23" t="s">
        <v>14</v>
      </c>
      <c r="N3" s="39" t="s">
        <v>15</v>
      </c>
      <c r="O3" s="39" t="s">
        <v>16</v>
      </c>
      <c r="P3" s="39" t="s">
        <v>17</v>
      </c>
    </row>
    <row r="4" ht="19.2" customHeight="1" spans="1:16">
      <c r="A4" s="24">
        <v>1</v>
      </c>
      <c r="B4" s="25" t="s">
        <v>18</v>
      </c>
      <c r="C4" s="25" t="s">
        <v>19</v>
      </c>
      <c r="D4" s="25" t="s">
        <v>20</v>
      </c>
      <c r="E4" s="34" t="s">
        <v>21</v>
      </c>
      <c r="F4" s="35">
        <f>[1]Sheet1!A42+365*10</f>
        <v>38716</v>
      </c>
      <c r="G4" s="25">
        <v>40</v>
      </c>
      <c r="H4" s="25"/>
      <c r="I4" s="37">
        <v>130000</v>
      </c>
      <c r="J4" s="25">
        <v>1</v>
      </c>
      <c r="K4" s="37">
        <f t="shared" ref="K4:K45" si="0">I4*J4</f>
        <v>130000</v>
      </c>
      <c r="L4" s="38">
        <v>0.2</v>
      </c>
      <c r="M4" s="40">
        <f t="shared" ref="M4:M45" si="1">K4*L4</f>
        <v>26000</v>
      </c>
      <c r="N4" s="25" t="s">
        <v>22</v>
      </c>
      <c r="O4" s="25">
        <f ca="1">IF(A4="","",IF(L4="当月新增",0,(YEAR($C$2)-YEAR(F4))*12+MONTH($C$2)-MONTH(F4)-1))</f>
        <v>221</v>
      </c>
      <c r="P4" s="41" t="str">
        <f ca="1">IF(AND(YEAR($C$2)=YEAR(F4),MONTH($C$2)=MONTH(F4)),"当月新增",IF((DAYS360(F4,$C$2))/365&lt;=$G4,"正常使用","报废"))</f>
        <v>正常使用</v>
      </c>
    </row>
    <row r="5" ht="19.2" customHeight="1" spans="1:16">
      <c r="A5" s="24">
        <f t="shared" ref="A5:A45" si="2">1+A4</f>
        <v>2</v>
      </c>
      <c r="B5" s="25" t="s">
        <v>23</v>
      </c>
      <c r="C5" s="25" t="s">
        <v>24</v>
      </c>
      <c r="D5" s="25" t="s">
        <v>25</v>
      </c>
      <c r="E5" s="34" t="s">
        <v>26</v>
      </c>
      <c r="F5" s="35">
        <f>[1]Sheet1!A13+365*10</f>
        <v>38775</v>
      </c>
      <c r="G5" s="25">
        <v>14</v>
      </c>
      <c r="H5" s="25" t="s">
        <v>27</v>
      </c>
      <c r="I5" s="37">
        <v>3950</v>
      </c>
      <c r="J5" s="25">
        <v>1</v>
      </c>
      <c r="K5" s="37">
        <f t="shared" si="0"/>
        <v>3950</v>
      </c>
      <c r="L5" s="38">
        <v>0.05</v>
      </c>
      <c r="M5" s="40">
        <f t="shared" si="1"/>
        <v>197.5</v>
      </c>
      <c r="N5" s="25" t="s">
        <v>22</v>
      </c>
      <c r="O5" s="25">
        <f ca="1" t="shared" ref="O5:O45" si="3">IF(A5="","",IF(L5="当月新增",0,(YEAR($C$2)-YEAR(F5))*12+MONTH($C$2)-MONTH(F5)-1))</f>
        <v>219</v>
      </c>
      <c r="P5" s="41" t="str">
        <f ca="1">IF(AND(YEAR($C$2)=YEAR(F5),MONTH($C$2)=MONTH(F5)),"当月新增",IF((DAYS360(F5,$C$2))/365&lt;=$G5,"正常使用","报废"))</f>
        <v>报废</v>
      </c>
    </row>
    <row r="6" ht="19.2" customHeight="1" spans="1:16">
      <c r="A6" s="24">
        <f t="shared" si="2"/>
        <v>3</v>
      </c>
      <c r="B6" s="25" t="s">
        <v>23</v>
      </c>
      <c r="C6" s="25" t="s">
        <v>24</v>
      </c>
      <c r="D6" s="25" t="s">
        <v>28</v>
      </c>
      <c r="E6" s="34" t="s">
        <v>29</v>
      </c>
      <c r="F6" s="35">
        <f>[1]Sheet1!A14+365*10</f>
        <v>39020</v>
      </c>
      <c r="G6" s="25">
        <v>14</v>
      </c>
      <c r="H6" s="25" t="s">
        <v>27</v>
      </c>
      <c r="I6" s="37">
        <v>21920</v>
      </c>
      <c r="J6" s="25">
        <v>1</v>
      </c>
      <c r="K6" s="37">
        <f t="shared" si="0"/>
        <v>21920</v>
      </c>
      <c r="L6" s="38">
        <v>0.05</v>
      </c>
      <c r="M6" s="40">
        <f t="shared" si="1"/>
        <v>1096</v>
      </c>
      <c r="N6" s="25" t="s">
        <v>22</v>
      </c>
      <c r="O6" s="25">
        <f ca="1" t="shared" si="3"/>
        <v>211</v>
      </c>
      <c r="P6" s="41" t="str">
        <f ca="1" t="shared" ref="P6:P45" si="4">IF(AND(YEAR($C$2)=YEAR(F6),MONTH($C$2)=MONTH(F6)),"当月新增",IF((DAYS360(F6,$C$2))/365&lt;=$G6,"正常使用","报废"))</f>
        <v>报废</v>
      </c>
    </row>
    <row r="7" ht="19.2" customHeight="1" spans="1:16">
      <c r="A7" s="24">
        <f t="shared" si="2"/>
        <v>4</v>
      </c>
      <c r="B7" s="25" t="s">
        <v>30</v>
      </c>
      <c r="C7" s="25" t="s">
        <v>19</v>
      </c>
      <c r="D7" s="25" t="s">
        <v>31</v>
      </c>
      <c r="E7" s="34"/>
      <c r="F7" s="35">
        <f>[1]Sheet1!A19+365*10</f>
        <v>39081</v>
      </c>
      <c r="G7" s="25">
        <v>40</v>
      </c>
      <c r="H7" s="25"/>
      <c r="I7" s="37">
        <v>125000</v>
      </c>
      <c r="J7" s="25">
        <v>1</v>
      </c>
      <c r="K7" s="37">
        <f t="shared" si="0"/>
        <v>125000</v>
      </c>
      <c r="L7" s="38">
        <v>0.2</v>
      </c>
      <c r="M7" s="40">
        <f t="shared" si="1"/>
        <v>25000</v>
      </c>
      <c r="N7" s="25" t="s">
        <v>32</v>
      </c>
      <c r="O7" s="25">
        <f ca="1" t="shared" si="3"/>
        <v>209</v>
      </c>
      <c r="P7" s="41" t="str">
        <f ca="1" t="shared" si="4"/>
        <v>正常使用</v>
      </c>
    </row>
    <row r="8" ht="19.2" customHeight="1" spans="1:16">
      <c r="A8" s="24">
        <f t="shared" si="2"/>
        <v>5</v>
      </c>
      <c r="B8" s="25" t="s">
        <v>30</v>
      </c>
      <c r="C8" s="25" t="s">
        <v>24</v>
      </c>
      <c r="D8" s="25" t="s">
        <v>33</v>
      </c>
      <c r="E8" s="34"/>
      <c r="F8" s="35">
        <f>[1]Sheet1!A22+365*10</f>
        <v>39082</v>
      </c>
      <c r="G8" s="25">
        <v>14</v>
      </c>
      <c r="H8" s="25" t="s">
        <v>34</v>
      </c>
      <c r="I8" s="37">
        <v>3080</v>
      </c>
      <c r="J8" s="25">
        <v>1</v>
      </c>
      <c r="K8" s="37">
        <f t="shared" si="0"/>
        <v>3080</v>
      </c>
      <c r="L8" s="38">
        <v>0.05</v>
      </c>
      <c r="M8" s="40">
        <f t="shared" si="1"/>
        <v>154</v>
      </c>
      <c r="N8" s="25" t="s">
        <v>35</v>
      </c>
      <c r="O8" s="25">
        <f ca="1" t="shared" si="3"/>
        <v>209</v>
      </c>
      <c r="P8" s="41" t="str">
        <f ca="1" t="shared" si="4"/>
        <v>报废</v>
      </c>
    </row>
    <row r="9" ht="19.2" customHeight="1" spans="1:16">
      <c r="A9" s="24">
        <f t="shared" si="2"/>
        <v>6</v>
      </c>
      <c r="B9" s="25" t="s">
        <v>30</v>
      </c>
      <c r="C9" s="25" t="s">
        <v>19</v>
      </c>
      <c r="D9" s="25" t="s">
        <v>36</v>
      </c>
      <c r="E9" s="34"/>
      <c r="F9" s="35">
        <f>[1]Sheet1!A21+365*10</f>
        <v>39446</v>
      </c>
      <c r="G9" s="25">
        <v>40</v>
      </c>
      <c r="H9" s="25"/>
      <c r="I9" s="37">
        <v>43408</v>
      </c>
      <c r="J9" s="25">
        <v>1</v>
      </c>
      <c r="K9" s="37">
        <f t="shared" si="0"/>
        <v>43408</v>
      </c>
      <c r="L9" s="38">
        <v>0.2</v>
      </c>
      <c r="M9" s="40">
        <f t="shared" si="1"/>
        <v>8681.6</v>
      </c>
      <c r="N9" s="25" t="s">
        <v>35</v>
      </c>
      <c r="O9" s="25">
        <f ca="1" t="shared" si="3"/>
        <v>197</v>
      </c>
      <c r="P9" s="41" t="str">
        <f ca="1" t="shared" si="4"/>
        <v>正常使用</v>
      </c>
    </row>
    <row r="10" ht="45" customHeight="1" spans="1:16">
      <c r="A10" s="24">
        <f t="shared" si="2"/>
        <v>7</v>
      </c>
      <c r="B10" s="25" t="s">
        <v>30</v>
      </c>
      <c r="C10" s="25" t="s">
        <v>24</v>
      </c>
      <c r="D10" s="25" t="s">
        <v>37</v>
      </c>
      <c r="E10" s="34" t="s">
        <v>38</v>
      </c>
      <c r="F10" s="35">
        <f>[1]Sheet1!A24+365*10</f>
        <v>39446</v>
      </c>
      <c r="G10" s="25">
        <v>14</v>
      </c>
      <c r="H10" s="25"/>
      <c r="I10" s="37">
        <v>2472</v>
      </c>
      <c r="J10" s="25">
        <v>2</v>
      </c>
      <c r="K10" s="37">
        <f t="shared" si="0"/>
        <v>4944</v>
      </c>
      <c r="L10" s="38">
        <v>0.05</v>
      </c>
      <c r="M10" s="40">
        <f t="shared" si="1"/>
        <v>247.2</v>
      </c>
      <c r="N10" s="25" t="s">
        <v>32</v>
      </c>
      <c r="O10" s="25">
        <f ca="1" t="shared" si="3"/>
        <v>197</v>
      </c>
      <c r="P10" s="41" t="str">
        <f ca="1" t="shared" si="4"/>
        <v>报废</v>
      </c>
    </row>
    <row r="11" ht="19.2" customHeight="1" spans="1:16">
      <c r="A11" s="24">
        <f t="shared" si="2"/>
        <v>8</v>
      </c>
      <c r="B11" s="25" t="s">
        <v>30</v>
      </c>
      <c r="C11" s="25" t="s">
        <v>24</v>
      </c>
      <c r="D11" s="25" t="s">
        <v>39</v>
      </c>
      <c r="E11" s="34" t="s">
        <v>40</v>
      </c>
      <c r="F11" s="35">
        <f>[1]Sheet1!A25+365*10</f>
        <v>39446</v>
      </c>
      <c r="G11" s="25">
        <v>14</v>
      </c>
      <c r="H11" s="25" t="s">
        <v>27</v>
      </c>
      <c r="I11" s="37">
        <v>2704</v>
      </c>
      <c r="J11" s="25">
        <v>1</v>
      </c>
      <c r="K11" s="37">
        <f t="shared" si="0"/>
        <v>2704</v>
      </c>
      <c r="L11" s="38">
        <v>0.05</v>
      </c>
      <c r="M11" s="40">
        <f t="shared" si="1"/>
        <v>135.2</v>
      </c>
      <c r="N11" s="25" t="s">
        <v>22</v>
      </c>
      <c r="O11" s="25">
        <f ca="1" t="shared" si="3"/>
        <v>197</v>
      </c>
      <c r="P11" s="41" t="str">
        <f ca="1" t="shared" si="4"/>
        <v>报废</v>
      </c>
    </row>
    <row r="12" ht="19.2" customHeight="1" spans="1:16">
      <c r="A12" s="24">
        <f t="shared" si="2"/>
        <v>9</v>
      </c>
      <c r="B12" s="25" t="s">
        <v>23</v>
      </c>
      <c r="C12" s="25" t="s">
        <v>24</v>
      </c>
      <c r="D12" s="25" t="s">
        <v>41</v>
      </c>
      <c r="E12" s="34" t="s">
        <v>42</v>
      </c>
      <c r="F12" s="35">
        <f>[1]Sheet1!A15+365*10</f>
        <v>39537</v>
      </c>
      <c r="G12" s="25">
        <v>14</v>
      </c>
      <c r="H12" s="25" t="s">
        <v>27</v>
      </c>
      <c r="I12" s="37">
        <v>10130</v>
      </c>
      <c r="J12" s="25">
        <v>1</v>
      </c>
      <c r="K12" s="37">
        <f t="shared" si="0"/>
        <v>10130</v>
      </c>
      <c r="L12" s="38">
        <v>0.05</v>
      </c>
      <c r="M12" s="40">
        <f t="shared" si="1"/>
        <v>506.5</v>
      </c>
      <c r="N12" s="25" t="s">
        <v>22</v>
      </c>
      <c r="O12" s="25">
        <f ca="1" t="shared" si="3"/>
        <v>194</v>
      </c>
      <c r="P12" s="41" t="str">
        <f ca="1" t="shared" si="4"/>
        <v>报废</v>
      </c>
    </row>
    <row r="13" ht="19.2" customHeight="1" spans="1:16">
      <c r="A13" s="24">
        <f t="shared" si="2"/>
        <v>10</v>
      </c>
      <c r="B13" s="25" t="s">
        <v>18</v>
      </c>
      <c r="C13" s="25" t="s">
        <v>19</v>
      </c>
      <c r="D13" s="25" t="s">
        <v>43</v>
      </c>
      <c r="E13" s="34" t="s">
        <v>44</v>
      </c>
      <c r="F13" s="35">
        <f>[1]Sheet1!A40+365*10</f>
        <v>39627</v>
      </c>
      <c r="G13" s="25">
        <v>40</v>
      </c>
      <c r="H13" s="25"/>
      <c r="I13" s="37">
        <v>61800</v>
      </c>
      <c r="J13" s="25">
        <v>1</v>
      </c>
      <c r="K13" s="37">
        <f t="shared" si="0"/>
        <v>61800</v>
      </c>
      <c r="L13" s="38">
        <v>0.2</v>
      </c>
      <c r="M13" s="40">
        <f t="shared" si="1"/>
        <v>12360</v>
      </c>
      <c r="N13" s="25" t="s">
        <v>35</v>
      </c>
      <c r="O13" s="25">
        <f ca="1" t="shared" si="3"/>
        <v>191</v>
      </c>
      <c r="P13" s="41" t="str">
        <f ca="1" t="shared" si="4"/>
        <v>正常使用</v>
      </c>
    </row>
    <row r="14" ht="19.2" customHeight="1" spans="1:16">
      <c r="A14" s="24">
        <f t="shared" si="2"/>
        <v>11</v>
      </c>
      <c r="B14" s="25" t="s">
        <v>18</v>
      </c>
      <c r="C14" s="25" t="s">
        <v>19</v>
      </c>
      <c r="D14" s="25" t="s">
        <v>45</v>
      </c>
      <c r="E14" s="34" t="s">
        <v>46</v>
      </c>
      <c r="F14" s="35">
        <f>[1]Sheet1!A41+365*10</f>
        <v>39627</v>
      </c>
      <c r="G14" s="25">
        <v>40</v>
      </c>
      <c r="H14" s="25"/>
      <c r="I14" s="37">
        <v>30000</v>
      </c>
      <c r="J14" s="25">
        <v>1</v>
      </c>
      <c r="K14" s="37">
        <f t="shared" si="0"/>
        <v>30000</v>
      </c>
      <c r="L14" s="38">
        <v>0.2</v>
      </c>
      <c r="M14" s="40">
        <f t="shared" si="1"/>
        <v>6000</v>
      </c>
      <c r="N14" s="25" t="s">
        <v>22</v>
      </c>
      <c r="O14" s="25">
        <f ca="1" t="shared" si="3"/>
        <v>191</v>
      </c>
      <c r="P14" s="41" t="str">
        <f ca="1" t="shared" si="4"/>
        <v>正常使用</v>
      </c>
    </row>
    <row r="15" ht="19.2" customHeight="1" spans="1:16">
      <c r="A15" s="24">
        <f t="shared" si="2"/>
        <v>12</v>
      </c>
      <c r="B15" s="25" t="s">
        <v>30</v>
      </c>
      <c r="C15" s="25" t="s">
        <v>19</v>
      </c>
      <c r="D15" s="25" t="s">
        <v>47</v>
      </c>
      <c r="E15" s="34"/>
      <c r="F15" s="35">
        <f>[1]Sheet1!A20+365*10</f>
        <v>39628</v>
      </c>
      <c r="G15" s="25">
        <v>40</v>
      </c>
      <c r="H15" s="25"/>
      <c r="I15" s="37">
        <v>13432</v>
      </c>
      <c r="J15" s="25">
        <v>1</v>
      </c>
      <c r="K15" s="37">
        <f t="shared" si="0"/>
        <v>13432</v>
      </c>
      <c r="L15" s="38">
        <v>0.2</v>
      </c>
      <c r="M15" s="40">
        <f t="shared" si="1"/>
        <v>2686.4</v>
      </c>
      <c r="N15" s="25" t="s">
        <v>32</v>
      </c>
      <c r="O15" s="25">
        <f ca="1" t="shared" si="3"/>
        <v>191</v>
      </c>
      <c r="P15" s="41" t="str">
        <f ca="1" t="shared" si="4"/>
        <v>正常使用</v>
      </c>
    </row>
    <row r="16" ht="19.2" customHeight="1" spans="1:16">
      <c r="A16" s="24">
        <f t="shared" si="2"/>
        <v>13</v>
      </c>
      <c r="B16" s="25" t="s">
        <v>48</v>
      </c>
      <c r="C16" s="25" t="s">
        <v>19</v>
      </c>
      <c r="D16" s="25" t="s">
        <v>49</v>
      </c>
      <c r="E16" s="34" t="s">
        <v>50</v>
      </c>
      <c r="F16" s="35">
        <f>[1]Sheet1!A1+365*10</f>
        <v>40543</v>
      </c>
      <c r="G16" s="25">
        <v>40</v>
      </c>
      <c r="H16" s="25"/>
      <c r="I16" s="37">
        <v>380000</v>
      </c>
      <c r="J16" s="25">
        <v>1</v>
      </c>
      <c r="K16" s="37">
        <f t="shared" si="0"/>
        <v>380000</v>
      </c>
      <c r="L16" s="38">
        <v>0.2</v>
      </c>
      <c r="M16" s="40">
        <f t="shared" si="1"/>
        <v>76000</v>
      </c>
      <c r="N16" s="25" t="s">
        <v>32</v>
      </c>
      <c r="O16" s="25">
        <f ca="1" t="shared" si="3"/>
        <v>161</v>
      </c>
      <c r="P16" s="41" t="str">
        <f ca="1" t="shared" si="4"/>
        <v>正常使用</v>
      </c>
    </row>
    <row r="17" ht="19.2" customHeight="1" spans="1:16">
      <c r="A17" s="24">
        <f t="shared" si="2"/>
        <v>14</v>
      </c>
      <c r="B17" s="25" t="s">
        <v>48</v>
      </c>
      <c r="C17" s="25" t="s">
        <v>19</v>
      </c>
      <c r="D17" s="25" t="s">
        <v>51</v>
      </c>
      <c r="E17" s="34"/>
      <c r="F17" s="35">
        <f>[1]Sheet1!A3+365*10</f>
        <v>40543</v>
      </c>
      <c r="G17" s="25">
        <v>40</v>
      </c>
      <c r="H17" s="25"/>
      <c r="I17" s="37">
        <v>400000</v>
      </c>
      <c r="J17" s="25">
        <v>1</v>
      </c>
      <c r="K17" s="37">
        <f t="shared" si="0"/>
        <v>400000</v>
      </c>
      <c r="L17" s="38">
        <v>0.2</v>
      </c>
      <c r="M17" s="40">
        <f t="shared" si="1"/>
        <v>80000</v>
      </c>
      <c r="N17" s="25" t="s">
        <v>22</v>
      </c>
      <c r="O17" s="25">
        <f ca="1" t="shared" si="3"/>
        <v>161</v>
      </c>
      <c r="P17" s="41" t="str">
        <f ca="1" t="shared" si="4"/>
        <v>正常使用</v>
      </c>
    </row>
    <row r="18" ht="19.2" customHeight="1" spans="1:16">
      <c r="A18" s="24">
        <f t="shared" si="2"/>
        <v>15</v>
      </c>
      <c r="B18" s="25" t="s">
        <v>48</v>
      </c>
      <c r="C18" s="25" t="s">
        <v>24</v>
      </c>
      <c r="D18" s="25" t="s">
        <v>52</v>
      </c>
      <c r="E18" s="34"/>
      <c r="F18" s="35">
        <f>[1]Sheet1!A6+365*10</f>
        <v>40786</v>
      </c>
      <c r="G18" s="25">
        <v>10</v>
      </c>
      <c r="H18" s="25" t="s">
        <v>53</v>
      </c>
      <c r="I18" s="25">
        <v>100000</v>
      </c>
      <c r="J18" s="25">
        <v>5</v>
      </c>
      <c r="K18" s="37">
        <f t="shared" si="0"/>
        <v>500000</v>
      </c>
      <c r="L18" s="38">
        <v>0.05</v>
      </c>
      <c r="M18" s="40">
        <f t="shared" si="1"/>
        <v>25000</v>
      </c>
      <c r="N18" s="25" t="s">
        <v>32</v>
      </c>
      <c r="O18" s="25">
        <f ca="1" t="shared" si="3"/>
        <v>153</v>
      </c>
      <c r="P18" s="41" t="str">
        <f ca="1" t="shared" si="4"/>
        <v>报废</v>
      </c>
    </row>
    <row r="19" ht="19.2" customHeight="1" spans="1:16">
      <c r="A19" s="24">
        <f t="shared" si="2"/>
        <v>16</v>
      </c>
      <c r="B19" s="25" t="s">
        <v>48</v>
      </c>
      <c r="C19" s="25" t="s">
        <v>54</v>
      </c>
      <c r="D19" s="25" t="s">
        <v>55</v>
      </c>
      <c r="E19" s="34" t="s">
        <v>56</v>
      </c>
      <c r="F19" s="35">
        <f>[1]Sheet1!A4+365*10</f>
        <v>40815</v>
      </c>
      <c r="G19" s="25">
        <v>10</v>
      </c>
      <c r="H19" s="25" t="s">
        <v>53</v>
      </c>
      <c r="I19" s="37">
        <v>84920</v>
      </c>
      <c r="J19" s="25">
        <v>2</v>
      </c>
      <c r="K19" s="37">
        <f t="shared" si="0"/>
        <v>169840</v>
      </c>
      <c r="L19" s="38">
        <v>0.05</v>
      </c>
      <c r="M19" s="40">
        <f t="shared" si="1"/>
        <v>8492</v>
      </c>
      <c r="N19" s="25" t="s">
        <v>22</v>
      </c>
      <c r="O19" s="25">
        <f ca="1" t="shared" si="3"/>
        <v>152</v>
      </c>
      <c r="P19" s="41" t="str">
        <f ca="1" t="shared" si="4"/>
        <v>报废</v>
      </c>
    </row>
    <row r="20" ht="19.2" customHeight="1" spans="1:16">
      <c r="A20" s="24">
        <f t="shared" si="2"/>
        <v>17</v>
      </c>
      <c r="B20" s="25" t="s">
        <v>48</v>
      </c>
      <c r="C20" s="25" t="s">
        <v>54</v>
      </c>
      <c r="D20" s="25" t="s">
        <v>57</v>
      </c>
      <c r="E20" s="34" t="s">
        <v>58</v>
      </c>
      <c r="F20" s="35">
        <f>[1]Sheet1!A5+365*10</f>
        <v>40846</v>
      </c>
      <c r="G20" s="25">
        <v>10</v>
      </c>
      <c r="H20" s="25" t="s">
        <v>53</v>
      </c>
      <c r="I20" s="37">
        <v>188670</v>
      </c>
      <c r="J20" s="25">
        <v>1</v>
      </c>
      <c r="K20" s="37">
        <f t="shared" si="0"/>
        <v>188670</v>
      </c>
      <c r="L20" s="38">
        <v>0.05</v>
      </c>
      <c r="M20" s="40">
        <f t="shared" si="1"/>
        <v>9433.5</v>
      </c>
      <c r="N20" s="25" t="s">
        <v>32</v>
      </c>
      <c r="O20" s="25">
        <f ca="1" t="shared" si="3"/>
        <v>151</v>
      </c>
      <c r="P20" s="41" t="str">
        <f ca="1" t="shared" si="4"/>
        <v>报废</v>
      </c>
    </row>
    <row r="21" ht="19.2" customHeight="1" spans="1:16">
      <c r="A21" s="24">
        <f t="shared" si="2"/>
        <v>18</v>
      </c>
      <c r="B21" s="25" t="s">
        <v>48</v>
      </c>
      <c r="C21" s="25" t="s">
        <v>19</v>
      </c>
      <c r="D21" s="25" t="s">
        <v>59</v>
      </c>
      <c r="E21" s="34"/>
      <c r="F21" s="35">
        <f>[1]Sheet1!A2+365*10</f>
        <v>40877</v>
      </c>
      <c r="G21" s="25">
        <v>40</v>
      </c>
      <c r="H21" s="25"/>
      <c r="I21" s="37">
        <v>220000</v>
      </c>
      <c r="J21" s="25">
        <v>1</v>
      </c>
      <c r="K21" s="37">
        <f t="shared" si="0"/>
        <v>220000</v>
      </c>
      <c r="L21" s="38">
        <v>0.2</v>
      </c>
      <c r="M21" s="40">
        <f t="shared" si="1"/>
        <v>44000</v>
      </c>
      <c r="N21" s="25" t="s">
        <v>32</v>
      </c>
      <c r="O21" s="25">
        <f ca="1" t="shared" si="3"/>
        <v>150</v>
      </c>
      <c r="P21" s="41" t="str">
        <f ca="1" t="shared" si="4"/>
        <v>正常使用</v>
      </c>
    </row>
    <row r="22" ht="19.2" customHeight="1" spans="1:16">
      <c r="A22" s="24">
        <f t="shared" si="2"/>
        <v>19</v>
      </c>
      <c r="B22" s="25" t="s">
        <v>48</v>
      </c>
      <c r="C22" s="25" t="s">
        <v>60</v>
      </c>
      <c r="D22" s="25" t="s">
        <v>61</v>
      </c>
      <c r="E22" s="34"/>
      <c r="F22" s="35">
        <f>[1]Sheet1!A10+365*10</f>
        <v>41028</v>
      </c>
      <c r="G22" s="25">
        <v>5</v>
      </c>
      <c r="H22" s="25" t="s">
        <v>27</v>
      </c>
      <c r="I22" s="37">
        <v>1520</v>
      </c>
      <c r="J22" s="25">
        <v>4</v>
      </c>
      <c r="K22" s="37">
        <f t="shared" si="0"/>
        <v>6080</v>
      </c>
      <c r="L22" s="38">
        <v>0.05</v>
      </c>
      <c r="M22" s="40">
        <f t="shared" si="1"/>
        <v>304</v>
      </c>
      <c r="N22" s="25" t="s">
        <v>35</v>
      </c>
      <c r="O22" s="25">
        <f ca="1" t="shared" si="3"/>
        <v>145</v>
      </c>
      <c r="P22" s="41" t="str">
        <f ca="1" t="shared" si="4"/>
        <v>报废</v>
      </c>
    </row>
    <row r="23" ht="19.2" customHeight="1" spans="1:16">
      <c r="A23" s="24">
        <f t="shared" si="2"/>
        <v>20</v>
      </c>
      <c r="B23" s="25" t="s">
        <v>23</v>
      </c>
      <c r="C23" s="25" t="s">
        <v>60</v>
      </c>
      <c r="D23" s="25" t="s">
        <v>62</v>
      </c>
      <c r="E23" s="34"/>
      <c r="F23" s="35">
        <f>[1]Sheet1!A16+365*10</f>
        <v>41881</v>
      </c>
      <c r="G23" s="25">
        <v>5</v>
      </c>
      <c r="H23" s="25" t="s">
        <v>27</v>
      </c>
      <c r="I23" s="37">
        <v>8236</v>
      </c>
      <c r="J23" s="25">
        <v>2</v>
      </c>
      <c r="K23" s="37">
        <f t="shared" si="0"/>
        <v>16472</v>
      </c>
      <c r="L23" s="38">
        <v>0.05</v>
      </c>
      <c r="M23" s="40">
        <f t="shared" si="1"/>
        <v>823.6</v>
      </c>
      <c r="N23" s="25" t="s">
        <v>32</v>
      </c>
      <c r="O23" s="25">
        <f ca="1" t="shared" si="3"/>
        <v>117</v>
      </c>
      <c r="P23" s="41" t="str">
        <f ca="1" t="shared" si="4"/>
        <v>报废</v>
      </c>
    </row>
    <row r="24" ht="19.2" customHeight="1" spans="1:16">
      <c r="A24" s="24">
        <f t="shared" si="2"/>
        <v>21</v>
      </c>
      <c r="B24" s="25" t="s">
        <v>48</v>
      </c>
      <c r="C24" s="25" t="s">
        <v>24</v>
      </c>
      <c r="D24" s="25" t="s">
        <v>63</v>
      </c>
      <c r="E24" s="34"/>
      <c r="F24" s="35">
        <f>[1]Sheet1!A8+365*10</f>
        <v>41911</v>
      </c>
      <c r="G24" s="25">
        <v>10</v>
      </c>
      <c r="H24" s="25" t="s">
        <v>27</v>
      </c>
      <c r="I24" s="25">
        <v>1980</v>
      </c>
      <c r="J24" s="25">
        <v>2</v>
      </c>
      <c r="K24" s="37">
        <f t="shared" si="0"/>
        <v>3960</v>
      </c>
      <c r="L24" s="38">
        <v>0.05</v>
      </c>
      <c r="M24" s="40">
        <f t="shared" si="1"/>
        <v>198</v>
      </c>
      <c r="N24" s="25" t="s">
        <v>32</v>
      </c>
      <c r="O24" s="25">
        <f ca="1" t="shared" si="3"/>
        <v>116</v>
      </c>
      <c r="P24" s="41" t="str">
        <f ca="1" t="shared" si="4"/>
        <v>正常使用</v>
      </c>
    </row>
    <row r="25" ht="19.2" customHeight="1" spans="1:16">
      <c r="A25" s="24">
        <f t="shared" si="2"/>
        <v>22</v>
      </c>
      <c r="B25" s="25" t="s">
        <v>64</v>
      </c>
      <c r="C25" s="25" t="s">
        <v>19</v>
      </c>
      <c r="D25" s="25" t="s">
        <v>65</v>
      </c>
      <c r="E25" s="34"/>
      <c r="F25" s="35">
        <f>[1]Sheet1!A26+365*10</f>
        <v>42003</v>
      </c>
      <c r="G25" s="25">
        <v>40</v>
      </c>
      <c r="H25" s="25"/>
      <c r="I25" s="37">
        <v>1219100</v>
      </c>
      <c r="J25" s="25">
        <v>1</v>
      </c>
      <c r="K25" s="37">
        <f t="shared" si="0"/>
        <v>1219100</v>
      </c>
      <c r="L25" s="38">
        <v>0.2</v>
      </c>
      <c r="M25" s="40">
        <f t="shared" si="1"/>
        <v>243820</v>
      </c>
      <c r="N25" s="25" t="s">
        <v>32</v>
      </c>
      <c r="O25" s="25">
        <f ca="1" t="shared" si="3"/>
        <v>113</v>
      </c>
      <c r="P25" s="41" t="str">
        <f ca="1" t="shared" si="4"/>
        <v>正常使用</v>
      </c>
    </row>
    <row r="26" ht="19.2" customHeight="1" spans="1:16">
      <c r="A26" s="24">
        <f t="shared" si="2"/>
        <v>23</v>
      </c>
      <c r="B26" s="25" t="s">
        <v>64</v>
      </c>
      <c r="C26" s="25" t="s">
        <v>19</v>
      </c>
      <c r="D26" s="25" t="s">
        <v>66</v>
      </c>
      <c r="E26" s="34"/>
      <c r="F26" s="35">
        <f>[1]Sheet1!A27+365*10</f>
        <v>42003</v>
      </c>
      <c r="G26" s="25">
        <v>40</v>
      </c>
      <c r="H26" s="25"/>
      <c r="I26" s="37">
        <v>1998900</v>
      </c>
      <c r="J26" s="25">
        <v>1</v>
      </c>
      <c r="K26" s="37">
        <f t="shared" si="0"/>
        <v>1998900</v>
      </c>
      <c r="L26" s="38">
        <v>0.2</v>
      </c>
      <c r="M26" s="40">
        <f t="shared" si="1"/>
        <v>399780</v>
      </c>
      <c r="N26" s="25" t="s">
        <v>32</v>
      </c>
      <c r="O26" s="25">
        <f ca="1" t="shared" si="3"/>
        <v>113</v>
      </c>
      <c r="P26" s="41" t="str">
        <f ca="1" t="shared" si="4"/>
        <v>正常使用</v>
      </c>
    </row>
    <row r="27" ht="19.2" customHeight="1" spans="1:16">
      <c r="A27" s="24">
        <f t="shared" si="2"/>
        <v>24</v>
      </c>
      <c r="B27" s="25" t="s">
        <v>64</v>
      </c>
      <c r="C27" s="25" t="s">
        <v>19</v>
      </c>
      <c r="D27" s="25" t="s">
        <v>67</v>
      </c>
      <c r="E27" s="34"/>
      <c r="F27" s="35">
        <f>[1]Sheet1!A28+365*10</f>
        <v>42003</v>
      </c>
      <c r="G27" s="25">
        <v>40</v>
      </c>
      <c r="H27" s="25"/>
      <c r="I27" s="37">
        <v>196400</v>
      </c>
      <c r="J27" s="25">
        <v>1</v>
      </c>
      <c r="K27" s="37">
        <f t="shared" si="0"/>
        <v>196400</v>
      </c>
      <c r="L27" s="38">
        <v>0.2</v>
      </c>
      <c r="M27" s="40">
        <f t="shared" si="1"/>
        <v>39280</v>
      </c>
      <c r="N27" s="25" t="s">
        <v>32</v>
      </c>
      <c r="O27" s="25">
        <f ca="1" t="shared" si="3"/>
        <v>113</v>
      </c>
      <c r="P27" s="41" t="str">
        <f ca="1" t="shared" si="4"/>
        <v>正常使用</v>
      </c>
    </row>
    <row r="28" ht="19.2" customHeight="1" spans="1:16">
      <c r="A28" s="24">
        <f t="shared" si="2"/>
        <v>25</v>
      </c>
      <c r="B28" s="25" t="s">
        <v>64</v>
      </c>
      <c r="C28" s="25" t="s">
        <v>60</v>
      </c>
      <c r="D28" s="25" t="s">
        <v>68</v>
      </c>
      <c r="E28" s="34">
        <v>4230</v>
      </c>
      <c r="F28" s="35">
        <f>[1]Sheet1!A34+365*10</f>
        <v>42003</v>
      </c>
      <c r="G28" s="25">
        <v>5</v>
      </c>
      <c r="H28" s="25" t="s">
        <v>27</v>
      </c>
      <c r="I28" s="37">
        <v>13920</v>
      </c>
      <c r="J28" s="25">
        <v>2</v>
      </c>
      <c r="K28" s="37">
        <f t="shared" si="0"/>
        <v>27840</v>
      </c>
      <c r="L28" s="38">
        <v>0.05</v>
      </c>
      <c r="M28" s="40">
        <f t="shared" si="1"/>
        <v>1392</v>
      </c>
      <c r="N28" s="25" t="s">
        <v>22</v>
      </c>
      <c r="O28" s="25">
        <f ca="1" t="shared" si="3"/>
        <v>113</v>
      </c>
      <c r="P28" s="41" t="str">
        <f ca="1" t="shared" si="4"/>
        <v>报废</v>
      </c>
    </row>
    <row r="29" ht="19.2" customHeight="1" spans="1:16">
      <c r="A29" s="24">
        <f t="shared" si="2"/>
        <v>26</v>
      </c>
      <c r="B29" s="25" t="s">
        <v>64</v>
      </c>
      <c r="C29" s="25" t="s">
        <v>60</v>
      </c>
      <c r="D29" s="25" t="s">
        <v>69</v>
      </c>
      <c r="E29" s="34"/>
      <c r="F29" s="35">
        <f>[1]Sheet1!A36+365*10</f>
        <v>42003</v>
      </c>
      <c r="G29" s="25">
        <v>4</v>
      </c>
      <c r="H29" s="25" t="s">
        <v>27</v>
      </c>
      <c r="I29" s="37">
        <v>570</v>
      </c>
      <c r="J29" s="25">
        <v>1</v>
      </c>
      <c r="K29" s="37">
        <f t="shared" si="0"/>
        <v>570</v>
      </c>
      <c r="L29" s="38">
        <v>0.05</v>
      </c>
      <c r="M29" s="40">
        <f t="shared" si="1"/>
        <v>28.5</v>
      </c>
      <c r="N29" s="25" t="s">
        <v>32</v>
      </c>
      <c r="O29" s="25">
        <f ca="1" t="shared" si="3"/>
        <v>113</v>
      </c>
      <c r="P29" s="41" t="str">
        <f ca="1" t="shared" si="4"/>
        <v>报废</v>
      </c>
    </row>
    <row r="30" ht="19.2" customHeight="1" spans="1:16">
      <c r="A30" s="24">
        <f t="shared" si="2"/>
        <v>27</v>
      </c>
      <c r="B30" s="25" t="s">
        <v>64</v>
      </c>
      <c r="C30" s="25" t="s">
        <v>24</v>
      </c>
      <c r="D30" s="25" t="s">
        <v>70</v>
      </c>
      <c r="E30" s="34" t="s">
        <v>71</v>
      </c>
      <c r="F30" s="35">
        <f>[1]Sheet1!A29+365*10</f>
        <v>42185</v>
      </c>
      <c r="G30" s="25">
        <v>14</v>
      </c>
      <c r="H30" s="25" t="s">
        <v>27</v>
      </c>
      <c r="I30" s="37">
        <v>2020</v>
      </c>
      <c r="J30" s="25">
        <v>5</v>
      </c>
      <c r="K30" s="37">
        <f t="shared" si="0"/>
        <v>10100</v>
      </c>
      <c r="L30" s="38">
        <v>0.05</v>
      </c>
      <c r="M30" s="40">
        <f t="shared" si="1"/>
        <v>505</v>
      </c>
      <c r="N30" s="25" t="s">
        <v>35</v>
      </c>
      <c r="O30" s="25">
        <f ca="1" t="shared" si="3"/>
        <v>107</v>
      </c>
      <c r="P30" s="41" t="str">
        <f ca="1" t="shared" si="4"/>
        <v>正常使用</v>
      </c>
    </row>
    <row r="31" ht="19.2" customHeight="1" spans="1:16">
      <c r="A31" s="24">
        <f t="shared" si="2"/>
        <v>28</v>
      </c>
      <c r="B31" s="25" t="s">
        <v>64</v>
      </c>
      <c r="C31" s="25" t="s">
        <v>24</v>
      </c>
      <c r="D31" s="25" t="s">
        <v>72</v>
      </c>
      <c r="E31" s="34" t="s">
        <v>73</v>
      </c>
      <c r="F31" s="35">
        <f>[1]Sheet1!A30+365*10</f>
        <v>42185</v>
      </c>
      <c r="G31" s="25">
        <v>14</v>
      </c>
      <c r="H31" s="25" t="s">
        <v>74</v>
      </c>
      <c r="I31" s="37">
        <v>10700</v>
      </c>
      <c r="J31" s="25">
        <v>1</v>
      </c>
      <c r="K31" s="37">
        <f t="shared" si="0"/>
        <v>10700</v>
      </c>
      <c r="L31" s="38">
        <v>0.05</v>
      </c>
      <c r="M31" s="40">
        <f t="shared" si="1"/>
        <v>535</v>
      </c>
      <c r="N31" s="25" t="s">
        <v>35</v>
      </c>
      <c r="O31" s="25">
        <f ca="1" t="shared" si="3"/>
        <v>107</v>
      </c>
      <c r="P31" s="41" t="str">
        <f ca="1" t="shared" si="4"/>
        <v>正常使用</v>
      </c>
    </row>
    <row r="32" ht="19.2" customHeight="1" spans="1:16">
      <c r="A32" s="24">
        <f t="shared" si="2"/>
        <v>29</v>
      </c>
      <c r="B32" s="25" t="s">
        <v>64</v>
      </c>
      <c r="C32" s="25" t="s">
        <v>24</v>
      </c>
      <c r="D32" s="25" t="s">
        <v>75</v>
      </c>
      <c r="E32" s="34" t="s">
        <v>76</v>
      </c>
      <c r="F32" s="35">
        <f>[1]Sheet1!A31+365*10</f>
        <v>42185</v>
      </c>
      <c r="G32" s="25">
        <v>14</v>
      </c>
      <c r="H32" s="25" t="s">
        <v>27</v>
      </c>
      <c r="I32" s="37">
        <v>4670</v>
      </c>
      <c r="J32" s="25">
        <v>1</v>
      </c>
      <c r="K32" s="37">
        <f t="shared" si="0"/>
        <v>4670</v>
      </c>
      <c r="L32" s="38">
        <v>0.05</v>
      </c>
      <c r="M32" s="40">
        <f t="shared" si="1"/>
        <v>233.5</v>
      </c>
      <c r="N32" s="25" t="s">
        <v>35</v>
      </c>
      <c r="O32" s="25">
        <f ca="1" t="shared" si="3"/>
        <v>107</v>
      </c>
      <c r="P32" s="41" t="str">
        <f ca="1" t="shared" si="4"/>
        <v>正常使用</v>
      </c>
    </row>
    <row r="33" ht="19.2" customHeight="1" spans="1:16">
      <c r="A33" s="24">
        <f t="shared" si="2"/>
        <v>30</v>
      </c>
      <c r="B33" s="25" t="s">
        <v>64</v>
      </c>
      <c r="C33" s="25" t="s">
        <v>24</v>
      </c>
      <c r="D33" s="25" t="s">
        <v>75</v>
      </c>
      <c r="E33" s="34" t="s">
        <v>77</v>
      </c>
      <c r="F33" s="35">
        <f>[1]Sheet1!A32+365*10</f>
        <v>42185</v>
      </c>
      <c r="G33" s="25">
        <v>14</v>
      </c>
      <c r="H33" s="25" t="s">
        <v>27</v>
      </c>
      <c r="I33" s="37">
        <v>4670</v>
      </c>
      <c r="J33" s="25">
        <v>1</v>
      </c>
      <c r="K33" s="37">
        <f t="shared" si="0"/>
        <v>4670</v>
      </c>
      <c r="L33" s="38">
        <v>0.05</v>
      </c>
      <c r="M33" s="40">
        <f t="shared" si="1"/>
        <v>233.5</v>
      </c>
      <c r="N33" s="25" t="s">
        <v>22</v>
      </c>
      <c r="O33" s="25">
        <f ca="1" t="shared" si="3"/>
        <v>107</v>
      </c>
      <c r="P33" s="41" t="str">
        <f ca="1" t="shared" si="4"/>
        <v>正常使用</v>
      </c>
    </row>
    <row r="34" ht="19.2" customHeight="1" spans="1:16">
      <c r="A34" s="24">
        <f t="shared" si="2"/>
        <v>31</v>
      </c>
      <c r="B34" s="25" t="s">
        <v>64</v>
      </c>
      <c r="C34" s="25" t="s">
        <v>24</v>
      </c>
      <c r="D34" s="25" t="s">
        <v>75</v>
      </c>
      <c r="E34" s="34" t="s">
        <v>78</v>
      </c>
      <c r="F34" s="35">
        <f>[1]Sheet1!A33+365*10</f>
        <v>42185</v>
      </c>
      <c r="G34" s="25">
        <v>14</v>
      </c>
      <c r="H34" s="25" t="s">
        <v>27</v>
      </c>
      <c r="I34" s="37">
        <v>4670</v>
      </c>
      <c r="J34" s="25">
        <v>1</v>
      </c>
      <c r="K34" s="37">
        <f t="shared" si="0"/>
        <v>4670</v>
      </c>
      <c r="L34" s="38">
        <v>0.05</v>
      </c>
      <c r="M34" s="40">
        <f t="shared" si="1"/>
        <v>233.5</v>
      </c>
      <c r="N34" s="25" t="s">
        <v>22</v>
      </c>
      <c r="O34" s="25">
        <f ca="1" t="shared" si="3"/>
        <v>107</v>
      </c>
      <c r="P34" s="41" t="str">
        <f ca="1" t="shared" si="4"/>
        <v>正常使用</v>
      </c>
    </row>
    <row r="35" ht="19.2" customHeight="1" spans="1:16">
      <c r="A35" s="24">
        <f t="shared" si="2"/>
        <v>32</v>
      </c>
      <c r="B35" s="25" t="s">
        <v>18</v>
      </c>
      <c r="C35" s="25" t="s">
        <v>24</v>
      </c>
      <c r="D35" s="25" t="s">
        <v>79</v>
      </c>
      <c r="E35" s="34"/>
      <c r="F35" s="35">
        <f>[1]Sheet1!A39+365*10</f>
        <v>42368</v>
      </c>
      <c r="G35" s="25">
        <v>14</v>
      </c>
      <c r="H35" s="25"/>
      <c r="I35" s="37">
        <v>930000</v>
      </c>
      <c r="J35" s="25">
        <v>1</v>
      </c>
      <c r="K35" s="37">
        <f t="shared" si="0"/>
        <v>930000</v>
      </c>
      <c r="L35" s="38">
        <v>0.05</v>
      </c>
      <c r="M35" s="40">
        <f t="shared" si="1"/>
        <v>46500</v>
      </c>
      <c r="N35" s="25" t="s">
        <v>35</v>
      </c>
      <c r="O35" s="25">
        <f ca="1" t="shared" si="3"/>
        <v>101</v>
      </c>
      <c r="P35" s="41" t="str">
        <f ca="1" t="shared" si="4"/>
        <v>正常使用</v>
      </c>
    </row>
    <row r="36" ht="19.2" customHeight="1" spans="1:16">
      <c r="A36" s="24">
        <f t="shared" si="2"/>
        <v>33</v>
      </c>
      <c r="B36" s="25" t="s">
        <v>48</v>
      </c>
      <c r="C36" s="25" t="s">
        <v>60</v>
      </c>
      <c r="D36" s="25" t="s">
        <v>80</v>
      </c>
      <c r="E36" s="34"/>
      <c r="F36" s="35">
        <f>[1]Sheet1!A9+365*10</f>
        <v>42489</v>
      </c>
      <c r="G36" s="25">
        <v>5</v>
      </c>
      <c r="H36" s="25" t="s">
        <v>81</v>
      </c>
      <c r="I36" s="37">
        <v>39338</v>
      </c>
      <c r="J36" s="25">
        <v>5</v>
      </c>
      <c r="K36" s="37">
        <f t="shared" si="0"/>
        <v>196690</v>
      </c>
      <c r="L36" s="38">
        <v>0.05</v>
      </c>
      <c r="M36" s="40">
        <f t="shared" si="1"/>
        <v>9834.5</v>
      </c>
      <c r="N36" s="25" t="s">
        <v>35</v>
      </c>
      <c r="O36" s="25">
        <f ca="1" t="shared" si="3"/>
        <v>97</v>
      </c>
      <c r="P36" s="41" t="str">
        <f ca="1" t="shared" si="4"/>
        <v>报废</v>
      </c>
    </row>
    <row r="37" ht="19.2" customHeight="1" spans="1:16">
      <c r="A37" s="24">
        <f t="shared" si="2"/>
        <v>34</v>
      </c>
      <c r="B37" s="25" t="s">
        <v>18</v>
      </c>
      <c r="C37" s="25" t="s">
        <v>24</v>
      </c>
      <c r="D37" s="25" t="s">
        <v>82</v>
      </c>
      <c r="E37" s="34"/>
      <c r="F37" s="35">
        <f>[1]Sheet1!A37+365*10</f>
        <v>42703</v>
      </c>
      <c r="G37" s="25">
        <v>14</v>
      </c>
      <c r="H37" s="25" t="s">
        <v>27</v>
      </c>
      <c r="I37" s="37">
        <v>90000</v>
      </c>
      <c r="J37" s="25">
        <v>1</v>
      </c>
      <c r="K37" s="37">
        <f t="shared" si="0"/>
        <v>90000</v>
      </c>
      <c r="L37" s="38">
        <v>0.05</v>
      </c>
      <c r="M37" s="40">
        <f t="shared" si="1"/>
        <v>4500</v>
      </c>
      <c r="N37" s="25" t="s">
        <v>35</v>
      </c>
      <c r="O37" s="25">
        <f ca="1" t="shared" si="3"/>
        <v>90</v>
      </c>
      <c r="P37" s="41" t="str">
        <f ca="1" t="shared" si="4"/>
        <v>正常使用</v>
      </c>
    </row>
    <row r="38" ht="19.2" customHeight="1" spans="1:16">
      <c r="A38" s="24">
        <f t="shared" si="2"/>
        <v>35</v>
      </c>
      <c r="B38" s="25" t="s">
        <v>18</v>
      </c>
      <c r="C38" s="25" t="s">
        <v>24</v>
      </c>
      <c r="D38" s="25" t="s">
        <v>83</v>
      </c>
      <c r="E38" s="34"/>
      <c r="F38" s="35">
        <f>[1]Sheet1!A38+365*10</f>
        <v>42703</v>
      </c>
      <c r="G38" s="25">
        <v>14</v>
      </c>
      <c r="H38" s="25" t="s">
        <v>27</v>
      </c>
      <c r="I38" s="37">
        <v>9000</v>
      </c>
      <c r="J38" s="25">
        <v>1</v>
      </c>
      <c r="K38" s="37">
        <f t="shared" si="0"/>
        <v>9000</v>
      </c>
      <c r="L38" s="38">
        <v>0.05</v>
      </c>
      <c r="M38" s="40">
        <f t="shared" si="1"/>
        <v>450</v>
      </c>
      <c r="N38" s="25" t="s">
        <v>35</v>
      </c>
      <c r="O38" s="25">
        <f ca="1" t="shared" si="3"/>
        <v>90</v>
      </c>
      <c r="P38" s="41" t="str">
        <f ca="1" t="shared" si="4"/>
        <v>正常使用</v>
      </c>
    </row>
    <row r="39" ht="19.2" customHeight="1" spans="1:16">
      <c r="A39" s="24">
        <f t="shared" si="2"/>
        <v>36</v>
      </c>
      <c r="B39" s="25" t="s">
        <v>23</v>
      </c>
      <c r="C39" s="25" t="s">
        <v>60</v>
      </c>
      <c r="D39" s="25" t="s">
        <v>84</v>
      </c>
      <c r="E39" s="34" t="s">
        <v>85</v>
      </c>
      <c r="F39" s="35">
        <f>[1]Sheet1!A17+365*10</f>
        <v>42824</v>
      </c>
      <c r="G39" s="25">
        <v>5</v>
      </c>
      <c r="H39" s="25" t="s">
        <v>81</v>
      </c>
      <c r="I39" s="37">
        <v>6000</v>
      </c>
      <c r="J39" s="25">
        <v>2</v>
      </c>
      <c r="K39" s="37">
        <f t="shared" si="0"/>
        <v>12000</v>
      </c>
      <c r="L39" s="38">
        <v>0.05</v>
      </c>
      <c r="M39" s="40">
        <f t="shared" si="1"/>
        <v>600</v>
      </c>
      <c r="N39" s="25" t="s">
        <v>32</v>
      </c>
      <c r="O39" s="25">
        <f ca="1" t="shared" si="3"/>
        <v>86</v>
      </c>
      <c r="P39" s="41" t="str">
        <f ca="1" t="shared" si="4"/>
        <v>报废</v>
      </c>
    </row>
    <row r="40" ht="19.2" customHeight="1" spans="1:16">
      <c r="A40" s="24">
        <f t="shared" si="2"/>
        <v>37</v>
      </c>
      <c r="B40" s="25" t="s">
        <v>23</v>
      </c>
      <c r="C40" s="25" t="s">
        <v>60</v>
      </c>
      <c r="D40" s="25" t="s">
        <v>84</v>
      </c>
      <c r="E40" s="34" t="s">
        <v>86</v>
      </c>
      <c r="F40" s="35">
        <f>[1]Sheet1!A18+365*10</f>
        <v>42824</v>
      </c>
      <c r="G40" s="25">
        <v>5</v>
      </c>
      <c r="H40" s="25" t="s">
        <v>81</v>
      </c>
      <c r="I40" s="37">
        <v>4400</v>
      </c>
      <c r="J40" s="25">
        <v>2</v>
      </c>
      <c r="K40" s="37">
        <f t="shared" si="0"/>
        <v>8800</v>
      </c>
      <c r="L40" s="38">
        <v>0.05</v>
      </c>
      <c r="M40" s="40">
        <f t="shared" si="1"/>
        <v>440</v>
      </c>
      <c r="N40" s="25" t="s">
        <v>32</v>
      </c>
      <c r="O40" s="25">
        <f ca="1" t="shared" si="3"/>
        <v>86</v>
      </c>
      <c r="P40" s="41" t="str">
        <f ca="1" t="shared" si="4"/>
        <v>报废</v>
      </c>
    </row>
    <row r="41" ht="19.2" customHeight="1" spans="1:16">
      <c r="A41" s="24">
        <f t="shared" si="2"/>
        <v>38</v>
      </c>
      <c r="B41" s="25" t="s">
        <v>48</v>
      </c>
      <c r="C41" s="25" t="s">
        <v>60</v>
      </c>
      <c r="D41" s="25" t="s">
        <v>87</v>
      </c>
      <c r="E41" s="34"/>
      <c r="F41" s="35">
        <f>[1]Sheet1!A11+365*10</f>
        <v>43038</v>
      </c>
      <c r="G41" s="25">
        <v>5</v>
      </c>
      <c r="H41" s="25" t="s">
        <v>27</v>
      </c>
      <c r="I41" s="25">
        <v>5250</v>
      </c>
      <c r="J41" s="25">
        <v>2</v>
      </c>
      <c r="K41" s="37">
        <f t="shared" si="0"/>
        <v>10500</v>
      </c>
      <c r="L41" s="38">
        <v>0.05</v>
      </c>
      <c r="M41" s="40">
        <f t="shared" si="1"/>
        <v>525</v>
      </c>
      <c r="N41" s="25" t="s">
        <v>35</v>
      </c>
      <c r="O41" s="25">
        <f ca="1" t="shared" si="3"/>
        <v>79</v>
      </c>
      <c r="P41" s="41" t="str">
        <f ca="1" t="shared" si="4"/>
        <v>报废</v>
      </c>
    </row>
    <row r="42" ht="19.2" customHeight="1" spans="1:16">
      <c r="A42" s="24">
        <f t="shared" si="2"/>
        <v>39</v>
      </c>
      <c r="B42" s="25" t="s">
        <v>48</v>
      </c>
      <c r="C42" s="25" t="s">
        <v>60</v>
      </c>
      <c r="D42" s="25" t="s">
        <v>88</v>
      </c>
      <c r="E42" s="34"/>
      <c r="F42" s="35">
        <f>[1]Sheet1!A12+365*10</f>
        <v>44102</v>
      </c>
      <c r="G42" s="25">
        <v>5</v>
      </c>
      <c r="H42" s="25" t="s">
        <v>27</v>
      </c>
      <c r="I42" s="25">
        <v>2980</v>
      </c>
      <c r="J42" s="25">
        <v>4</v>
      </c>
      <c r="K42" s="37">
        <f t="shared" si="0"/>
        <v>11920</v>
      </c>
      <c r="L42" s="38">
        <v>0.05</v>
      </c>
      <c r="M42" s="40">
        <f t="shared" si="1"/>
        <v>596</v>
      </c>
      <c r="N42" s="25" t="s">
        <v>22</v>
      </c>
      <c r="O42" s="25">
        <f ca="1" t="shared" si="3"/>
        <v>44</v>
      </c>
      <c r="P42" s="41" t="str">
        <f ca="1" t="shared" si="4"/>
        <v>正常使用</v>
      </c>
    </row>
    <row r="43" ht="19.2" customHeight="1" spans="1:16">
      <c r="A43" s="24">
        <f t="shared" si="2"/>
        <v>40</v>
      </c>
      <c r="B43" s="25" t="s">
        <v>48</v>
      </c>
      <c r="C43" s="25" t="s">
        <v>24</v>
      </c>
      <c r="D43" s="25" t="s">
        <v>89</v>
      </c>
      <c r="E43" s="34"/>
      <c r="F43" s="35">
        <v>44684</v>
      </c>
      <c r="G43" s="25">
        <v>10</v>
      </c>
      <c r="H43" s="25" t="s">
        <v>27</v>
      </c>
      <c r="I43" s="25">
        <v>2265</v>
      </c>
      <c r="J43" s="25">
        <v>2</v>
      </c>
      <c r="K43" s="37">
        <f t="shared" si="0"/>
        <v>4530</v>
      </c>
      <c r="L43" s="38">
        <v>0.05</v>
      </c>
      <c r="M43" s="40">
        <f t="shared" si="1"/>
        <v>226.5</v>
      </c>
      <c r="N43" s="25" t="s">
        <v>32</v>
      </c>
      <c r="O43" s="25">
        <f ca="1" t="shared" si="3"/>
        <v>24</v>
      </c>
      <c r="P43" s="41" t="str">
        <f ca="1" t="shared" si="4"/>
        <v>正常使用</v>
      </c>
    </row>
    <row r="44" ht="19.2" customHeight="1" spans="1:16">
      <c r="A44" s="24">
        <f t="shared" si="2"/>
        <v>41</v>
      </c>
      <c r="B44" s="25" t="s">
        <v>30</v>
      </c>
      <c r="C44" s="25" t="s">
        <v>24</v>
      </c>
      <c r="D44" s="25" t="s">
        <v>90</v>
      </c>
      <c r="E44" s="34"/>
      <c r="F44" s="35">
        <f>[1]Sheet1!A23+365*10</f>
        <v>44711</v>
      </c>
      <c r="G44" s="25">
        <v>14</v>
      </c>
      <c r="H44" s="25" t="s">
        <v>34</v>
      </c>
      <c r="I44" s="25">
        <v>25576</v>
      </c>
      <c r="J44" s="25">
        <v>10</v>
      </c>
      <c r="K44" s="37">
        <f t="shared" si="0"/>
        <v>255760</v>
      </c>
      <c r="L44" s="38">
        <v>0.05</v>
      </c>
      <c r="M44" s="40">
        <f t="shared" si="1"/>
        <v>12788</v>
      </c>
      <c r="N44" s="25" t="s">
        <v>35</v>
      </c>
      <c r="O44" s="25">
        <f ca="1" t="shared" si="3"/>
        <v>24</v>
      </c>
      <c r="P44" s="41" t="str">
        <f ca="1" t="shared" si="4"/>
        <v>正常使用</v>
      </c>
    </row>
    <row r="45" ht="19.2" customHeight="1" spans="1:16">
      <c r="A45" s="24">
        <f t="shared" si="2"/>
        <v>42</v>
      </c>
      <c r="B45" s="25" t="s">
        <v>64</v>
      </c>
      <c r="C45" s="25" t="s">
        <v>60</v>
      </c>
      <c r="D45" s="25" t="s">
        <v>91</v>
      </c>
      <c r="E45" s="34" t="s">
        <v>92</v>
      </c>
      <c r="F45" s="35">
        <f ca="1">C2-10</f>
        <v>45437</v>
      </c>
      <c r="G45" s="25">
        <v>4</v>
      </c>
      <c r="H45" s="25" t="s">
        <v>27</v>
      </c>
      <c r="I45" s="37">
        <v>30220</v>
      </c>
      <c r="J45" s="25">
        <v>2</v>
      </c>
      <c r="K45" s="37">
        <f t="shared" si="0"/>
        <v>60440</v>
      </c>
      <c r="L45" s="38">
        <v>0.05</v>
      </c>
      <c r="M45" s="40">
        <f t="shared" si="1"/>
        <v>3022</v>
      </c>
      <c r="N45" s="25" t="s">
        <v>22</v>
      </c>
      <c r="O45" s="25">
        <f ca="1" t="shared" si="3"/>
        <v>0</v>
      </c>
      <c r="P45" s="41" t="str">
        <f ca="1" t="shared" si="4"/>
        <v>正常使用</v>
      </c>
    </row>
    <row r="46" spans="1:14">
      <c r="A46" s="26"/>
      <c r="B46" s="27"/>
      <c r="C46" s="27"/>
      <c r="D46" s="27"/>
      <c r="E46" s="36"/>
      <c r="F46" s="27"/>
      <c r="G46" s="27"/>
      <c r="H46" s="27"/>
      <c r="I46" s="27"/>
      <c r="J46" s="27"/>
      <c r="K46" s="27"/>
      <c r="L46" s="27"/>
      <c r="M46" s="27"/>
      <c r="N46" s="27"/>
    </row>
  </sheetData>
  <autoFilter ref="A3:N45">
    <extLst/>
  </autoFilter>
  <sortState ref="A4:N46">
    <sortCondition ref="F4"/>
  </sortState>
  <mergeCells count="3">
    <mergeCell ref="A1:P1"/>
    <mergeCell ref="A2:B2"/>
    <mergeCell ref="D2:P2"/>
  </mergeCells>
  <conditionalFormatting sqref="P5:P45">
    <cfRule type="cellIs" dxfId="0" priority="1" operator="equal">
      <formula>$P$5</formula>
    </cfRule>
  </conditionalFormatting>
  <dataValidations count="3">
    <dataValidation type="list" allowBlank="1" showInputMessage="1" showErrorMessage="1" sqref="B4:B45">
      <formula1>"管理部门,一车间,二车间,辅助车间,化验中心"</formula1>
    </dataValidation>
    <dataValidation type="list" allowBlank="1" showInputMessage="1" showErrorMessage="1" sqref="C4:C45">
      <formula1>"机器设备,房屋及建筑物,运输设备,其他"</formula1>
    </dataValidation>
    <dataValidation type="list" allowBlank="1" showInputMessage="1" showErrorMessage="1" sqref="N4:N45">
      <formula1>"固定余额递减法,年限总和法,双倍余额递减法,直线法"</formula1>
    </dataValidation>
  </dataValidations>
  <pageMargins left="0.7" right="0.7" top="0.75" bottom="0.75" header="0.3" footer="0.3"/>
  <pageSetup paperSize="9" orientation="portrait"/>
  <headerFooter/>
  <ignoredErrors>
    <ignoredError sqref="P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K19"/>
  <sheetViews>
    <sheetView workbookViewId="0">
      <selection activeCell="M16" sqref="M16"/>
    </sheetView>
  </sheetViews>
  <sheetFormatPr defaultColWidth="9" defaultRowHeight="16.8"/>
  <cols>
    <col min="1" max="1" width="8.22115384615385" customWidth="1"/>
    <col min="2" max="2" width="8.33653846153846" customWidth="1"/>
    <col min="3" max="3" width="7.77884615384615" customWidth="1"/>
    <col min="4" max="4" width="8.11538461538461" customWidth="1"/>
    <col min="5" max="5" width="7.44230769230769" customWidth="1"/>
    <col min="7" max="7" width="8.33653846153846" customWidth="1"/>
    <col min="8" max="8" width="6.77884615384615" customWidth="1"/>
    <col min="9" max="9" width="7.11538461538461" customWidth="1"/>
    <col min="10" max="10" width="8.22115384615385" customWidth="1"/>
    <col min="11" max="11" width="7.88461538461539" customWidth="1"/>
  </cols>
  <sheetData>
    <row r="1" spans="1:11">
      <c r="A1" s="11" t="s">
        <v>93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s="11" t="s">
        <v>94</v>
      </c>
      <c r="B2" s="11"/>
      <c r="C2" s="11"/>
      <c r="D2" s="11"/>
      <c r="E2" s="11"/>
      <c r="F2" s="11"/>
      <c r="G2" s="11"/>
      <c r="H2" s="11" t="s">
        <v>95</v>
      </c>
      <c r="I2" s="11"/>
      <c r="J2" s="11"/>
      <c r="K2" s="11"/>
    </row>
    <row r="3" spans="1:11">
      <c r="A3" s="12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ht="19.5" customHeight="1" spans="1:11">
      <c r="A4" s="13" t="s">
        <v>97</v>
      </c>
      <c r="B4" s="13" t="s">
        <v>98</v>
      </c>
      <c r="C4" s="13"/>
      <c r="D4" s="13" t="s">
        <v>99</v>
      </c>
      <c r="E4" s="13" t="s">
        <v>6</v>
      </c>
      <c r="F4" s="13" t="s">
        <v>11</v>
      </c>
      <c r="G4" s="13" t="s">
        <v>100</v>
      </c>
      <c r="H4" s="13" t="s">
        <v>101</v>
      </c>
      <c r="I4" s="13" t="s">
        <v>102</v>
      </c>
      <c r="J4" s="13" t="s">
        <v>103</v>
      </c>
      <c r="K4" s="13" t="s">
        <v>104</v>
      </c>
    </row>
    <row r="5" ht="21" spans="1:11">
      <c r="A5" s="13"/>
      <c r="B5" s="13" t="s">
        <v>105</v>
      </c>
      <c r="C5" s="13" t="s">
        <v>106</v>
      </c>
      <c r="D5" s="13"/>
      <c r="E5" s="13"/>
      <c r="F5" s="13"/>
      <c r="G5" s="13"/>
      <c r="H5" s="13"/>
      <c r="I5" s="13"/>
      <c r="J5" s="13"/>
      <c r="K5" s="13"/>
    </row>
    <row r="11" spans="1:1">
      <c r="A11" t="s">
        <v>107</v>
      </c>
    </row>
    <row r="12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</sheetData>
  <mergeCells count="20">
    <mergeCell ref="A1:K1"/>
    <mergeCell ref="A2:B2"/>
    <mergeCell ref="C2:G2"/>
    <mergeCell ref="H2:I2"/>
    <mergeCell ref="J2:K2"/>
    <mergeCell ref="A3:K3"/>
    <mergeCell ref="B4:C4"/>
    <mergeCell ref="A4:A5"/>
    <mergeCell ref="D4:D5"/>
    <mergeCell ref="E4:E5"/>
    <mergeCell ref="F4:F5"/>
    <mergeCell ref="G4:G5"/>
    <mergeCell ref="H4:H5"/>
    <mergeCell ref="I4:I5"/>
    <mergeCell ref="J4:J5"/>
    <mergeCell ref="K4:K5"/>
    <mergeCell ref="A12:C19"/>
    <mergeCell ref="D12:F19"/>
    <mergeCell ref="G12:I19"/>
    <mergeCell ref="J12:K1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0"/>
  <sheetViews>
    <sheetView zoomScale="90" zoomScaleNormal="90" workbookViewId="0">
      <selection activeCell="G12" sqref="G12"/>
    </sheetView>
  </sheetViews>
  <sheetFormatPr defaultColWidth="9.23076923076923" defaultRowHeight="16.8" outlineLevelCol="7"/>
  <cols>
    <col min="1" max="1" width="7.84615384615385" customWidth="1"/>
    <col min="2" max="2" width="16.5" customWidth="1"/>
    <col min="3" max="3" width="33.6442307692308" customWidth="1"/>
    <col min="4" max="4" width="19.3846153846154" customWidth="1"/>
    <col min="5" max="5" width="17.9711538461538" customWidth="1"/>
    <col min="6" max="8" width="13.8461538461538"/>
  </cols>
  <sheetData>
    <row r="1" ht="34" customHeight="1" spans="2:8">
      <c r="B1" s="1" t="s">
        <v>108</v>
      </c>
      <c r="C1" s="1"/>
      <c r="D1" s="1"/>
      <c r="E1" s="1"/>
      <c r="F1" s="1"/>
      <c r="G1" s="1"/>
      <c r="H1" s="1"/>
    </row>
    <row r="2" ht="17.6" spans="2:8">
      <c r="B2" s="2"/>
      <c r="C2" s="3"/>
      <c r="D2" s="3"/>
      <c r="E2" s="3"/>
      <c r="F2" s="3"/>
      <c r="G2" s="3"/>
      <c r="H2" s="8"/>
    </row>
    <row r="3" ht="18" spans="2:8">
      <c r="B3" s="4" t="s">
        <v>1</v>
      </c>
      <c r="C3" s="5">
        <f ca="1">固定资产查询!C2</f>
        <v>45447</v>
      </c>
      <c r="D3" s="4" t="s">
        <v>109</v>
      </c>
      <c r="E3" s="4">
        <f ca="1">VLOOKUP($C$4,固定资产查询!$A:$P,15,FALSE)</f>
        <v>209</v>
      </c>
      <c r="F3" s="4"/>
      <c r="G3" s="4"/>
      <c r="H3" s="4"/>
    </row>
    <row r="4" ht="18" spans="2:8">
      <c r="B4" s="4" t="s">
        <v>2</v>
      </c>
      <c r="C4" s="4">
        <v>4</v>
      </c>
      <c r="D4" s="4" t="s">
        <v>5</v>
      </c>
      <c r="E4" s="4" t="str">
        <f ca="1">VLOOKUP($C$4,固定资产查询!$A:$P,4,FALSE)</f>
        <v>造粒机房</v>
      </c>
      <c r="F4" s="4"/>
      <c r="G4" s="4"/>
      <c r="H4" s="4"/>
    </row>
    <row r="5" ht="18" spans="2:8">
      <c r="B5" s="4" t="s">
        <v>4</v>
      </c>
      <c r="C5" s="4" t="str">
        <f ca="1">VLOOKUP($C$4,固定资产查询!$A:$P,3,FALSE)</f>
        <v>房屋及建筑物</v>
      </c>
      <c r="D5" s="4" t="s">
        <v>110</v>
      </c>
      <c r="E5" s="4" t="str">
        <f ca="1">VLOOKUP($C$4,固定资产查询!$A:$P,2,FALSE)</f>
        <v>一车间</v>
      </c>
      <c r="F5" s="4"/>
      <c r="G5" s="4"/>
      <c r="H5" s="4"/>
    </row>
    <row r="6" ht="18" spans="2:8">
      <c r="B6" s="4" t="s">
        <v>111</v>
      </c>
      <c r="C6" s="5">
        <f ca="1">VLOOKUP($C$4,固定资产查询!$A:$P,6,FALSE)</f>
        <v>39081</v>
      </c>
      <c r="D6" s="4" t="s">
        <v>8</v>
      </c>
      <c r="E6" s="4">
        <f ca="1">VLOOKUP($C$4,固定资产查询!$A:$P,7,FALSE)</f>
        <v>40</v>
      </c>
      <c r="F6" s="4" t="s">
        <v>17</v>
      </c>
      <c r="G6" s="4" t="str">
        <f ca="1">VLOOKUP($C$4,固定资产查询!$A:$P,16,FALSE)</f>
        <v>正常使用</v>
      </c>
      <c r="H6" s="4"/>
    </row>
    <row r="7" ht="18" spans="2:8">
      <c r="B7" s="4" t="s">
        <v>112</v>
      </c>
      <c r="C7" s="4">
        <f ca="1">VLOOKUP($C$4,固定资产查询!$A:$P,11,FALSE)</f>
        <v>125000</v>
      </c>
      <c r="D7" s="4" t="s">
        <v>13</v>
      </c>
      <c r="E7" s="9">
        <f ca="1">VLOOKUP($C$4,固定资产查询!$A:$P,12,FALSE)</f>
        <v>0.2</v>
      </c>
      <c r="F7" s="4" t="s">
        <v>14</v>
      </c>
      <c r="G7" s="4">
        <f ca="1">VLOOKUP($C$4,固定资产查询!$A:$P,13,FALSE)</f>
        <v>25000</v>
      </c>
      <c r="H7" s="4"/>
    </row>
    <row r="8" ht="17.6" spans="2:8">
      <c r="B8" s="4" t="s">
        <v>113</v>
      </c>
      <c r="C8" s="4"/>
      <c r="D8" s="4"/>
      <c r="E8" s="4"/>
      <c r="F8" s="4"/>
      <c r="G8" s="4"/>
      <c r="H8" s="4"/>
    </row>
    <row r="9" ht="18" spans="2:8">
      <c r="B9" s="4" t="s">
        <v>114</v>
      </c>
      <c r="C9" s="4" t="s">
        <v>115</v>
      </c>
      <c r="D9" s="4" t="s">
        <v>116</v>
      </c>
      <c r="E9" s="4" t="s">
        <v>104</v>
      </c>
      <c r="F9" s="4" t="s">
        <v>117</v>
      </c>
      <c r="G9" s="4" t="s">
        <v>118</v>
      </c>
      <c r="H9" s="4" t="s">
        <v>119</v>
      </c>
    </row>
    <row r="10" ht="32" customHeight="1" spans="2:8">
      <c r="B10" s="4">
        <v>0</v>
      </c>
      <c r="C10" s="4"/>
      <c r="D10" s="4"/>
      <c r="E10" s="4"/>
      <c r="F10" s="4"/>
      <c r="G10" s="4"/>
      <c r="H10" s="4">
        <f ca="1">C7</f>
        <v>125000</v>
      </c>
    </row>
    <row r="11" ht="17.6" spans="2:8">
      <c r="B11" s="4">
        <f ca="1">IF(B10&lt;=$E$6,B10+1,"")</f>
        <v>1</v>
      </c>
      <c r="C11" s="6">
        <f ca="1">IF(B11&lt;=$E$6,SYD($H10,$G$7,$E$6,$B11))</f>
        <v>4878.0487804878</v>
      </c>
      <c r="D11" s="7">
        <f ca="1">C11/H10</f>
        <v>0.0390243902439024</v>
      </c>
      <c r="E11" s="10">
        <f ca="1">C11/12</f>
        <v>406.50406504065</v>
      </c>
      <c r="F11" s="7">
        <f ca="1">D11/12</f>
        <v>0.0032520325203252</v>
      </c>
      <c r="G11" s="6">
        <f ca="1">C11</f>
        <v>4878.0487804878</v>
      </c>
      <c r="H11" s="6">
        <f ca="1">H10-G11</f>
        <v>120121.951219512</v>
      </c>
    </row>
    <row r="12" ht="17.6" spans="2:8">
      <c r="B12" s="4">
        <f ca="1" t="shared" ref="B12:B50" si="0">IF(B11&lt;=$E$6,B11+1,"")</f>
        <v>2</v>
      </c>
      <c r="C12" s="6">
        <f ca="1" t="shared" ref="C12:C20" si="1">IF(B12&lt;=$E$6,SYD($H11,$G$7,$E$6,$B12))</f>
        <v>4524.09280190363</v>
      </c>
      <c r="D12" s="7">
        <f ca="1" t="shared" ref="D12:D20" si="2">C12/H11</f>
        <v>0.0376624984523957</v>
      </c>
      <c r="E12" s="10">
        <f ca="1" t="shared" ref="E12:E20" si="3">C12/12</f>
        <v>377.007733491969</v>
      </c>
      <c r="F12" s="7">
        <f ca="1" t="shared" ref="F12:F20" si="4">D12/12</f>
        <v>0.00313854153769964</v>
      </c>
      <c r="G12" s="6">
        <f ca="1">SUM($C$11:$C12)</f>
        <v>9402.14158239143</v>
      </c>
      <c r="H12" s="6">
        <f ca="1" t="shared" ref="H12:H20" si="5">H11-G12</f>
        <v>110719.809637121</v>
      </c>
    </row>
    <row r="13" ht="17.6" spans="2:8">
      <c r="B13" s="4">
        <f ca="1" t="shared" si="0"/>
        <v>3</v>
      </c>
      <c r="C13" s="6">
        <f ca="1" t="shared" si="1"/>
        <v>3972.38142220804</v>
      </c>
      <c r="D13" s="7">
        <f ca="1" t="shared" si="2"/>
        <v>0.0358777840679761</v>
      </c>
      <c r="E13" s="10">
        <f ca="1" t="shared" si="3"/>
        <v>331.031785184003</v>
      </c>
      <c r="F13" s="7">
        <f ca="1" t="shared" si="4"/>
        <v>0.00298981533899801</v>
      </c>
      <c r="G13" s="6">
        <f ca="1">SUM($C$11:$C13)</f>
        <v>13374.5230045995</v>
      </c>
      <c r="H13" s="6">
        <f ca="1" t="shared" si="5"/>
        <v>97345.2866325213</v>
      </c>
    </row>
    <row r="14" ht="17.6" spans="2:8">
      <c r="B14" s="4">
        <f ca="1" t="shared" si="0"/>
        <v>4</v>
      </c>
      <c r="C14" s="6">
        <f ca="1" t="shared" si="1"/>
        <v>3264.36049439425</v>
      </c>
      <c r="D14" s="7">
        <f ca="1" t="shared" si="2"/>
        <v>0.0335338320664381</v>
      </c>
      <c r="E14" s="10">
        <f ca="1" t="shared" si="3"/>
        <v>272.030041199521</v>
      </c>
      <c r="F14" s="7">
        <f ca="1" t="shared" si="4"/>
        <v>0.00279448600553651</v>
      </c>
      <c r="G14" s="6">
        <f ca="1">SUM($C$11:$C14)</f>
        <v>16638.8834989937</v>
      </c>
      <c r="H14" s="6">
        <f ca="1" t="shared" si="5"/>
        <v>80706.4031335276</v>
      </c>
    </row>
    <row r="15" ht="17.6" spans="2:8">
      <c r="B15" s="4">
        <f ca="1" t="shared" si="0"/>
        <v>5</v>
      </c>
      <c r="C15" s="6">
        <f ca="1" t="shared" si="1"/>
        <v>2445.6469668378</v>
      </c>
      <c r="D15" s="7">
        <f ca="1" t="shared" si="2"/>
        <v>0.0303030103174281</v>
      </c>
      <c r="E15" s="10">
        <f ca="1" t="shared" si="3"/>
        <v>203.80391390315</v>
      </c>
      <c r="F15" s="7">
        <f ca="1" t="shared" si="4"/>
        <v>0.00252525085978567</v>
      </c>
      <c r="G15" s="6">
        <f ca="1">SUM($C$11:$C15)</f>
        <v>19084.5304658315</v>
      </c>
      <c r="H15" s="6">
        <f ca="1" t="shared" si="5"/>
        <v>61621.8726676961</v>
      </c>
    </row>
    <row r="16" ht="17.6" spans="2:8">
      <c r="B16" s="4">
        <f ca="1" t="shared" si="0"/>
        <v>6</v>
      </c>
      <c r="C16" s="6">
        <f ca="1" t="shared" si="1"/>
        <v>1563.12871142605</v>
      </c>
      <c r="D16" s="7">
        <f ca="1" t="shared" si="2"/>
        <v>0.0253664590794802</v>
      </c>
      <c r="E16" s="10">
        <f ca="1" t="shared" si="3"/>
        <v>130.260725952171</v>
      </c>
      <c r="F16" s="7">
        <f ca="1" t="shared" si="4"/>
        <v>0.00211387158995668</v>
      </c>
      <c r="G16" s="6">
        <f ca="1">SUM($C$11:$C16)</f>
        <v>20647.6591772576</v>
      </c>
      <c r="H16" s="6">
        <f ca="1" t="shared" si="5"/>
        <v>40974.2134904385</v>
      </c>
    </row>
    <row r="17" ht="17.6" spans="2:8">
      <c r="B17" s="4">
        <f ca="1" t="shared" si="0"/>
        <v>7</v>
      </c>
      <c r="C17" s="6">
        <f ca="1" t="shared" si="1"/>
        <v>662.345437408425</v>
      </c>
      <c r="D17" s="7">
        <f ca="1" t="shared" si="2"/>
        <v>0.016164933527351</v>
      </c>
      <c r="E17" s="10">
        <f ca="1" t="shared" si="3"/>
        <v>55.1954531173688</v>
      </c>
      <c r="F17" s="7">
        <f ca="1" t="shared" si="4"/>
        <v>0.00134707779394591</v>
      </c>
      <c r="G17" s="6">
        <f ca="1">SUM($C$11:$C17)</f>
        <v>21310.004614666</v>
      </c>
      <c r="H17" s="6">
        <f ca="1" t="shared" si="5"/>
        <v>19664.2088757725</v>
      </c>
    </row>
    <row r="18" ht="17.6" spans="2:8">
      <c r="B18" s="4">
        <f ca="1" t="shared" si="0"/>
        <v>8</v>
      </c>
      <c r="C18" s="6">
        <f ca="1" t="shared" si="1"/>
        <v>-214.733057438424</v>
      </c>
      <c r="D18" s="7">
        <f ca="1" t="shared" si="2"/>
        <v>-0.0109199947373926</v>
      </c>
      <c r="E18" s="10">
        <f ca="1" t="shared" si="3"/>
        <v>-17.894421453202</v>
      </c>
      <c r="F18" s="7">
        <f ca="1" t="shared" si="4"/>
        <v>-0.00090999956144938</v>
      </c>
      <c r="G18" s="6">
        <f ca="1">SUM($C$11:$C18)</f>
        <v>21095.2715572276</v>
      </c>
      <c r="H18" s="6">
        <f ca="1" t="shared" si="5"/>
        <v>-1431.06268145507</v>
      </c>
    </row>
    <row r="19" ht="17.6" spans="2:8">
      <c r="B19" s="4">
        <f ca="1" t="shared" si="0"/>
        <v>9</v>
      </c>
      <c r="C19" s="6">
        <f ca="1" t="shared" si="1"/>
        <v>-1031.45610464215</v>
      </c>
      <c r="D19" s="7">
        <f ca="1" t="shared" si="2"/>
        <v>0.72076235234741</v>
      </c>
      <c r="E19" s="10">
        <f ca="1" t="shared" si="3"/>
        <v>-85.9546753868457</v>
      </c>
      <c r="F19" s="7">
        <f ca="1" t="shared" si="4"/>
        <v>0.0600635293622842</v>
      </c>
      <c r="G19" s="6">
        <f ca="1">SUM($C$11:$C19)</f>
        <v>20063.8154525854</v>
      </c>
      <c r="H19" s="6">
        <f ca="1" t="shared" si="5"/>
        <v>-21494.8781340405</v>
      </c>
    </row>
    <row r="20" ht="17.6" spans="2:8">
      <c r="B20" s="4">
        <f ca="1" t="shared" si="0"/>
        <v>10</v>
      </c>
      <c r="C20" s="6">
        <f ca="1" t="shared" si="1"/>
        <v>-1757.73319775031</v>
      </c>
      <c r="D20" s="7">
        <f ca="1" t="shared" si="2"/>
        <v>0.0817745132951774</v>
      </c>
      <c r="E20" s="10">
        <f ca="1" t="shared" si="3"/>
        <v>-146.477766479193</v>
      </c>
      <c r="F20" s="7">
        <f ca="1" t="shared" si="4"/>
        <v>0.00681454277459811</v>
      </c>
      <c r="G20" s="6">
        <f ca="1">SUM($C$11:$C20)</f>
        <v>18306.0822548351</v>
      </c>
      <c r="H20" s="6">
        <f ca="1" t="shared" si="5"/>
        <v>-39800.9603888756</v>
      </c>
    </row>
    <row r="21" ht="30" customHeight="1" spans="2:8">
      <c r="B21" s="4">
        <f ca="1" t="shared" si="0"/>
        <v>11</v>
      </c>
      <c r="C21" s="4"/>
      <c r="D21" s="4"/>
      <c r="E21" s="4"/>
      <c r="F21" s="4"/>
      <c r="G21" s="4"/>
      <c r="H21" s="4"/>
    </row>
    <row r="22" ht="17.6" spans="2:8">
      <c r="B22" s="4">
        <f ca="1" t="shared" si="0"/>
        <v>12</v>
      </c>
      <c r="C22" s="4"/>
      <c r="D22" s="4"/>
      <c r="E22" s="4"/>
      <c r="F22" s="4"/>
      <c r="G22" s="4"/>
      <c r="H22" s="4"/>
    </row>
    <row r="23" ht="17.6" spans="2:8">
      <c r="B23" s="4">
        <f ca="1" t="shared" si="0"/>
        <v>13</v>
      </c>
      <c r="C23" s="4"/>
      <c r="D23" s="4"/>
      <c r="E23" s="4"/>
      <c r="F23" s="4"/>
      <c r="G23" s="4"/>
      <c r="H23" s="4"/>
    </row>
    <row r="24" ht="17.6" spans="2:8">
      <c r="B24" s="4">
        <f ca="1" t="shared" si="0"/>
        <v>14</v>
      </c>
      <c r="C24" s="4"/>
      <c r="D24" s="4"/>
      <c r="E24" s="4"/>
      <c r="F24" s="4"/>
      <c r="G24" s="4"/>
      <c r="H24" s="4"/>
    </row>
    <row r="25" ht="17.6" spans="2:8">
      <c r="B25" s="4">
        <f ca="1" t="shared" si="0"/>
        <v>15</v>
      </c>
      <c r="C25" s="4"/>
      <c r="D25" s="4"/>
      <c r="E25" s="4"/>
      <c r="F25" s="4"/>
      <c r="G25" s="4"/>
      <c r="H25" s="4"/>
    </row>
    <row r="26" ht="17.6" spans="2:8">
      <c r="B26" s="4">
        <f ca="1" t="shared" si="0"/>
        <v>16</v>
      </c>
      <c r="C26" s="4"/>
      <c r="D26" s="4"/>
      <c r="E26" s="4"/>
      <c r="F26" s="4"/>
      <c r="G26" s="4"/>
      <c r="H26" s="4"/>
    </row>
    <row r="27" ht="17.6" spans="2:8">
      <c r="B27" s="4">
        <f ca="1" t="shared" si="0"/>
        <v>17</v>
      </c>
      <c r="C27" s="4"/>
      <c r="D27" s="4"/>
      <c r="E27" s="4"/>
      <c r="F27" s="4"/>
      <c r="G27" s="4"/>
      <c r="H27" s="4"/>
    </row>
    <row r="28" ht="17.6" spans="2:8">
      <c r="B28" s="4">
        <f ca="1" t="shared" si="0"/>
        <v>18</v>
      </c>
      <c r="C28" s="4"/>
      <c r="D28" s="4"/>
      <c r="E28" s="4"/>
      <c r="F28" s="4"/>
      <c r="G28" s="4"/>
      <c r="H28" s="4"/>
    </row>
    <row r="29" ht="17.6" spans="2:8">
      <c r="B29" s="4">
        <f ca="1" t="shared" si="0"/>
        <v>19</v>
      </c>
      <c r="C29" s="4"/>
      <c r="D29" s="4"/>
      <c r="E29" s="4"/>
      <c r="F29" s="4"/>
      <c r="G29" s="4"/>
      <c r="H29" s="4"/>
    </row>
    <row r="30" ht="17.6" spans="2:8">
      <c r="B30" s="4">
        <f ca="1" t="shared" si="0"/>
        <v>20</v>
      </c>
      <c r="C30" s="4"/>
      <c r="D30" s="4"/>
      <c r="E30" s="4"/>
      <c r="F30" s="4"/>
      <c r="G30" s="4"/>
      <c r="H30" s="4"/>
    </row>
    <row r="31" ht="17.6" spans="2:8">
      <c r="B31" s="4">
        <f ca="1" t="shared" si="0"/>
        <v>21</v>
      </c>
      <c r="C31" s="4"/>
      <c r="D31" s="4"/>
      <c r="E31" s="4"/>
      <c r="F31" s="4"/>
      <c r="G31" s="4"/>
      <c r="H31" s="4"/>
    </row>
    <row r="32" ht="17.6" spans="2:8">
      <c r="B32" s="4">
        <f ca="1" t="shared" si="0"/>
        <v>22</v>
      </c>
      <c r="C32" s="4"/>
      <c r="D32" s="4"/>
      <c r="E32" s="4"/>
      <c r="F32" s="4"/>
      <c r="G32" s="4"/>
      <c r="H32" s="4"/>
    </row>
    <row r="33" ht="17.6" spans="2:8">
      <c r="B33" s="4">
        <f ca="1" t="shared" si="0"/>
        <v>23</v>
      </c>
      <c r="C33" s="4"/>
      <c r="D33" s="4"/>
      <c r="E33" s="4"/>
      <c r="F33" s="4"/>
      <c r="G33" s="4"/>
      <c r="H33" s="4"/>
    </row>
    <row r="34" ht="17.6" spans="2:8">
      <c r="B34" s="4">
        <f ca="1" t="shared" si="0"/>
        <v>24</v>
      </c>
      <c r="C34" s="4"/>
      <c r="D34" s="4"/>
      <c r="E34" s="4"/>
      <c r="F34" s="4"/>
      <c r="G34" s="4"/>
      <c r="H34" s="4"/>
    </row>
    <row r="35" ht="17.6" spans="2:8">
      <c r="B35" s="4">
        <f ca="1" t="shared" si="0"/>
        <v>25</v>
      </c>
      <c r="C35" s="4"/>
      <c r="D35" s="4"/>
      <c r="E35" s="4"/>
      <c r="F35" s="4"/>
      <c r="G35" s="4"/>
      <c r="H35" s="4"/>
    </row>
    <row r="36" ht="17.6" spans="2:8">
      <c r="B36" s="4">
        <f ca="1" t="shared" si="0"/>
        <v>26</v>
      </c>
      <c r="C36" s="4"/>
      <c r="D36" s="4"/>
      <c r="E36" s="4"/>
      <c r="F36" s="4"/>
      <c r="G36" s="4"/>
      <c r="H36" s="4"/>
    </row>
    <row r="37" ht="17.6" spans="2:8">
      <c r="B37" s="4">
        <f ca="1" t="shared" si="0"/>
        <v>27</v>
      </c>
      <c r="C37" s="4"/>
      <c r="D37" s="4"/>
      <c r="E37" s="4"/>
      <c r="F37" s="4"/>
      <c r="G37" s="4"/>
      <c r="H37" s="4"/>
    </row>
    <row r="38" ht="17.6" spans="2:8">
      <c r="B38" s="4">
        <f ca="1" t="shared" si="0"/>
        <v>28</v>
      </c>
      <c r="C38" s="4"/>
      <c r="D38" s="4"/>
      <c r="E38" s="4"/>
      <c r="F38" s="4"/>
      <c r="G38" s="4"/>
      <c r="H38" s="4"/>
    </row>
    <row r="39" ht="17.6" spans="2:8">
      <c r="B39" s="4">
        <f ca="1" t="shared" si="0"/>
        <v>29</v>
      </c>
      <c r="C39" s="4"/>
      <c r="D39" s="4"/>
      <c r="E39" s="4"/>
      <c r="F39" s="4"/>
      <c r="G39" s="4"/>
      <c r="H39" s="4"/>
    </row>
    <row r="40" ht="17.6" spans="2:8">
      <c r="B40" s="4">
        <f ca="1" t="shared" si="0"/>
        <v>30</v>
      </c>
      <c r="C40" s="4"/>
      <c r="D40" s="4"/>
      <c r="E40" s="4"/>
      <c r="F40" s="4"/>
      <c r="G40" s="4"/>
      <c r="H40" s="4"/>
    </row>
    <row r="41" ht="17.6" spans="2:8">
      <c r="B41" s="4">
        <f ca="1" t="shared" si="0"/>
        <v>31</v>
      </c>
      <c r="C41" s="4"/>
      <c r="D41" s="4"/>
      <c r="E41" s="4"/>
      <c r="F41" s="4"/>
      <c r="G41" s="4"/>
      <c r="H41" s="4"/>
    </row>
    <row r="42" ht="17.6" spans="2:8">
      <c r="B42" s="4">
        <f ca="1" t="shared" si="0"/>
        <v>32</v>
      </c>
      <c r="C42" s="4"/>
      <c r="D42" s="4"/>
      <c r="E42" s="4"/>
      <c r="F42" s="4"/>
      <c r="G42" s="4"/>
      <c r="H42" s="4"/>
    </row>
    <row r="43" ht="17.6" spans="2:8">
      <c r="B43" s="4">
        <f ca="1" t="shared" si="0"/>
        <v>33</v>
      </c>
      <c r="C43" s="4"/>
      <c r="D43" s="4"/>
      <c r="E43" s="4"/>
      <c r="F43" s="4"/>
      <c r="G43" s="4"/>
      <c r="H43" s="4"/>
    </row>
    <row r="44" ht="17.6" spans="2:8">
      <c r="B44" s="4">
        <f ca="1" t="shared" si="0"/>
        <v>34</v>
      </c>
      <c r="C44" s="4"/>
      <c r="D44" s="4"/>
      <c r="E44" s="4"/>
      <c r="F44" s="4"/>
      <c r="G44" s="4"/>
      <c r="H44" s="4"/>
    </row>
    <row r="45" ht="17.6" spans="2:8">
      <c r="B45" s="4">
        <f ca="1" t="shared" si="0"/>
        <v>35</v>
      </c>
      <c r="C45" s="4"/>
      <c r="D45" s="4"/>
      <c r="E45" s="4"/>
      <c r="F45" s="4"/>
      <c r="G45" s="4"/>
      <c r="H45" s="4"/>
    </row>
    <row r="46" ht="17.6" spans="2:8">
      <c r="B46" s="4">
        <f ca="1" t="shared" si="0"/>
        <v>36</v>
      </c>
      <c r="C46" s="4"/>
      <c r="D46" s="4"/>
      <c r="E46" s="4"/>
      <c r="F46" s="4"/>
      <c r="G46" s="4"/>
      <c r="H46" s="4"/>
    </row>
    <row r="47" ht="17.6" spans="2:8">
      <c r="B47" s="4">
        <f ca="1" t="shared" si="0"/>
        <v>37</v>
      </c>
      <c r="C47" s="4"/>
      <c r="D47" s="4"/>
      <c r="E47" s="4"/>
      <c r="F47" s="4"/>
      <c r="G47" s="4"/>
      <c r="H47" s="4"/>
    </row>
    <row r="48" ht="17.6" spans="2:8">
      <c r="B48" s="4">
        <f ca="1" t="shared" si="0"/>
        <v>38</v>
      </c>
      <c r="C48" s="4"/>
      <c r="D48" s="4"/>
      <c r="E48" s="4"/>
      <c r="F48" s="4"/>
      <c r="G48" s="4"/>
      <c r="H48" s="4"/>
    </row>
    <row r="49" ht="17.6" spans="2:8">
      <c r="B49" s="4">
        <f ca="1" t="shared" si="0"/>
        <v>39</v>
      </c>
      <c r="C49" s="4"/>
      <c r="D49" s="4"/>
      <c r="E49" s="4"/>
      <c r="F49" s="4"/>
      <c r="G49" s="4"/>
      <c r="H49" s="4"/>
    </row>
    <row r="50" ht="17.6" spans="2:8">
      <c r="B50" s="4">
        <f ca="1" t="shared" si="0"/>
        <v>40</v>
      </c>
      <c r="C50" s="4"/>
      <c r="D50" s="4"/>
      <c r="E50" s="4"/>
      <c r="F50" s="4"/>
      <c r="G50" s="4"/>
      <c r="H50" s="4"/>
    </row>
  </sheetData>
  <mergeCells count="8">
    <mergeCell ref="B1:H1"/>
    <mergeCell ref="B2:H2"/>
    <mergeCell ref="E3:H3"/>
    <mergeCell ref="E4:H4"/>
    <mergeCell ref="E5:H5"/>
    <mergeCell ref="G6:H6"/>
    <mergeCell ref="G7:H7"/>
    <mergeCell ref="B8:H8"/>
  </mergeCells>
  <dataValidations count="1">
    <dataValidation type="list" allowBlank="1" showInputMessage="1" showErrorMessage="1" sqref="C4">
      <formula1>固定资产查询!$A$4:$A$45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0"/>
  <sheetViews>
    <sheetView topLeftCell="A6" workbookViewId="0">
      <selection activeCell="E3" sqref="E3:H3"/>
    </sheetView>
  </sheetViews>
  <sheetFormatPr defaultColWidth="9.23076923076923" defaultRowHeight="16.8" outlineLevelCol="7"/>
  <cols>
    <col min="3" max="7" width="11.4615384615385"/>
    <col min="8" max="8" width="14.0961538461538" customWidth="1"/>
  </cols>
  <sheetData>
    <row r="1" ht="26" spans="2:8">
      <c r="B1" s="1" t="s">
        <v>120</v>
      </c>
      <c r="C1" s="1"/>
      <c r="D1" s="1"/>
      <c r="E1" s="1"/>
      <c r="F1" s="1"/>
      <c r="G1" s="1"/>
      <c r="H1" s="1"/>
    </row>
    <row r="2" ht="17.6" spans="2:8">
      <c r="B2" s="2"/>
      <c r="C2" s="3"/>
      <c r="D2" s="3"/>
      <c r="E2" s="3"/>
      <c r="F2" s="3"/>
      <c r="G2" s="3"/>
      <c r="H2" s="8"/>
    </row>
    <row r="3" ht="36" spans="2:8">
      <c r="B3" s="4" t="s">
        <v>1</v>
      </c>
      <c r="C3" s="5">
        <f ca="1">固定资产查询!C2</f>
        <v>45447</v>
      </c>
      <c r="D3" s="4" t="s">
        <v>109</v>
      </c>
      <c r="E3" s="4">
        <f ca="1">VLOOKUP($C$4,固定资产查询!$A:$P,15,FALSE)</f>
        <v>211</v>
      </c>
      <c r="F3" s="4"/>
      <c r="G3" s="4"/>
      <c r="H3" s="4"/>
    </row>
    <row r="4" ht="36" spans="2:8">
      <c r="B4" s="4" t="s">
        <v>2</v>
      </c>
      <c r="C4" s="4">
        <v>3</v>
      </c>
      <c r="D4" s="4" t="s">
        <v>5</v>
      </c>
      <c r="E4" s="4" t="str">
        <f ca="1">VLOOKUP($C$4,固定资产查询!$A:$P,4,FALSE)</f>
        <v>高效动态吸附仪</v>
      </c>
      <c r="F4" s="4"/>
      <c r="G4" s="4"/>
      <c r="H4" s="4"/>
    </row>
    <row r="5" ht="36" spans="2:8">
      <c r="B5" s="4" t="s">
        <v>4</v>
      </c>
      <c r="C5" s="4" t="str">
        <f ca="1">VLOOKUP($C$4,固定资产查询!$A:$P,3,FALSE)</f>
        <v>机器设备</v>
      </c>
      <c r="D5" s="4" t="s">
        <v>110</v>
      </c>
      <c r="E5" s="4" t="str">
        <f ca="1">VLOOKUP($C$4,固定资产查询!$A:$P,2,FALSE)</f>
        <v>化验中心</v>
      </c>
      <c r="F5" s="4"/>
      <c r="G5" s="4"/>
      <c r="H5" s="4"/>
    </row>
    <row r="6" ht="36" spans="2:8">
      <c r="B6" s="4" t="s">
        <v>111</v>
      </c>
      <c r="C6" s="5">
        <f ca="1">VLOOKUP($C$4,固定资产查询!$A:$P,6,FALSE)</f>
        <v>39020</v>
      </c>
      <c r="D6" s="4" t="s">
        <v>8</v>
      </c>
      <c r="E6" s="4">
        <f ca="1">VLOOKUP($C$4,固定资产查询!$A:$P,7,FALSE)</f>
        <v>14</v>
      </c>
      <c r="F6" s="4" t="s">
        <v>17</v>
      </c>
      <c r="G6" s="4" t="str">
        <f ca="1">VLOOKUP($C$4,固定资产查询!$A:$P,16,FALSE)</f>
        <v>报废</v>
      </c>
      <c r="H6" s="4"/>
    </row>
    <row r="7" ht="36" spans="2:8">
      <c r="B7" s="4" t="s">
        <v>112</v>
      </c>
      <c r="C7" s="4">
        <f ca="1">VLOOKUP($C$4,固定资产查询!$A:$P,11,FALSE)</f>
        <v>21920</v>
      </c>
      <c r="D7" s="4" t="s">
        <v>13</v>
      </c>
      <c r="E7" s="9">
        <f ca="1">VLOOKUP($C$4,固定资产查询!$A:$P,12,FALSE)</f>
        <v>0.05</v>
      </c>
      <c r="F7" s="4" t="s">
        <v>14</v>
      </c>
      <c r="G7" s="4">
        <f ca="1">VLOOKUP($C$4,固定资产查询!$A:$P,13,FALSE)</f>
        <v>1096</v>
      </c>
      <c r="H7" s="4"/>
    </row>
    <row r="8" ht="17.6" spans="2:8">
      <c r="B8" s="4" t="s">
        <v>113</v>
      </c>
      <c r="C8" s="4"/>
      <c r="D8" s="4"/>
      <c r="E8" s="4"/>
      <c r="F8" s="4"/>
      <c r="G8" s="4"/>
      <c r="H8" s="4"/>
    </row>
    <row r="9" ht="36" spans="2:8">
      <c r="B9" s="4" t="s">
        <v>114</v>
      </c>
      <c r="C9" s="4" t="s">
        <v>115</v>
      </c>
      <c r="D9" s="4" t="s">
        <v>116</v>
      </c>
      <c r="E9" s="4" t="s">
        <v>104</v>
      </c>
      <c r="F9" s="4" t="s">
        <v>117</v>
      </c>
      <c r="G9" s="4" t="s">
        <v>118</v>
      </c>
      <c r="H9" s="4" t="s">
        <v>119</v>
      </c>
    </row>
    <row r="10" ht="17.6" spans="2:8">
      <c r="B10" s="4">
        <v>0</v>
      </c>
      <c r="C10" s="4"/>
      <c r="D10" s="4"/>
      <c r="E10" s="4"/>
      <c r="F10" s="4"/>
      <c r="G10" s="4"/>
      <c r="H10" s="4">
        <f ca="1">C7</f>
        <v>21920</v>
      </c>
    </row>
    <row r="11" ht="17.6" spans="2:8">
      <c r="B11" s="4">
        <f ca="1" t="shared" ref="B11:B50" si="0">IF(B10&lt;=$E$6,B10+1,"")</f>
        <v>1</v>
      </c>
      <c r="C11" s="6">
        <f ca="1">IF(B11="","",IF(B11&lt;=$E$6-2,DDB($C$7,$G$7,$E$6,B11),IF(B11=$E$6-1,($G$7-F10-$E$6)/2,C10)))</f>
        <v>3131.42857142857</v>
      </c>
      <c r="D11" s="7">
        <f ca="1">C11/H10</f>
        <v>0.142857142857143</v>
      </c>
      <c r="E11" s="10">
        <f ca="1">C11/12</f>
        <v>260.952380952381</v>
      </c>
      <c r="F11" s="7">
        <f ca="1">D11/12</f>
        <v>0.0119047619047619</v>
      </c>
      <c r="G11" s="6">
        <f ca="1">C11</f>
        <v>3131.42857142857</v>
      </c>
      <c r="H11" s="6">
        <f ca="1">H10-G11</f>
        <v>18788.5714285714</v>
      </c>
    </row>
    <row r="12" ht="17.6" spans="2:8">
      <c r="B12" s="4">
        <f ca="1" t="shared" si="0"/>
        <v>2</v>
      </c>
      <c r="C12" s="6">
        <f ca="1" t="shared" ref="C12:C20" si="1">IF(B12="","",IF(B12&lt;=$E$6-2,DDB($C$7,$G$7,$E$6,B12),IF(B12=$E$6-1,($G$7-F11-$E$6)/2,C11)))</f>
        <v>2684.08163265306</v>
      </c>
      <c r="D12" s="7">
        <f ca="1">C12/H11</f>
        <v>0.142857142857143</v>
      </c>
      <c r="E12" s="10">
        <f ca="1" t="shared" ref="E12:E20" si="2">C12/12</f>
        <v>223.673469387755</v>
      </c>
      <c r="F12" s="7">
        <f ca="1">D12/12</f>
        <v>0.0119047619047619</v>
      </c>
      <c r="G12" s="6">
        <f ca="1">SUM($C$11:$C12)</f>
        <v>5815.51020408163</v>
      </c>
      <c r="H12" s="6">
        <f ca="1">H11-G12</f>
        <v>12973.0612244898</v>
      </c>
    </row>
    <row r="13" ht="17.6" spans="2:8">
      <c r="B13" s="4">
        <f ca="1" t="shared" si="0"/>
        <v>3</v>
      </c>
      <c r="C13" s="6">
        <f ca="1" t="shared" si="1"/>
        <v>2300.64139941691</v>
      </c>
      <c r="D13" s="7">
        <f ca="1" t="shared" ref="D13:D20" si="3">C13/H12</f>
        <v>0.177339901477833</v>
      </c>
      <c r="E13" s="10">
        <f ca="1" t="shared" si="2"/>
        <v>191.720116618076</v>
      </c>
      <c r="F13" s="7">
        <f ca="1" t="shared" ref="F13:F20" si="4">D13/12</f>
        <v>0.0147783251231527</v>
      </c>
      <c r="G13" s="6">
        <f ca="1">SUM($C$11:$C13)</f>
        <v>8116.15160349854</v>
      </c>
      <c r="H13" s="6">
        <f ca="1" t="shared" ref="H13:H20" si="5">H12-G13</f>
        <v>4856.90962099125</v>
      </c>
    </row>
    <row r="14" ht="17.6" spans="2:8">
      <c r="B14" s="4">
        <f ca="1" t="shared" si="0"/>
        <v>4</v>
      </c>
      <c r="C14" s="6">
        <f ca="1" t="shared" si="1"/>
        <v>1971.97834235735</v>
      </c>
      <c r="D14" s="7">
        <f ca="1" t="shared" si="3"/>
        <v>0.406015037593985</v>
      </c>
      <c r="E14" s="10">
        <f ca="1" t="shared" si="2"/>
        <v>164.331528529779</v>
      </c>
      <c r="F14" s="7">
        <f ca="1" t="shared" si="4"/>
        <v>0.0338345864661654</v>
      </c>
      <c r="G14" s="6">
        <f ca="1">SUM($C$11:$C14)</f>
        <v>10088.1299458559</v>
      </c>
      <c r="H14" s="6">
        <f ca="1" t="shared" si="5"/>
        <v>-5231.22032486464</v>
      </c>
    </row>
    <row r="15" ht="17.6" spans="2:8">
      <c r="B15" s="4">
        <f ca="1" t="shared" si="0"/>
        <v>5</v>
      </c>
      <c r="C15" s="6">
        <f ca="1" t="shared" si="1"/>
        <v>1690.26715059202</v>
      </c>
      <c r="D15" s="7">
        <f ca="1" t="shared" si="3"/>
        <v>-0.323111443530291</v>
      </c>
      <c r="E15" s="10">
        <f ca="1" t="shared" si="2"/>
        <v>140.855595882668</v>
      </c>
      <c r="F15" s="7">
        <f ca="1" t="shared" si="4"/>
        <v>-0.0269259536275243</v>
      </c>
      <c r="G15" s="6">
        <f ca="1">SUM($C$11:$C15)</f>
        <v>11778.3970964479</v>
      </c>
      <c r="H15" s="6">
        <f ca="1" t="shared" si="5"/>
        <v>-17009.6174213126</v>
      </c>
    </row>
    <row r="16" ht="17.6" spans="2:8">
      <c r="B16" s="4">
        <f ca="1" t="shared" si="0"/>
        <v>6</v>
      </c>
      <c r="C16" s="6">
        <f ca="1" t="shared" si="1"/>
        <v>1448.80041479316</v>
      </c>
      <c r="D16" s="7">
        <f ca="1" t="shared" si="3"/>
        <v>-0.0851753674940303</v>
      </c>
      <c r="E16" s="10">
        <f ca="1" t="shared" si="2"/>
        <v>120.73336789943</v>
      </c>
      <c r="F16" s="7">
        <f ca="1" t="shared" si="4"/>
        <v>-0.00709794729116919</v>
      </c>
      <c r="G16" s="6">
        <f ca="1">SUM($C$11:$C16)</f>
        <v>13227.1975112411</v>
      </c>
      <c r="H16" s="6">
        <f ca="1" t="shared" si="5"/>
        <v>-30236.8149325536</v>
      </c>
    </row>
    <row r="17" ht="17.6" spans="2:8">
      <c r="B17" s="4">
        <f ca="1" t="shared" si="0"/>
        <v>7</v>
      </c>
      <c r="C17" s="6">
        <f ca="1" t="shared" si="1"/>
        <v>1241.82892696556</v>
      </c>
      <c r="D17" s="7">
        <f ca="1" t="shared" si="3"/>
        <v>-0.0410700971559204</v>
      </c>
      <c r="E17" s="10">
        <f ca="1" t="shared" si="2"/>
        <v>103.485743913797</v>
      </c>
      <c r="F17" s="7">
        <f ca="1" t="shared" si="4"/>
        <v>-0.0034225080963267</v>
      </c>
      <c r="G17" s="6">
        <f ca="1">SUM($C$11:$C17)</f>
        <v>14469.0264382066</v>
      </c>
      <c r="H17" s="6">
        <f ca="1" t="shared" si="5"/>
        <v>-44705.8413707603</v>
      </c>
    </row>
    <row r="18" ht="17.6" spans="2:8">
      <c r="B18" s="4">
        <f ca="1" t="shared" si="0"/>
        <v>8</v>
      </c>
      <c r="C18" s="6">
        <f ca="1" t="shared" si="1"/>
        <v>1064.42479454191</v>
      </c>
      <c r="D18" s="7">
        <f ca="1" t="shared" si="3"/>
        <v>-0.0238095238095238</v>
      </c>
      <c r="E18" s="10">
        <f ca="1" t="shared" si="2"/>
        <v>88.7020662118259</v>
      </c>
      <c r="F18" s="7">
        <f ca="1" t="shared" si="4"/>
        <v>-0.00198412698412698</v>
      </c>
      <c r="G18" s="6">
        <f ca="1">SUM($C$11:$C18)</f>
        <v>15533.4512327485</v>
      </c>
      <c r="H18" s="6">
        <f ca="1" t="shared" si="5"/>
        <v>-60239.2926035088</v>
      </c>
    </row>
    <row r="19" ht="17.6" spans="2:8">
      <c r="B19" s="4">
        <f ca="1" t="shared" si="0"/>
        <v>9</v>
      </c>
      <c r="C19" s="6">
        <f ca="1" t="shared" si="1"/>
        <v>912.364109607352</v>
      </c>
      <c r="D19" s="7">
        <f ca="1" t="shared" si="3"/>
        <v>-0.0151456644023441</v>
      </c>
      <c r="E19" s="10">
        <f ca="1" t="shared" si="2"/>
        <v>76.0303424672794</v>
      </c>
      <c r="F19" s="7">
        <f ca="1" t="shared" si="4"/>
        <v>-0.00126213870019534</v>
      </c>
      <c r="G19" s="6">
        <f ca="1">SUM($C$11:$C19)</f>
        <v>16445.8153423559</v>
      </c>
      <c r="H19" s="6">
        <f ca="1" t="shared" si="5"/>
        <v>-76685.1079458647</v>
      </c>
    </row>
    <row r="20" ht="17.6" spans="2:8">
      <c r="B20" s="4">
        <f ca="1" t="shared" si="0"/>
        <v>10</v>
      </c>
      <c r="C20" s="6">
        <f ca="1" t="shared" si="1"/>
        <v>782.026379663445</v>
      </c>
      <c r="D20" s="7">
        <f ca="1" t="shared" si="3"/>
        <v>-0.0101978910979106</v>
      </c>
      <c r="E20" s="10">
        <f ca="1" t="shared" si="2"/>
        <v>65.1688649719537</v>
      </c>
      <c r="F20" s="7">
        <f ca="1" t="shared" si="4"/>
        <v>-0.000849824258159214</v>
      </c>
      <c r="G20" s="6">
        <f ca="1">SUM($C$11:$C20)</f>
        <v>17227.8417220193</v>
      </c>
      <c r="H20" s="6">
        <f ca="1" t="shared" si="5"/>
        <v>-93912.949667884</v>
      </c>
    </row>
    <row r="21" ht="17.6" spans="2:8">
      <c r="B21" s="4">
        <f ca="1" t="shared" si="0"/>
        <v>11</v>
      </c>
      <c r="C21" s="4"/>
      <c r="D21" s="4"/>
      <c r="E21" s="4"/>
      <c r="F21" s="4"/>
      <c r="G21" s="4"/>
      <c r="H21" s="4"/>
    </row>
    <row r="22" ht="17.6" spans="2:8">
      <c r="B22" s="4">
        <f ca="1" t="shared" si="0"/>
        <v>12</v>
      </c>
      <c r="C22" s="4"/>
      <c r="D22" s="4"/>
      <c r="E22" s="4"/>
      <c r="F22" s="4"/>
      <c r="G22" s="4"/>
      <c r="H22" s="4"/>
    </row>
    <row r="23" ht="17.6" spans="2:8">
      <c r="B23" s="4">
        <f ca="1" t="shared" si="0"/>
        <v>13</v>
      </c>
      <c r="C23" s="4"/>
      <c r="D23" s="4"/>
      <c r="E23" s="4"/>
      <c r="F23" s="4"/>
      <c r="G23" s="4"/>
      <c r="H23" s="4"/>
    </row>
    <row r="24" ht="17.6" spans="2:8">
      <c r="B24" s="4">
        <f ca="1" t="shared" si="0"/>
        <v>14</v>
      </c>
      <c r="C24" s="4"/>
      <c r="D24" s="4"/>
      <c r="E24" s="4"/>
      <c r="F24" s="4"/>
      <c r="G24" s="4"/>
      <c r="H24" s="4"/>
    </row>
    <row r="25" ht="17.6" spans="2:8">
      <c r="B25" s="4">
        <f ca="1" t="shared" si="0"/>
        <v>15</v>
      </c>
      <c r="C25" s="4"/>
      <c r="D25" s="4"/>
      <c r="E25" s="4"/>
      <c r="F25" s="4"/>
      <c r="G25" s="4"/>
      <c r="H25" s="4"/>
    </row>
    <row r="26" ht="18" spans="2:8">
      <c r="B26" s="4" t="str">
        <f ca="1" t="shared" si="0"/>
        <v/>
      </c>
      <c r="C26" s="4"/>
      <c r="D26" s="4"/>
      <c r="E26" s="4"/>
      <c r="F26" s="4"/>
      <c r="G26" s="4"/>
      <c r="H26" s="4"/>
    </row>
    <row r="27" ht="18" spans="2:8">
      <c r="B27" s="4" t="str">
        <f ca="1" t="shared" si="0"/>
        <v/>
      </c>
      <c r="C27" s="4"/>
      <c r="D27" s="4"/>
      <c r="E27" s="4"/>
      <c r="F27" s="4"/>
      <c r="G27" s="4"/>
      <c r="H27" s="4"/>
    </row>
    <row r="28" ht="18" spans="2:8">
      <c r="B28" s="4" t="str">
        <f ca="1" t="shared" si="0"/>
        <v/>
      </c>
      <c r="C28" s="4"/>
      <c r="D28" s="4"/>
      <c r="E28" s="4"/>
      <c r="F28" s="4"/>
      <c r="G28" s="4"/>
      <c r="H28" s="4"/>
    </row>
    <row r="29" ht="18" spans="2:8">
      <c r="B29" s="4" t="str">
        <f ca="1" t="shared" si="0"/>
        <v/>
      </c>
      <c r="C29" s="4"/>
      <c r="D29" s="4"/>
      <c r="E29" s="4"/>
      <c r="F29" s="4"/>
      <c r="G29" s="4"/>
      <c r="H29" s="4"/>
    </row>
    <row r="30" ht="18" spans="2:8">
      <c r="B30" s="4" t="str">
        <f ca="1" t="shared" si="0"/>
        <v/>
      </c>
      <c r="C30" s="4"/>
      <c r="D30" s="4"/>
      <c r="E30" s="4"/>
      <c r="F30" s="4"/>
      <c r="G30" s="4"/>
      <c r="H30" s="4"/>
    </row>
    <row r="31" ht="18" spans="2:8">
      <c r="B31" s="4" t="str">
        <f ca="1" t="shared" si="0"/>
        <v/>
      </c>
      <c r="C31" s="4"/>
      <c r="D31" s="4"/>
      <c r="E31" s="4"/>
      <c r="F31" s="4"/>
      <c r="G31" s="4"/>
      <c r="H31" s="4"/>
    </row>
    <row r="32" ht="18" spans="2:8">
      <c r="B32" s="4" t="str">
        <f ca="1" t="shared" si="0"/>
        <v/>
      </c>
      <c r="C32" s="4"/>
      <c r="D32" s="4"/>
      <c r="E32" s="4"/>
      <c r="F32" s="4"/>
      <c r="G32" s="4"/>
      <c r="H32" s="4"/>
    </row>
    <row r="33" ht="18" spans="2:8">
      <c r="B33" s="4" t="str">
        <f ca="1" t="shared" si="0"/>
        <v/>
      </c>
      <c r="C33" s="4"/>
      <c r="D33" s="4"/>
      <c r="E33" s="4"/>
      <c r="F33" s="4"/>
      <c r="G33" s="4"/>
      <c r="H33" s="4"/>
    </row>
    <row r="34" ht="18" spans="2:8">
      <c r="B34" s="4" t="str">
        <f ca="1" t="shared" si="0"/>
        <v/>
      </c>
      <c r="C34" s="4"/>
      <c r="D34" s="4"/>
      <c r="E34" s="4"/>
      <c r="F34" s="4"/>
      <c r="G34" s="4"/>
      <c r="H34" s="4"/>
    </row>
    <row r="35" ht="18" spans="2:8">
      <c r="B35" s="4" t="str">
        <f ca="1" t="shared" si="0"/>
        <v/>
      </c>
      <c r="C35" s="4"/>
      <c r="D35" s="4"/>
      <c r="E35" s="4"/>
      <c r="F35" s="4"/>
      <c r="G35" s="4"/>
      <c r="H35" s="4"/>
    </row>
    <row r="36" ht="18" spans="2:8">
      <c r="B36" s="4" t="str">
        <f ca="1" t="shared" si="0"/>
        <v/>
      </c>
      <c r="C36" s="4"/>
      <c r="D36" s="4"/>
      <c r="E36" s="4"/>
      <c r="F36" s="4"/>
      <c r="G36" s="4"/>
      <c r="H36" s="4"/>
    </row>
    <row r="37" ht="18" spans="2:8">
      <c r="B37" s="4" t="str">
        <f ca="1" t="shared" si="0"/>
        <v/>
      </c>
      <c r="C37" s="4"/>
      <c r="D37" s="4"/>
      <c r="E37" s="4"/>
      <c r="F37" s="4"/>
      <c r="G37" s="4"/>
      <c r="H37" s="4"/>
    </row>
    <row r="38" ht="18" spans="2:8">
      <c r="B38" s="4" t="str">
        <f ca="1" t="shared" si="0"/>
        <v/>
      </c>
      <c r="C38" s="4"/>
      <c r="D38" s="4"/>
      <c r="E38" s="4"/>
      <c r="F38" s="4"/>
      <c r="G38" s="4"/>
      <c r="H38" s="4"/>
    </row>
    <row r="39" ht="18" spans="2:8">
      <c r="B39" s="4" t="str">
        <f ca="1" t="shared" si="0"/>
        <v/>
      </c>
      <c r="C39" s="4"/>
      <c r="D39" s="4"/>
      <c r="E39" s="4"/>
      <c r="F39" s="4"/>
      <c r="G39" s="4"/>
      <c r="H39" s="4"/>
    </row>
    <row r="40" ht="18" spans="2:8">
      <c r="B40" s="4" t="str">
        <f ca="1" t="shared" si="0"/>
        <v/>
      </c>
      <c r="C40" s="4"/>
      <c r="D40" s="4"/>
      <c r="E40" s="4"/>
      <c r="F40" s="4"/>
      <c r="G40" s="4"/>
      <c r="H40" s="4"/>
    </row>
    <row r="41" ht="18" spans="2:8">
      <c r="B41" s="4" t="str">
        <f ca="1" t="shared" si="0"/>
        <v/>
      </c>
      <c r="C41" s="4"/>
      <c r="D41" s="4"/>
      <c r="E41" s="4"/>
      <c r="F41" s="4"/>
      <c r="G41" s="4"/>
      <c r="H41" s="4"/>
    </row>
    <row r="42" ht="18" spans="2:8">
      <c r="B42" s="4" t="str">
        <f ca="1" t="shared" si="0"/>
        <v/>
      </c>
      <c r="C42" s="4"/>
      <c r="D42" s="4"/>
      <c r="E42" s="4"/>
      <c r="F42" s="4"/>
      <c r="G42" s="4"/>
      <c r="H42" s="4"/>
    </row>
    <row r="43" ht="18" spans="2:8">
      <c r="B43" s="4" t="str">
        <f ca="1" t="shared" si="0"/>
        <v/>
      </c>
      <c r="C43" s="4"/>
      <c r="D43" s="4"/>
      <c r="E43" s="4"/>
      <c r="F43" s="4"/>
      <c r="G43" s="4"/>
      <c r="H43" s="4"/>
    </row>
    <row r="44" ht="18" spans="2:8">
      <c r="B44" s="4" t="str">
        <f ca="1" t="shared" si="0"/>
        <v/>
      </c>
      <c r="C44" s="4"/>
      <c r="D44" s="4"/>
      <c r="E44" s="4"/>
      <c r="F44" s="4"/>
      <c r="G44" s="4"/>
      <c r="H44" s="4"/>
    </row>
    <row r="45" ht="18" spans="2:8">
      <c r="B45" s="4" t="str">
        <f ca="1" t="shared" si="0"/>
        <v/>
      </c>
      <c r="C45" s="4"/>
      <c r="D45" s="4"/>
      <c r="E45" s="4"/>
      <c r="F45" s="4"/>
      <c r="G45" s="4"/>
      <c r="H45" s="4"/>
    </row>
    <row r="46" ht="18" spans="2:8">
      <c r="B46" s="4" t="str">
        <f ca="1" t="shared" si="0"/>
        <v/>
      </c>
      <c r="C46" s="4"/>
      <c r="D46" s="4"/>
      <c r="E46" s="4"/>
      <c r="F46" s="4"/>
      <c r="G46" s="4"/>
      <c r="H46" s="4"/>
    </row>
    <row r="47" ht="18" spans="2:8">
      <c r="B47" s="4" t="str">
        <f ca="1" t="shared" si="0"/>
        <v/>
      </c>
      <c r="C47" s="4"/>
      <c r="D47" s="4"/>
      <c r="E47" s="4"/>
      <c r="F47" s="4"/>
      <c r="G47" s="4"/>
      <c r="H47" s="4"/>
    </row>
    <row r="48" ht="18" spans="2:8">
      <c r="B48" s="4" t="str">
        <f ca="1" t="shared" si="0"/>
        <v/>
      </c>
      <c r="C48" s="4"/>
      <c r="D48" s="4"/>
      <c r="E48" s="4"/>
      <c r="F48" s="4"/>
      <c r="G48" s="4"/>
      <c r="H48" s="4"/>
    </row>
    <row r="49" ht="18" spans="2:8">
      <c r="B49" s="4" t="str">
        <f ca="1" t="shared" si="0"/>
        <v/>
      </c>
      <c r="C49" s="4"/>
      <c r="D49" s="4"/>
      <c r="E49" s="4"/>
      <c r="F49" s="4"/>
      <c r="G49" s="4"/>
      <c r="H49" s="4"/>
    </row>
    <row r="50" ht="18" spans="2:8">
      <c r="B50" s="4" t="str">
        <f ca="1" t="shared" si="0"/>
        <v/>
      </c>
      <c r="C50" s="4"/>
      <c r="D50" s="4"/>
      <c r="E50" s="4"/>
      <c r="F50" s="4"/>
      <c r="G50" s="4"/>
      <c r="H50" s="4"/>
    </row>
  </sheetData>
  <mergeCells count="8">
    <mergeCell ref="B1:H1"/>
    <mergeCell ref="B2:H2"/>
    <mergeCell ref="E3:H3"/>
    <mergeCell ref="E4:H4"/>
    <mergeCell ref="E5:H5"/>
    <mergeCell ref="G6:H6"/>
    <mergeCell ref="G7:H7"/>
    <mergeCell ref="B8:H8"/>
  </mergeCells>
  <dataValidations count="1">
    <dataValidation type="list" allowBlank="1" showInputMessage="1" showErrorMessage="1" sqref="C4">
      <formula1>固定资产查询!$A$4:$A$45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0"/>
  <sheetViews>
    <sheetView tabSelected="1" topLeftCell="A17" workbookViewId="0">
      <selection activeCell="E10" sqref="E10:E50"/>
    </sheetView>
  </sheetViews>
  <sheetFormatPr defaultColWidth="9.23076923076923" defaultRowHeight="16.8" outlineLevelCol="7"/>
  <cols>
    <col min="3" max="3" width="18.9038461538462" customWidth="1"/>
    <col min="4" max="4" width="10.6923076923077"/>
    <col min="5" max="5" width="13.8461538461538"/>
    <col min="7" max="7" width="13.6153846153846" customWidth="1"/>
    <col min="8" max="8" width="16.8269230769231" customWidth="1"/>
  </cols>
  <sheetData>
    <row r="1" ht="26" spans="2:8">
      <c r="B1" s="1" t="s">
        <v>121</v>
      </c>
      <c r="C1" s="1"/>
      <c r="D1" s="1"/>
      <c r="E1" s="1"/>
      <c r="F1" s="1"/>
      <c r="G1" s="1"/>
      <c r="H1" s="1"/>
    </row>
    <row r="2" ht="17.6" spans="2:8">
      <c r="B2" s="2"/>
      <c r="C2" s="3"/>
      <c r="D2" s="3"/>
      <c r="E2" s="3"/>
      <c r="F2" s="3"/>
      <c r="G2" s="3"/>
      <c r="H2" s="8"/>
    </row>
    <row r="3" ht="36" spans="2:8">
      <c r="B3" s="4" t="s">
        <v>1</v>
      </c>
      <c r="C3" s="5">
        <f ca="1">固定资产查询!C2</f>
        <v>45447</v>
      </c>
      <c r="D3" s="4" t="s">
        <v>109</v>
      </c>
      <c r="E3" s="4">
        <f ca="1">VLOOKUP($C$4,固定资产查询!$A:$P,15,FALSE)</f>
        <v>211</v>
      </c>
      <c r="F3" s="4"/>
      <c r="G3" s="4"/>
      <c r="H3" s="4"/>
    </row>
    <row r="4" ht="36" spans="2:8">
      <c r="B4" s="4" t="s">
        <v>2</v>
      </c>
      <c r="C4" s="4">
        <v>3</v>
      </c>
      <c r="D4" s="4" t="s">
        <v>5</v>
      </c>
      <c r="E4" s="4" t="str">
        <f ca="1">VLOOKUP($C$4,固定资产查询!$A:$P,4,FALSE)</f>
        <v>高效动态吸附仪</v>
      </c>
      <c r="F4" s="4"/>
      <c r="G4" s="4"/>
      <c r="H4" s="4"/>
    </row>
    <row r="5" ht="36" spans="2:8">
      <c r="B5" s="4" t="s">
        <v>4</v>
      </c>
      <c r="C5" s="4" t="str">
        <f ca="1">VLOOKUP($C$4,固定资产查询!$A:$P,3,FALSE)</f>
        <v>机器设备</v>
      </c>
      <c r="D5" s="4" t="s">
        <v>110</v>
      </c>
      <c r="E5" s="4" t="str">
        <f ca="1">VLOOKUP($C$4,固定资产查询!$A:$P,2,FALSE)</f>
        <v>化验中心</v>
      </c>
      <c r="F5" s="4"/>
      <c r="G5" s="4"/>
      <c r="H5" s="4"/>
    </row>
    <row r="6" ht="36" spans="2:8">
      <c r="B6" s="4" t="s">
        <v>111</v>
      </c>
      <c r="C6" s="5">
        <f ca="1">VLOOKUP($C$4,固定资产查询!$A:$P,6,FALSE)</f>
        <v>39020</v>
      </c>
      <c r="D6" s="4" t="s">
        <v>8</v>
      </c>
      <c r="E6" s="4">
        <f ca="1">VLOOKUP($C$4,固定资产查询!$A:$P,7,FALSE)</f>
        <v>14</v>
      </c>
      <c r="F6" s="4" t="s">
        <v>17</v>
      </c>
      <c r="G6" s="4" t="str">
        <f ca="1">VLOOKUP($C$4,固定资产查询!$A:$P,16,FALSE)</f>
        <v>报废</v>
      </c>
      <c r="H6" s="4"/>
    </row>
    <row r="7" ht="36" spans="2:8">
      <c r="B7" s="4" t="s">
        <v>112</v>
      </c>
      <c r="C7" s="4">
        <f ca="1">VLOOKUP($C$4,固定资产查询!$A:$P,11,FALSE)</f>
        <v>21920</v>
      </c>
      <c r="D7" s="4" t="s">
        <v>13</v>
      </c>
      <c r="E7" s="9">
        <f ca="1">VLOOKUP($C$4,固定资产查询!$A:$P,12,FALSE)</f>
        <v>0.05</v>
      </c>
      <c r="F7" s="4" t="s">
        <v>14</v>
      </c>
      <c r="G7" s="4">
        <f ca="1">VLOOKUP($C$4,固定资产查询!$A:$P,13,FALSE)</f>
        <v>1096</v>
      </c>
      <c r="H7" s="4"/>
    </row>
    <row r="8" ht="17.6" spans="2:8">
      <c r="B8" s="4" t="s">
        <v>113</v>
      </c>
      <c r="C8" s="4"/>
      <c r="D8" s="4"/>
      <c r="E8" s="4"/>
      <c r="F8" s="4"/>
      <c r="G8" s="4"/>
      <c r="H8" s="4"/>
    </row>
    <row r="9" ht="36" spans="2:8">
      <c r="B9" s="4" t="s">
        <v>114</v>
      </c>
      <c r="C9" s="4" t="s">
        <v>115</v>
      </c>
      <c r="D9" s="4" t="s">
        <v>116</v>
      </c>
      <c r="E9" s="4" t="s">
        <v>104</v>
      </c>
      <c r="F9" s="4" t="s">
        <v>117</v>
      </c>
      <c r="G9" s="4" t="s">
        <v>118</v>
      </c>
      <c r="H9" s="4" t="s">
        <v>119</v>
      </c>
    </row>
    <row r="10" ht="17.6" spans="2:8">
      <c r="B10" s="4">
        <v>0</v>
      </c>
      <c r="C10" s="4"/>
      <c r="D10" s="4"/>
      <c r="E10" s="10"/>
      <c r="F10" s="4"/>
      <c r="G10" s="4"/>
      <c r="H10" s="4">
        <f ca="1">C7</f>
        <v>21920</v>
      </c>
    </row>
    <row r="11" ht="17.6" spans="2:8">
      <c r="B11" s="4">
        <f ca="1" t="shared" ref="B11:B50" si="0">IF(B10&lt;=$E$6,B10+1,"")</f>
        <v>1</v>
      </c>
      <c r="C11" s="6">
        <f ca="1">IF(B11&lt;=$E$6,SLN($H$10,$G$7,$E$6))</f>
        <v>1487.42857142857</v>
      </c>
      <c r="D11" s="7">
        <f ca="1">(1-E7)/E6</f>
        <v>0.0678571428571429</v>
      </c>
      <c r="E11" s="10">
        <f ca="1">C11/12</f>
        <v>123.952380952381</v>
      </c>
      <c r="F11" s="7">
        <f ca="1">$D$11/12</f>
        <v>0.0056547619047619</v>
      </c>
      <c r="G11" s="6">
        <f ca="1">C11</f>
        <v>1487.42857142857</v>
      </c>
      <c r="H11" s="6">
        <f ca="1">H10-G11</f>
        <v>20432.5714285714</v>
      </c>
    </row>
    <row r="12" ht="17.6" spans="2:8">
      <c r="B12" s="4">
        <f ca="1" t="shared" si="0"/>
        <v>2</v>
      </c>
      <c r="C12" s="6">
        <f ca="1" t="shared" ref="C12:C50" si="1">IF(B12&lt;=$E$6,SLN($H$10,$G$7,$E$6))</f>
        <v>1487.42857142857</v>
      </c>
      <c r="D12" s="7">
        <f ca="1">(1-$E$7)/$E$6</f>
        <v>0.0678571428571429</v>
      </c>
      <c r="E12" s="10">
        <f ca="1" t="shared" ref="E12:E50" si="2">C12/12</f>
        <v>123.952380952381</v>
      </c>
      <c r="F12" s="7">
        <f ca="1" t="shared" ref="F12:F21" si="3">$D$11/12</f>
        <v>0.0056547619047619</v>
      </c>
      <c r="G12" s="6">
        <f ca="1">SUM($C$11:$C12)</f>
        <v>2974.85714285714</v>
      </c>
      <c r="H12" s="6">
        <f ca="1" t="shared" ref="H12:H50" si="4">H11-G12</f>
        <v>17457.7142857143</v>
      </c>
    </row>
    <row r="13" ht="17.6" spans="2:8">
      <c r="B13" s="4">
        <f ca="1" t="shared" si="0"/>
        <v>3</v>
      </c>
      <c r="C13" s="6">
        <f ca="1" t="shared" si="1"/>
        <v>1487.42857142857</v>
      </c>
      <c r="D13" s="7">
        <f ca="1" t="shared" ref="D13:D22" si="5">(1-$E$7)/$E$6</f>
        <v>0.0678571428571429</v>
      </c>
      <c r="E13" s="10">
        <f ca="1" t="shared" si="2"/>
        <v>123.952380952381</v>
      </c>
      <c r="F13" s="7">
        <f ca="1" t="shared" si="3"/>
        <v>0.0056547619047619</v>
      </c>
      <c r="G13" s="6">
        <f ca="1">SUM($C$11:$C13)</f>
        <v>4462.28571428571</v>
      </c>
      <c r="H13" s="6">
        <f ca="1" t="shared" si="4"/>
        <v>12995.4285714286</v>
      </c>
    </row>
    <row r="14" ht="17.6" spans="2:8">
      <c r="B14" s="4">
        <f ca="1" t="shared" si="0"/>
        <v>4</v>
      </c>
      <c r="C14" s="6">
        <f ca="1" t="shared" si="1"/>
        <v>1487.42857142857</v>
      </c>
      <c r="D14" s="7">
        <f ca="1" t="shared" si="5"/>
        <v>0.0678571428571429</v>
      </c>
      <c r="E14" s="10">
        <f ca="1" t="shared" si="2"/>
        <v>123.952380952381</v>
      </c>
      <c r="F14" s="7">
        <f ca="1" t="shared" si="3"/>
        <v>0.0056547619047619</v>
      </c>
      <c r="G14" s="6">
        <f ca="1">SUM($C$11:$C14)</f>
        <v>5949.71428571429</v>
      </c>
      <c r="H14" s="6">
        <f ca="1" t="shared" si="4"/>
        <v>7045.71428571429</v>
      </c>
    </row>
    <row r="15" ht="17.6" spans="2:8">
      <c r="B15" s="4">
        <f ca="1" t="shared" si="0"/>
        <v>5</v>
      </c>
      <c r="C15" s="6">
        <f ca="1" t="shared" si="1"/>
        <v>1487.42857142857</v>
      </c>
      <c r="D15" s="7">
        <f ca="1" t="shared" si="5"/>
        <v>0.0678571428571429</v>
      </c>
      <c r="E15" s="10">
        <f ca="1" t="shared" si="2"/>
        <v>123.952380952381</v>
      </c>
      <c r="F15" s="7">
        <f ca="1" t="shared" si="3"/>
        <v>0.0056547619047619</v>
      </c>
      <c r="G15" s="6">
        <f ca="1">SUM($C$11:$C15)</f>
        <v>7437.14285714286</v>
      </c>
      <c r="H15" s="6">
        <f ca="1" t="shared" si="4"/>
        <v>-391.42857142857</v>
      </c>
    </row>
    <row r="16" ht="17.6" spans="2:8">
      <c r="B16" s="4">
        <f ca="1" t="shared" si="0"/>
        <v>6</v>
      </c>
      <c r="C16" s="6">
        <f ca="1" t="shared" si="1"/>
        <v>1487.42857142857</v>
      </c>
      <c r="D16" s="7">
        <f ca="1" t="shared" si="5"/>
        <v>0.0678571428571429</v>
      </c>
      <c r="E16" s="10">
        <f ca="1" t="shared" si="2"/>
        <v>123.952380952381</v>
      </c>
      <c r="F16" s="7">
        <f ca="1" t="shared" si="3"/>
        <v>0.0056547619047619</v>
      </c>
      <c r="G16" s="6">
        <f ca="1">SUM($C$11:$C16)</f>
        <v>8924.57142857143</v>
      </c>
      <c r="H16" s="6">
        <f ca="1" t="shared" si="4"/>
        <v>-9316</v>
      </c>
    </row>
    <row r="17" ht="17.6" spans="2:8">
      <c r="B17" s="4">
        <f ca="1" t="shared" si="0"/>
        <v>7</v>
      </c>
      <c r="C17" s="6">
        <f ca="1" t="shared" si="1"/>
        <v>1487.42857142857</v>
      </c>
      <c r="D17" s="7">
        <f ca="1" t="shared" si="5"/>
        <v>0.0678571428571429</v>
      </c>
      <c r="E17" s="10">
        <f ca="1" t="shared" si="2"/>
        <v>123.952380952381</v>
      </c>
      <c r="F17" s="7">
        <f ca="1" t="shared" si="3"/>
        <v>0.0056547619047619</v>
      </c>
      <c r="G17" s="6">
        <f ca="1">SUM($C$11:$C17)</f>
        <v>10412</v>
      </c>
      <c r="H17" s="6">
        <f ca="1" t="shared" si="4"/>
        <v>-19728</v>
      </c>
    </row>
    <row r="18" ht="17.6" spans="2:8">
      <c r="B18" s="4">
        <f ca="1" t="shared" si="0"/>
        <v>8</v>
      </c>
      <c r="C18" s="6">
        <f ca="1" t="shared" si="1"/>
        <v>1487.42857142857</v>
      </c>
      <c r="D18" s="7">
        <f ca="1" t="shared" si="5"/>
        <v>0.0678571428571429</v>
      </c>
      <c r="E18" s="10">
        <f ca="1" t="shared" si="2"/>
        <v>123.952380952381</v>
      </c>
      <c r="F18" s="7">
        <f ca="1" t="shared" si="3"/>
        <v>0.0056547619047619</v>
      </c>
      <c r="G18" s="6">
        <f ca="1">SUM($C$11:$C18)</f>
        <v>11899.4285714286</v>
      </c>
      <c r="H18" s="6">
        <f ca="1" t="shared" si="4"/>
        <v>-31627.4285714286</v>
      </c>
    </row>
    <row r="19" ht="17.6" spans="2:8">
      <c r="B19" s="4">
        <f ca="1" t="shared" si="0"/>
        <v>9</v>
      </c>
      <c r="C19" s="6">
        <f ca="1" t="shared" si="1"/>
        <v>1487.42857142857</v>
      </c>
      <c r="D19" s="7">
        <f ca="1" t="shared" si="5"/>
        <v>0.0678571428571429</v>
      </c>
      <c r="E19" s="10">
        <f ca="1" t="shared" si="2"/>
        <v>123.952380952381</v>
      </c>
      <c r="F19" s="7">
        <f ca="1" t="shared" si="3"/>
        <v>0.0056547619047619</v>
      </c>
      <c r="G19" s="6">
        <f ca="1">SUM($C$11:$C19)</f>
        <v>13386.8571428571</v>
      </c>
      <c r="H19" s="6">
        <f ca="1" t="shared" si="4"/>
        <v>-45014.2857142857</v>
      </c>
    </row>
    <row r="20" ht="17.6" spans="2:8">
      <c r="B20" s="4">
        <f ca="1" t="shared" si="0"/>
        <v>10</v>
      </c>
      <c r="C20" s="6">
        <f ca="1" t="shared" si="1"/>
        <v>1487.42857142857</v>
      </c>
      <c r="D20" s="7">
        <f ca="1" t="shared" si="5"/>
        <v>0.0678571428571429</v>
      </c>
      <c r="E20" s="10">
        <f ca="1" t="shared" si="2"/>
        <v>123.952380952381</v>
      </c>
      <c r="F20" s="7">
        <f ca="1" t="shared" si="3"/>
        <v>0.0056547619047619</v>
      </c>
      <c r="G20" s="6">
        <f ca="1">SUM($C$11:$C20)</f>
        <v>14874.2857142857</v>
      </c>
      <c r="H20" s="6">
        <f ca="1" t="shared" si="4"/>
        <v>-59888.5714285714</v>
      </c>
    </row>
    <row r="21" ht="17.6" spans="2:8">
      <c r="B21" s="4">
        <f ca="1" t="shared" si="0"/>
        <v>11</v>
      </c>
      <c r="C21" s="6">
        <f ca="1" t="shared" si="1"/>
        <v>1487.42857142857</v>
      </c>
      <c r="D21" s="7">
        <f ca="1" t="shared" si="5"/>
        <v>0.0678571428571429</v>
      </c>
      <c r="E21" s="10">
        <f ca="1" t="shared" si="2"/>
        <v>123.952380952381</v>
      </c>
      <c r="F21" s="7">
        <f ca="1" t="shared" si="3"/>
        <v>0.0056547619047619</v>
      </c>
      <c r="G21" s="6">
        <f ca="1">SUM($C$11:$C21)</f>
        <v>16361.7142857143</v>
      </c>
      <c r="H21" s="6">
        <f ca="1" t="shared" si="4"/>
        <v>-76250.2857142857</v>
      </c>
    </row>
    <row r="22" ht="17.6" spans="2:8">
      <c r="B22" s="4">
        <f ca="1" t="shared" si="0"/>
        <v>12</v>
      </c>
      <c r="C22" s="6">
        <f ca="1" t="shared" si="1"/>
        <v>1487.42857142857</v>
      </c>
      <c r="D22" s="7">
        <f ca="1" t="shared" si="5"/>
        <v>0.0678571428571429</v>
      </c>
      <c r="E22" s="10">
        <f ca="1" t="shared" si="2"/>
        <v>123.952380952381</v>
      </c>
      <c r="F22" s="7">
        <f ca="1" t="shared" ref="F22:F31" si="6">$D$11/12</f>
        <v>0.0056547619047619</v>
      </c>
      <c r="G22" s="6">
        <f ca="1">SUM($C$11:$C22)</f>
        <v>17849.1428571429</v>
      </c>
      <c r="H22" s="6">
        <f ca="1" t="shared" si="4"/>
        <v>-94099.4285714286</v>
      </c>
    </row>
    <row r="23" ht="17.6" spans="2:8">
      <c r="B23" s="4">
        <f ca="1" t="shared" si="0"/>
        <v>13</v>
      </c>
      <c r="C23" s="6">
        <f ca="1" t="shared" si="1"/>
        <v>1487.42857142857</v>
      </c>
      <c r="D23" s="7">
        <f ca="1" t="shared" ref="D23:D32" si="7">(1-$E$7)/$E$6</f>
        <v>0.0678571428571429</v>
      </c>
      <c r="E23" s="10">
        <f ca="1" t="shared" si="2"/>
        <v>123.952380952381</v>
      </c>
      <c r="F23" s="7">
        <f ca="1" t="shared" si="6"/>
        <v>0.0056547619047619</v>
      </c>
      <c r="G23" s="6">
        <f ca="1">SUM($C$11:$C23)</f>
        <v>19336.5714285714</v>
      </c>
      <c r="H23" s="6">
        <f ca="1" t="shared" si="4"/>
        <v>-113436</v>
      </c>
    </row>
    <row r="24" ht="17.6" spans="2:8">
      <c r="B24" s="4">
        <f ca="1" t="shared" si="0"/>
        <v>14</v>
      </c>
      <c r="C24" s="6">
        <f ca="1" t="shared" si="1"/>
        <v>1487.42857142857</v>
      </c>
      <c r="D24" s="7">
        <f ca="1" t="shared" si="7"/>
        <v>0.0678571428571429</v>
      </c>
      <c r="E24" s="10">
        <f ca="1" t="shared" si="2"/>
        <v>123.952380952381</v>
      </c>
      <c r="F24" s="7">
        <f ca="1" t="shared" si="6"/>
        <v>0.0056547619047619</v>
      </c>
      <c r="G24" s="6">
        <f ca="1">SUM($C$11:$C24)</f>
        <v>20824</v>
      </c>
      <c r="H24" s="6">
        <f ca="1" t="shared" si="4"/>
        <v>-134260</v>
      </c>
    </row>
    <row r="25" ht="17.6" spans="2:8">
      <c r="B25" s="4">
        <f ca="1" t="shared" si="0"/>
        <v>15</v>
      </c>
      <c r="C25" s="6" t="b">
        <f ca="1" t="shared" si="1"/>
        <v>0</v>
      </c>
      <c r="D25" s="7">
        <f ca="1" t="shared" si="7"/>
        <v>0.0678571428571429</v>
      </c>
      <c r="E25" s="10">
        <f ca="1" t="shared" si="2"/>
        <v>0</v>
      </c>
      <c r="F25" s="7">
        <f ca="1" t="shared" si="6"/>
        <v>0.0056547619047619</v>
      </c>
      <c r="G25" s="6">
        <f ca="1">SUM($C$11:$C25)</f>
        <v>20824</v>
      </c>
      <c r="H25" s="6">
        <f ca="1" t="shared" si="4"/>
        <v>-155084</v>
      </c>
    </row>
    <row r="26" ht="18" spans="2:8">
      <c r="B26" s="4" t="str">
        <f ca="1" t="shared" si="0"/>
        <v/>
      </c>
      <c r="C26" s="6" t="b">
        <f ca="1" t="shared" si="1"/>
        <v>0</v>
      </c>
      <c r="D26" s="7">
        <f ca="1" t="shared" si="7"/>
        <v>0.0678571428571429</v>
      </c>
      <c r="E26" s="10">
        <f ca="1" t="shared" si="2"/>
        <v>0</v>
      </c>
      <c r="F26" s="7">
        <f ca="1" t="shared" si="6"/>
        <v>0.0056547619047619</v>
      </c>
      <c r="G26" s="6">
        <f ca="1">SUM($C$11:$C26)</f>
        <v>20824</v>
      </c>
      <c r="H26" s="6">
        <f ca="1" t="shared" si="4"/>
        <v>-175908</v>
      </c>
    </row>
    <row r="27" ht="18" spans="2:8">
      <c r="B27" s="4" t="str">
        <f ca="1" t="shared" si="0"/>
        <v/>
      </c>
      <c r="C27" s="6" t="b">
        <f ca="1" t="shared" si="1"/>
        <v>0</v>
      </c>
      <c r="D27" s="7">
        <f ca="1" t="shared" si="7"/>
        <v>0.0678571428571429</v>
      </c>
      <c r="E27" s="10">
        <f ca="1" t="shared" si="2"/>
        <v>0</v>
      </c>
      <c r="F27" s="7">
        <f ca="1" t="shared" si="6"/>
        <v>0.0056547619047619</v>
      </c>
      <c r="G27" s="6">
        <f ca="1">SUM($C$11:$C27)</f>
        <v>20824</v>
      </c>
      <c r="H27" s="6">
        <f ca="1" t="shared" si="4"/>
        <v>-196732</v>
      </c>
    </row>
    <row r="28" ht="18" spans="2:8">
      <c r="B28" s="4" t="str">
        <f ca="1" t="shared" si="0"/>
        <v/>
      </c>
      <c r="C28" s="6" t="b">
        <f ca="1" t="shared" si="1"/>
        <v>0</v>
      </c>
      <c r="D28" s="7">
        <f ca="1" t="shared" si="7"/>
        <v>0.0678571428571429</v>
      </c>
      <c r="E28" s="10">
        <f ca="1" t="shared" si="2"/>
        <v>0</v>
      </c>
      <c r="F28" s="7">
        <f ca="1" t="shared" si="6"/>
        <v>0.0056547619047619</v>
      </c>
      <c r="G28" s="6">
        <f ca="1">SUM($C$11:$C28)</f>
        <v>20824</v>
      </c>
      <c r="H28" s="6">
        <f ca="1" t="shared" si="4"/>
        <v>-217556</v>
      </c>
    </row>
    <row r="29" ht="18" spans="2:8">
      <c r="B29" s="4" t="str">
        <f ca="1" t="shared" si="0"/>
        <v/>
      </c>
      <c r="C29" s="6" t="b">
        <f ca="1" t="shared" si="1"/>
        <v>0</v>
      </c>
      <c r="D29" s="7">
        <f ca="1" t="shared" si="7"/>
        <v>0.0678571428571429</v>
      </c>
      <c r="E29" s="10">
        <f ca="1" t="shared" si="2"/>
        <v>0</v>
      </c>
      <c r="F29" s="7">
        <f ca="1" t="shared" si="6"/>
        <v>0.0056547619047619</v>
      </c>
      <c r="G29" s="6">
        <f ca="1">SUM($C$11:$C29)</f>
        <v>20824</v>
      </c>
      <c r="H29" s="6">
        <f ca="1" t="shared" si="4"/>
        <v>-238380</v>
      </c>
    </row>
    <row r="30" ht="18" spans="2:8">
      <c r="B30" s="4" t="str">
        <f ca="1" t="shared" si="0"/>
        <v/>
      </c>
      <c r="C30" s="6" t="b">
        <f ca="1" t="shared" si="1"/>
        <v>0</v>
      </c>
      <c r="D30" s="7">
        <f ca="1" t="shared" si="7"/>
        <v>0.0678571428571429</v>
      </c>
      <c r="E30" s="10">
        <f ca="1" t="shared" si="2"/>
        <v>0</v>
      </c>
      <c r="F30" s="7">
        <f ca="1" t="shared" si="6"/>
        <v>0.0056547619047619</v>
      </c>
      <c r="G30" s="6">
        <f ca="1">SUM($C$11:$C30)</f>
        <v>20824</v>
      </c>
      <c r="H30" s="6">
        <f ca="1" t="shared" si="4"/>
        <v>-259204</v>
      </c>
    </row>
    <row r="31" ht="18" spans="2:8">
      <c r="B31" s="4" t="str">
        <f ca="1" t="shared" si="0"/>
        <v/>
      </c>
      <c r="C31" s="6" t="b">
        <f ca="1" t="shared" si="1"/>
        <v>0</v>
      </c>
      <c r="D31" s="7">
        <f ca="1" t="shared" si="7"/>
        <v>0.0678571428571429</v>
      </c>
      <c r="E31" s="10">
        <f ca="1" t="shared" si="2"/>
        <v>0</v>
      </c>
      <c r="F31" s="7">
        <f ca="1" t="shared" si="6"/>
        <v>0.0056547619047619</v>
      </c>
      <c r="G31" s="6">
        <f ca="1">SUM($C$11:$C31)</f>
        <v>20824</v>
      </c>
      <c r="H31" s="6">
        <f ca="1" t="shared" si="4"/>
        <v>-280028</v>
      </c>
    </row>
    <row r="32" ht="18" spans="2:8">
      <c r="B32" s="4" t="str">
        <f ca="1" t="shared" si="0"/>
        <v/>
      </c>
      <c r="C32" s="6" t="b">
        <f ca="1" t="shared" si="1"/>
        <v>0</v>
      </c>
      <c r="D32" s="7">
        <f ca="1" t="shared" si="7"/>
        <v>0.0678571428571429</v>
      </c>
      <c r="E32" s="10">
        <f ca="1" t="shared" si="2"/>
        <v>0</v>
      </c>
      <c r="F32" s="7">
        <f ca="1" t="shared" ref="F32:F41" si="8">$D$11/12</f>
        <v>0.0056547619047619</v>
      </c>
      <c r="G32" s="6">
        <f ca="1">SUM($C$11:$C32)</f>
        <v>20824</v>
      </c>
      <c r="H32" s="6">
        <f ca="1" t="shared" si="4"/>
        <v>-300852</v>
      </c>
    </row>
    <row r="33" ht="18" spans="2:8">
      <c r="B33" s="4" t="str">
        <f ca="1" t="shared" si="0"/>
        <v/>
      </c>
      <c r="C33" s="6" t="b">
        <f ca="1" t="shared" si="1"/>
        <v>0</v>
      </c>
      <c r="D33" s="7">
        <f ca="1" t="shared" ref="D33:D42" si="9">(1-$E$7)/$E$6</f>
        <v>0.0678571428571429</v>
      </c>
      <c r="E33" s="10">
        <f ca="1" t="shared" si="2"/>
        <v>0</v>
      </c>
      <c r="F33" s="7">
        <f ca="1" t="shared" si="8"/>
        <v>0.0056547619047619</v>
      </c>
      <c r="G33" s="6">
        <f ca="1">SUM($C$11:$C33)</f>
        <v>20824</v>
      </c>
      <c r="H33" s="6">
        <f ca="1" t="shared" si="4"/>
        <v>-321676</v>
      </c>
    </row>
    <row r="34" ht="18" spans="2:8">
      <c r="B34" s="4" t="str">
        <f ca="1" t="shared" si="0"/>
        <v/>
      </c>
      <c r="C34" s="6" t="b">
        <f ca="1" t="shared" si="1"/>
        <v>0</v>
      </c>
      <c r="D34" s="7">
        <f ca="1" t="shared" si="9"/>
        <v>0.0678571428571429</v>
      </c>
      <c r="E34" s="10">
        <f ca="1" t="shared" si="2"/>
        <v>0</v>
      </c>
      <c r="F34" s="7">
        <f ca="1" t="shared" si="8"/>
        <v>0.0056547619047619</v>
      </c>
      <c r="G34" s="6">
        <f ca="1">SUM($C$11:$C34)</f>
        <v>20824</v>
      </c>
      <c r="H34" s="6">
        <f ca="1" t="shared" si="4"/>
        <v>-342500</v>
      </c>
    </row>
    <row r="35" ht="18" spans="2:8">
      <c r="B35" s="4" t="str">
        <f ca="1" t="shared" si="0"/>
        <v/>
      </c>
      <c r="C35" s="6" t="b">
        <f ca="1" t="shared" si="1"/>
        <v>0</v>
      </c>
      <c r="D35" s="7">
        <f ca="1" t="shared" si="9"/>
        <v>0.0678571428571429</v>
      </c>
      <c r="E35" s="10">
        <f ca="1" t="shared" si="2"/>
        <v>0</v>
      </c>
      <c r="F35" s="7">
        <f ca="1" t="shared" si="8"/>
        <v>0.0056547619047619</v>
      </c>
      <c r="G35" s="6">
        <f ca="1">SUM($C$11:$C35)</f>
        <v>20824</v>
      </c>
      <c r="H35" s="6">
        <f ca="1" t="shared" si="4"/>
        <v>-363324</v>
      </c>
    </row>
    <row r="36" ht="18" spans="2:8">
      <c r="B36" s="4" t="str">
        <f ca="1" t="shared" si="0"/>
        <v/>
      </c>
      <c r="C36" s="6" t="b">
        <f ca="1" t="shared" si="1"/>
        <v>0</v>
      </c>
      <c r="D36" s="7">
        <f ca="1" t="shared" si="9"/>
        <v>0.0678571428571429</v>
      </c>
      <c r="E36" s="10">
        <f ca="1" t="shared" si="2"/>
        <v>0</v>
      </c>
      <c r="F36" s="7">
        <f ca="1" t="shared" si="8"/>
        <v>0.0056547619047619</v>
      </c>
      <c r="G36" s="6">
        <f ca="1">SUM($C$11:$C36)</f>
        <v>20824</v>
      </c>
      <c r="H36" s="6">
        <f ca="1" t="shared" si="4"/>
        <v>-384148</v>
      </c>
    </row>
    <row r="37" ht="18" spans="2:8">
      <c r="B37" s="4" t="str">
        <f ca="1" t="shared" si="0"/>
        <v/>
      </c>
      <c r="C37" s="6" t="b">
        <f ca="1" t="shared" si="1"/>
        <v>0</v>
      </c>
      <c r="D37" s="7">
        <f ca="1" t="shared" si="9"/>
        <v>0.0678571428571429</v>
      </c>
      <c r="E37" s="10">
        <f ca="1" t="shared" si="2"/>
        <v>0</v>
      </c>
      <c r="F37" s="7">
        <f ca="1" t="shared" si="8"/>
        <v>0.0056547619047619</v>
      </c>
      <c r="G37" s="6">
        <f ca="1">SUM($C$11:$C37)</f>
        <v>20824</v>
      </c>
      <c r="H37" s="6">
        <f ca="1" t="shared" si="4"/>
        <v>-404972</v>
      </c>
    </row>
    <row r="38" ht="18" spans="2:8">
      <c r="B38" s="4" t="str">
        <f ca="1" t="shared" si="0"/>
        <v/>
      </c>
      <c r="C38" s="6" t="b">
        <f ca="1" t="shared" si="1"/>
        <v>0</v>
      </c>
      <c r="D38" s="7">
        <f ca="1" t="shared" si="9"/>
        <v>0.0678571428571429</v>
      </c>
      <c r="E38" s="10">
        <f ca="1" t="shared" si="2"/>
        <v>0</v>
      </c>
      <c r="F38" s="7">
        <f ca="1" t="shared" si="8"/>
        <v>0.0056547619047619</v>
      </c>
      <c r="G38" s="6">
        <f ca="1">SUM($C$11:$C38)</f>
        <v>20824</v>
      </c>
      <c r="H38" s="6">
        <f ca="1" t="shared" si="4"/>
        <v>-425796</v>
      </c>
    </row>
    <row r="39" ht="18" spans="2:8">
      <c r="B39" s="4" t="str">
        <f ca="1" t="shared" si="0"/>
        <v/>
      </c>
      <c r="C39" s="6" t="b">
        <f ca="1" t="shared" si="1"/>
        <v>0</v>
      </c>
      <c r="D39" s="7">
        <f ca="1" t="shared" si="9"/>
        <v>0.0678571428571429</v>
      </c>
      <c r="E39" s="10">
        <f ca="1" t="shared" si="2"/>
        <v>0</v>
      </c>
      <c r="F39" s="7">
        <f ca="1" t="shared" si="8"/>
        <v>0.0056547619047619</v>
      </c>
      <c r="G39" s="6">
        <f ca="1">SUM($C$11:$C39)</f>
        <v>20824</v>
      </c>
      <c r="H39" s="6">
        <f ca="1" t="shared" si="4"/>
        <v>-446620</v>
      </c>
    </row>
    <row r="40" ht="18" spans="2:8">
      <c r="B40" s="4" t="str">
        <f ca="1" t="shared" si="0"/>
        <v/>
      </c>
      <c r="C40" s="6" t="b">
        <f ca="1" t="shared" si="1"/>
        <v>0</v>
      </c>
      <c r="D40" s="7">
        <f ca="1" t="shared" si="9"/>
        <v>0.0678571428571429</v>
      </c>
      <c r="E40" s="10">
        <f ca="1" t="shared" si="2"/>
        <v>0</v>
      </c>
      <c r="F40" s="7">
        <f ca="1" t="shared" si="8"/>
        <v>0.0056547619047619</v>
      </c>
      <c r="G40" s="6">
        <f ca="1">SUM($C$11:$C40)</f>
        <v>20824</v>
      </c>
      <c r="H40" s="6">
        <f ca="1" t="shared" si="4"/>
        <v>-467444</v>
      </c>
    </row>
    <row r="41" ht="18" spans="2:8">
      <c r="B41" s="4" t="str">
        <f ca="1" t="shared" si="0"/>
        <v/>
      </c>
      <c r="C41" s="6" t="b">
        <f ca="1" t="shared" si="1"/>
        <v>0</v>
      </c>
      <c r="D41" s="7">
        <f ca="1" t="shared" si="9"/>
        <v>0.0678571428571429</v>
      </c>
      <c r="E41" s="10">
        <f ca="1" t="shared" si="2"/>
        <v>0</v>
      </c>
      <c r="F41" s="7">
        <f ca="1" t="shared" si="8"/>
        <v>0.0056547619047619</v>
      </c>
      <c r="G41" s="6">
        <f ca="1">SUM($C$11:$C41)</f>
        <v>20824</v>
      </c>
      <c r="H41" s="6">
        <f ca="1" t="shared" si="4"/>
        <v>-488268</v>
      </c>
    </row>
    <row r="42" ht="18" spans="2:8">
      <c r="B42" s="4" t="str">
        <f ca="1" t="shared" si="0"/>
        <v/>
      </c>
      <c r="C42" s="6" t="b">
        <f ca="1" t="shared" si="1"/>
        <v>0</v>
      </c>
      <c r="D42" s="7">
        <f ca="1" t="shared" si="9"/>
        <v>0.0678571428571429</v>
      </c>
      <c r="E42" s="10">
        <f ca="1" t="shared" si="2"/>
        <v>0</v>
      </c>
      <c r="F42" s="7">
        <f ca="1" t="shared" ref="F42:F50" si="10">$D$11/12</f>
        <v>0.0056547619047619</v>
      </c>
      <c r="G42" s="6">
        <f ca="1">SUM($C$11:$C42)</f>
        <v>20824</v>
      </c>
      <c r="H42" s="6">
        <f ca="1" t="shared" si="4"/>
        <v>-509092</v>
      </c>
    </row>
    <row r="43" ht="18" spans="2:8">
      <c r="B43" s="4" t="str">
        <f ca="1" t="shared" si="0"/>
        <v/>
      </c>
      <c r="C43" s="6" t="b">
        <f ca="1" t="shared" si="1"/>
        <v>0</v>
      </c>
      <c r="D43" s="7">
        <f ca="1" t="shared" ref="D43:D50" si="11">(1-$E$7)/$E$6</f>
        <v>0.0678571428571429</v>
      </c>
      <c r="E43" s="10">
        <f ca="1" t="shared" si="2"/>
        <v>0</v>
      </c>
      <c r="F43" s="7">
        <f ca="1" t="shared" si="10"/>
        <v>0.0056547619047619</v>
      </c>
      <c r="G43" s="6">
        <f ca="1">SUM($C$11:$C43)</f>
        <v>20824</v>
      </c>
      <c r="H43" s="6">
        <f ca="1" t="shared" si="4"/>
        <v>-529916</v>
      </c>
    </row>
    <row r="44" ht="18" spans="2:8">
      <c r="B44" s="4" t="str">
        <f ca="1" t="shared" si="0"/>
        <v/>
      </c>
      <c r="C44" s="6" t="b">
        <f ca="1" t="shared" si="1"/>
        <v>0</v>
      </c>
      <c r="D44" s="7">
        <f ca="1" t="shared" si="11"/>
        <v>0.0678571428571429</v>
      </c>
      <c r="E44" s="10">
        <f ca="1" t="shared" si="2"/>
        <v>0</v>
      </c>
      <c r="F44" s="7">
        <f ca="1" t="shared" si="10"/>
        <v>0.0056547619047619</v>
      </c>
      <c r="G44" s="6">
        <f ca="1">SUM($C$11:$C44)</f>
        <v>20824</v>
      </c>
      <c r="H44" s="6">
        <f ca="1" t="shared" si="4"/>
        <v>-550740</v>
      </c>
    </row>
    <row r="45" ht="18" spans="2:8">
      <c r="B45" s="4" t="str">
        <f ca="1" t="shared" si="0"/>
        <v/>
      </c>
      <c r="C45" s="6" t="b">
        <f ca="1" t="shared" si="1"/>
        <v>0</v>
      </c>
      <c r="D45" s="7">
        <f ca="1" t="shared" si="11"/>
        <v>0.0678571428571429</v>
      </c>
      <c r="E45" s="10">
        <f ca="1" t="shared" si="2"/>
        <v>0</v>
      </c>
      <c r="F45" s="7">
        <f ca="1" t="shared" si="10"/>
        <v>0.0056547619047619</v>
      </c>
      <c r="G45" s="6">
        <f ca="1">SUM($C$11:$C45)</f>
        <v>20824</v>
      </c>
      <c r="H45" s="6">
        <f ca="1" t="shared" si="4"/>
        <v>-571564</v>
      </c>
    </row>
    <row r="46" ht="18" spans="2:8">
      <c r="B46" s="4" t="str">
        <f ca="1" t="shared" si="0"/>
        <v/>
      </c>
      <c r="C46" s="6" t="b">
        <f ca="1" t="shared" si="1"/>
        <v>0</v>
      </c>
      <c r="D46" s="7">
        <f ca="1" t="shared" si="11"/>
        <v>0.0678571428571429</v>
      </c>
      <c r="E46" s="10">
        <f ca="1" t="shared" si="2"/>
        <v>0</v>
      </c>
      <c r="F46" s="7">
        <f ca="1" t="shared" si="10"/>
        <v>0.0056547619047619</v>
      </c>
      <c r="G46" s="6">
        <f ca="1">SUM($C$11:$C46)</f>
        <v>20824</v>
      </c>
      <c r="H46" s="6">
        <f ca="1" t="shared" si="4"/>
        <v>-592388</v>
      </c>
    </row>
    <row r="47" ht="18" spans="2:8">
      <c r="B47" s="4" t="str">
        <f ca="1" t="shared" si="0"/>
        <v/>
      </c>
      <c r="C47" s="6" t="b">
        <f ca="1" t="shared" si="1"/>
        <v>0</v>
      </c>
      <c r="D47" s="7">
        <f ca="1" t="shared" si="11"/>
        <v>0.0678571428571429</v>
      </c>
      <c r="E47" s="10">
        <f ca="1" t="shared" si="2"/>
        <v>0</v>
      </c>
      <c r="F47" s="7">
        <f ca="1" t="shared" si="10"/>
        <v>0.0056547619047619</v>
      </c>
      <c r="G47" s="6">
        <f ca="1">SUM($C$11:$C47)</f>
        <v>20824</v>
      </c>
      <c r="H47" s="6">
        <f ca="1" t="shared" si="4"/>
        <v>-613212</v>
      </c>
    </row>
    <row r="48" ht="18" spans="2:8">
      <c r="B48" s="4" t="str">
        <f ca="1" t="shared" si="0"/>
        <v/>
      </c>
      <c r="C48" s="6" t="b">
        <f ca="1" t="shared" si="1"/>
        <v>0</v>
      </c>
      <c r="D48" s="7">
        <f ca="1" t="shared" si="11"/>
        <v>0.0678571428571429</v>
      </c>
      <c r="E48" s="10">
        <f ca="1" t="shared" si="2"/>
        <v>0</v>
      </c>
      <c r="F48" s="7">
        <f ca="1" t="shared" si="10"/>
        <v>0.0056547619047619</v>
      </c>
      <c r="G48" s="6">
        <f ca="1">SUM($C$11:$C48)</f>
        <v>20824</v>
      </c>
      <c r="H48" s="6">
        <f ca="1" t="shared" si="4"/>
        <v>-634036</v>
      </c>
    </row>
    <row r="49" ht="18" spans="2:8">
      <c r="B49" s="4" t="str">
        <f ca="1" t="shared" si="0"/>
        <v/>
      </c>
      <c r="C49" s="6" t="b">
        <f ca="1" t="shared" si="1"/>
        <v>0</v>
      </c>
      <c r="D49" s="7">
        <f ca="1" t="shared" si="11"/>
        <v>0.0678571428571429</v>
      </c>
      <c r="E49" s="10">
        <f ca="1" t="shared" si="2"/>
        <v>0</v>
      </c>
      <c r="F49" s="7">
        <f ca="1" t="shared" si="10"/>
        <v>0.0056547619047619</v>
      </c>
      <c r="G49" s="6">
        <f ca="1">SUM($C$11:$C49)</f>
        <v>20824</v>
      </c>
      <c r="H49" s="6">
        <f ca="1" t="shared" si="4"/>
        <v>-654860</v>
      </c>
    </row>
    <row r="50" ht="18" spans="2:8">
      <c r="B50" s="4" t="str">
        <f ca="1" t="shared" si="0"/>
        <v/>
      </c>
      <c r="C50" s="6" t="b">
        <f ca="1" t="shared" si="1"/>
        <v>0</v>
      </c>
      <c r="D50" s="7">
        <f ca="1" t="shared" si="11"/>
        <v>0.0678571428571429</v>
      </c>
      <c r="E50" s="10">
        <f ca="1" t="shared" si="2"/>
        <v>0</v>
      </c>
      <c r="F50" s="7">
        <f ca="1" t="shared" si="10"/>
        <v>0.0056547619047619</v>
      </c>
      <c r="G50" s="6">
        <f ca="1">SUM($C$11:$C50)</f>
        <v>20824</v>
      </c>
      <c r="H50" s="6">
        <f ca="1" t="shared" si="4"/>
        <v>-675684</v>
      </c>
    </row>
  </sheetData>
  <mergeCells count="8">
    <mergeCell ref="B1:H1"/>
    <mergeCell ref="B2:H2"/>
    <mergeCell ref="E3:H3"/>
    <mergeCell ref="E4:H4"/>
    <mergeCell ref="E5:H5"/>
    <mergeCell ref="G6:H6"/>
    <mergeCell ref="G7:H7"/>
    <mergeCell ref="B8:H8"/>
  </mergeCells>
  <dataValidations count="1">
    <dataValidation type="list" allowBlank="1" showInputMessage="1" showErrorMessage="1" sqref="C4">
      <formula1>固定资产查询!$A$4:$A$45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雨林木风封装组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固定资产查询</vt:lpstr>
      <vt:lpstr>Sheet2</vt:lpstr>
      <vt:lpstr>年限总和法提计折旧表</vt:lpstr>
      <vt:lpstr>双倍余额递减法</vt:lpstr>
      <vt:lpstr>直线法提计折旧表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✨</cp:lastModifiedBy>
  <dcterms:created xsi:type="dcterms:W3CDTF">2012-06-13T02:13:00Z</dcterms:created>
  <dcterms:modified xsi:type="dcterms:W3CDTF">2024-06-04T21:27:23Z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E8239348906E4EE1A160A16A6797ABC6_12</vt:lpwstr>
  </property>
  <property fmtid="{D5CDD505-2E9C-101B-9397-08002B2CF9AE}" pid="3" name="KSOProductBuildVer">
    <vt:lpwstr>2052-6.7.1.8828</vt:lpwstr>
  </property>
</Properties>
</file>