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下载文件\2024下\excel\"/>
    </mc:Choice>
  </mc:AlternateContent>
  <xr:revisionPtr revIDLastSave="0" documentId="13_ncr:1_{D01AF76E-7B31-47E7-855E-F64638B6B576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级别" sheetId="1" r:id="rId1"/>
    <sheet name="基本工资统计表" sheetId="2" r:id="rId2"/>
    <sheet name="奖惩统计表" sheetId="3" r:id="rId3"/>
    <sheet name="考勤统计表" sheetId="4" r:id="rId4"/>
    <sheet name="加班统计表" sheetId="5" r:id="rId5"/>
    <sheet name="工资统计表" sheetId="6" r:id="rId6"/>
  </sheets>
  <calcPr calcId="191029"/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" i="5"/>
  <c r="J13" i="2"/>
  <c r="J4" i="2"/>
  <c r="J5" i="2"/>
  <c r="J6" i="2"/>
  <c r="J7" i="2"/>
  <c r="J8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" i="2"/>
  <c r="H3" i="2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4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</calcChain>
</file>

<file path=xl/sharedStrings.xml><?xml version="1.0" encoding="utf-8"?>
<sst xmlns="http://schemas.openxmlformats.org/spreadsheetml/2006/main" count="668" uniqueCount="158">
  <si>
    <t>级别</t>
  </si>
  <si>
    <t>基本工资</t>
  </si>
  <si>
    <t>住房补贴</t>
  </si>
  <si>
    <t>1级</t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</si>
  <si>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</si>
  <si>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</si>
  <si>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</si>
  <si>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</si>
  <si>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</si>
  <si>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</si>
  <si>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</si>
  <si>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</si>
  <si>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</si>
  <si>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</si>
  <si>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</si>
  <si>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基 本 工 资 管 理 表</t>
  </si>
  <si>
    <t>编号</t>
  </si>
  <si>
    <t>姓名</t>
  </si>
  <si>
    <t>性别</t>
  </si>
  <si>
    <t>所在部门</t>
  </si>
  <si>
    <t>所属职位</t>
  </si>
  <si>
    <t>岗位级别</t>
  </si>
  <si>
    <t>入职时间</t>
  </si>
  <si>
    <t>001</t>
  </si>
  <si>
    <t>王小波</t>
  </si>
  <si>
    <t>女</t>
  </si>
  <si>
    <t>销售部</t>
  </si>
  <si>
    <t>业务员</t>
  </si>
  <si>
    <t>002</t>
  </si>
  <si>
    <t>周涛</t>
  </si>
  <si>
    <t>财务部</t>
  </si>
  <si>
    <t>总监</t>
  </si>
  <si>
    <t>003</t>
  </si>
  <si>
    <t>周保国</t>
  </si>
  <si>
    <t>男</t>
  </si>
  <si>
    <t>企划部</t>
  </si>
  <si>
    <t>员工</t>
  </si>
  <si>
    <t>004</t>
  </si>
  <si>
    <t>王芬</t>
  </si>
  <si>
    <t>部门经理</t>
  </si>
  <si>
    <t>005</t>
  </si>
  <si>
    <t>陈南</t>
  </si>
  <si>
    <t>网络安全部</t>
  </si>
  <si>
    <t>006</t>
  </si>
  <si>
    <t>吴军</t>
  </si>
  <si>
    <t>007</t>
  </si>
  <si>
    <t>王青</t>
  </si>
  <si>
    <t>008</t>
  </si>
  <si>
    <t>刘勇</t>
  </si>
  <si>
    <t>行政部</t>
  </si>
  <si>
    <t>009</t>
  </si>
  <si>
    <t>马梅</t>
  </si>
  <si>
    <t>010</t>
  </si>
  <si>
    <t>吴小华</t>
  </si>
  <si>
    <t>011</t>
  </si>
  <si>
    <t>唐嫣</t>
  </si>
  <si>
    <t>012</t>
  </si>
  <si>
    <t>周丽萍</t>
  </si>
  <si>
    <t>013</t>
  </si>
  <si>
    <t>王华</t>
  </si>
  <si>
    <t>014</t>
  </si>
  <si>
    <t>张学兴</t>
  </si>
  <si>
    <t>015</t>
  </si>
  <si>
    <t>汪磊</t>
  </si>
  <si>
    <t>016</t>
  </si>
  <si>
    <t>陈华</t>
  </si>
  <si>
    <t>017</t>
  </si>
  <si>
    <t>刘俊</t>
  </si>
  <si>
    <t>018</t>
  </si>
  <si>
    <t>邓超</t>
  </si>
  <si>
    <t>019</t>
  </si>
  <si>
    <t>何晓飞</t>
  </si>
  <si>
    <t>020</t>
  </si>
  <si>
    <t>杨静</t>
  </si>
  <si>
    <t>021</t>
  </si>
  <si>
    <t>汪任</t>
  </si>
  <si>
    <t>022</t>
  </si>
  <si>
    <t>张燕</t>
  </si>
  <si>
    <t>023</t>
  </si>
  <si>
    <t>江雷</t>
  </si>
  <si>
    <t>024</t>
  </si>
  <si>
    <t>彭华</t>
  </si>
  <si>
    <t>025</t>
  </si>
  <si>
    <t>赵青</t>
  </si>
  <si>
    <t>部门副经理</t>
  </si>
  <si>
    <t>026</t>
  </si>
  <si>
    <t>汪丽萍</t>
  </si>
  <si>
    <t>027</t>
  </si>
  <si>
    <t>周江</t>
  </si>
  <si>
    <t>028</t>
  </si>
  <si>
    <t>韩学平</t>
  </si>
  <si>
    <t>029</t>
  </si>
  <si>
    <t>吴子</t>
  </si>
  <si>
    <t>030</t>
  </si>
  <si>
    <t>汪明明</t>
  </si>
  <si>
    <t>本 月 奖 惩 管 理 表</t>
  </si>
  <si>
    <t>所属部门</t>
  </si>
  <si>
    <t>销售业绩</t>
  </si>
  <si>
    <t>提成或奖金</t>
  </si>
  <si>
    <t>罚款金额</t>
  </si>
  <si>
    <t>奖励或罚款说明</t>
  </si>
  <si>
    <t>业绩提成</t>
  </si>
  <si>
    <r>
      <rPr>
        <sz val="12"/>
        <rFont val="仿宋"/>
        <family val="3"/>
        <charset val="134"/>
      </rPr>
      <t>业绩提成、</t>
    </r>
    <r>
      <rPr>
        <sz val="12"/>
        <color rgb="FFFF0000"/>
        <rFont val="仿宋"/>
        <family val="3"/>
        <charset val="134"/>
      </rPr>
      <t>损坏公物</t>
    </r>
  </si>
  <si>
    <t>损坏公物</t>
  </si>
  <si>
    <t>解决突发事件</t>
  </si>
  <si>
    <t>项目奖金</t>
  </si>
  <si>
    <t>表现突出</t>
  </si>
  <si>
    <t>拖延进度</t>
  </si>
  <si>
    <t>本月考勤统计分析</t>
  </si>
  <si>
    <t>出勤</t>
  </si>
  <si>
    <t>病假</t>
  </si>
  <si>
    <t>事假</t>
  </si>
  <si>
    <t>迟到</t>
  </si>
  <si>
    <t>旷工</t>
  </si>
  <si>
    <t>婚假</t>
  </si>
  <si>
    <t>产假</t>
  </si>
  <si>
    <t>年假</t>
  </si>
  <si>
    <t>出差</t>
  </si>
  <si>
    <t>√</t>
  </si>
  <si>
    <t>⊕</t>
  </si>
  <si>
    <t>⊙</t>
  </si>
  <si>
    <t>◎</t>
  </si>
  <si>
    <t>◇</t>
  </si>
  <si>
    <t>♀</t>
  </si>
  <si>
    <t>♂</t>
  </si>
  <si>
    <t>▲</t>
  </si>
  <si>
    <t>★</t>
  </si>
  <si>
    <t>本月加班费统计</t>
  </si>
  <si>
    <t>工作日加班(小时)</t>
  </si>
  <si>
    <t>节假日加班(天)</t>
  </si>
  <si>
    <t>工龄</t>
    <phoneticPr fontId="20" type="noConversion"/>
  </si>
  <si>
    <t>基本工资</t>
    <phoneticPr fontId="20" type="noConversion"/>
  </si>
  <si>
    <t>工龄工资</t>
    <phoneticPr fontId="20" type="noConversion"/>
  </si>
  <si>
    <t>满勤奖</t>
    <phoneticPr fontId="20" type="noConversion"/>
  </si>
  <si>
    <t>应扣工资</t>
    <phoneticPr fontId="20" type="noConversion"/>
  </si>
  <si>
    <t>病假:100元 事假:200元 迟到:100元 
旷工:300元 满勤:500元</t>
    <phoneticPr fontId="20" type="noConversion"/>
  </si>
  <si>
    <t>工作日加班费</t>
    <phoneticPr fontId="20" type="noConversion"/>
  </si>
  <si>
    <t>节假日加班费</t>
    <phoneticPr fontId="20" type="noConversion"/>
  </si>
  <si>
    <t>加班费合计</t>
    <phoneticPr fontId="20" type="noConversion"/>
  </si>
  <si>
    <t>本月工资统计表</t>
    <phoneticPr fontId="20" type="noConversion"/>
  </si>
  <si>
    <t>编号</t>
    <phoneticPr fontId="20" type="noConversion"/>
  </si>
  <si>
    <t>姓名</t>
    <phoneticPr fontId="20" type="noConversion"/>
  </si>
  <si>
    <t>所属部门</t>
    <phoneticPr fontId="20" type="noConversion"/>
  </si>
  <si>
    <t>提成或奖金</t>
    <phoneticPr fontId="20" type="noConversion"/>
  </si>
  <si>
    <t>满勤奖金</t>
    <phoneticPr fontId="20" type="noConversion"/>
  </si>
  <si>
    <t>应发合计</t>
    <phoneticPr fontId="20" type="noConversion"/>
  </si>
  <si>
    <t>请假迟到扣款</t>
    <phoneticPr fontId="20" type="noConversion"/>
  </si>
  <si>
    <t>保险/公积金扣款</t>
    <phoneticPr fontId="20" type="noConversion"/>
  </si>
  <si>
    <t>专项扣除</t>
    <phoneticPr fontId="20" type="noConversion"/>
  </si>
  <si>
    <t>应税收入</t>
    <phoneticPr fontId="20" type="noConversion"/>
  </si>
  <si>
    <t>个人所得税</t>
    <phoneticPr fontId="20" type="noConversion"/>
  </si>
  <si>
    <t>应扣合计</t>
    <phoneticPr fontId="20" type="noConversion"/>
  </si>
  <si>
    <t>实发工资</t>
    <phoneticPr fontId="20" type="noConversion"/>
  </si>
  <si>
    <t>001</t>
    <phoneticPr fontId="20" type="noConversion"/>
  </si>
  <si>
    <t>工作日加班：50/小时                         节假日加班：基本工资/工作日*2</t>
    <phoneticPr fontId="20" type="noConversion"/>
  </si>
  <si>
    <t>加班工资</t>
    <phoneticPr fontId="20" type="noConversion"/>
  </si>
  <si>
    <t>其他扣款</t>
    <phoneticPr fontId="20" type="noConversion"/>
  </si>
  <si>
    <t>实际
工作天数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</si>
</sst>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8" formatCode="0_ "/>
    <numFmt numFmtId="179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0"/>
      <name val="华文中宋"/>
      <charset val="134"/>
    </font>
    <font>
      <b/>
      <sz val="11"/>
      <color theme="0"/>
      <name val="黑体"/>
      <charset val="134"/>
    </font>
    <font>
      <b/>
      <sz val="11"/>
      <color rgb="FF000000"/>
      <name val="微软雅黑"/>
      <charset val="134"/>
    </font>
    <font>
      <sz val="11"/>
      <name val="宋体"/>
      <charset val="134"/>
      <scheme val="minor"/>
    </font>
    <font>
      <b/>
      <sz val="18"/>
      <name val="华文中宋"/>
      <charset val="134"/>
    </font>
    <font>
      <b/>
      <sz val="18"/>
      <color theme="3" tint="-0.249977111117893"/>
      <name val="宋体"/>
      <charset val="134"/>
      <scheme val="minor"/>
    </font>
    <font>
      <b/>
      <sz val="12"/>
      <color theme="1"/>
      <name val="仿宋"/>
      <charset val="134"/>
    </font>
    <font>
      <sz val="12"/>
      <color theme="1"/>
      <name val="仿宋"/>
      <charset val="134"/>
    </font>
    <font>
      <b/>
      <sz val="12"/>
      <color theme="0"/>
      <name val="仿宋"/>
      <charset val="134"/>
    </font>
    <font>
      <sz val="12"/>
      <color rgb="FFFF0000"/>
      <name val="仿宋"/>
      <charset val="134"/>
    </font>
    <font>
      <b/>
      <sz val="14"/>
      <color theme="1"/>
      <name val="仿宋"/>
      <charset val="134"/>
    </font>
    <font>
      <b/>
      <sz val="18"/>
      <color theme="3" tint="-0.249977111117893"/>
      <name val="黑体"/>
      <charset val="134"/>
    </font>
    <font>
      <b/>
      <u/>
      <sz val="18"/>
      <color theme="3" tint="-0.249977111117893"/>
      <name val="黑体"/>
      <charset val="134"/>
    </font>
    <font>
      <sz val="12"/>
      <color theme="1"/>
      <name val="Arial Unicode MS"/>
      <family val="2"/>
      <charset val="134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9"/>
      <name val="宋体"/>
      <family val="2"/>
      <charset val="134"/>
      <scheme val="minor"/>
    </font>
    <font>
      <sz val="12"/>
      <name val="仿宋"/>
      <family val="3"/>
      <charset val="134"/>
    </font>
    <font>
      <sz val="12"/>
      <color rgb="FFFF0000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1"/>
      <color theme="0"/>
      <name val="黑体"/>
      <family val="3"/>
      <charset val="134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20"/>
      <color theme="3" tint="-0.249977111117893"/>
      <name val="宋体"/>
      <family val="3"/>
      <charset val="134"/>
      <scheme val="minor"/>
    </font>
    <font>
      <b/>
      <sz val="11"/>
      <color rgb="FF00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theme="0"/>
      </patternFill>
    </fill>
    <fill>
      <patternFill patternType="solid">
        <fgColor theme="6" tint="0.79995117038483843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1">
      <alignment vertical="center"/>
    </xf>
    <xf numFmtId="0" fontId="17" fillId="12" borderId="2" xfId="1" applyFont="1" applyFill="1" applyBorder="1" applyAlignment="1">
      <alignment horizontal="right" vertical="center"/>
    </xf>
    <xf numFmtId="0" fontId="17" fillId="0" borderId="2" xfId="1" applyFont="1" applyBorder="1" applyAlignment="1">
      <alignment horizontal="right" vertical="center"/>
    </xf>
    <xf numFmtId="0" fontId="12" fillId="11" borderId="2" xfId="1" applyFont="1" applyFill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49" fontId="19" fillId="0" borderId="2" xfId="1" applyNumberFormat="1" applyFont="1" applyBorder="1" applyAlignment="1">
      <alignment horizontal="center" vertical="center"/>
    </xf>
    <xf numFmtId="14" fontId="19" fillId="0" borderId="2" xfId="1" applyNumberFormat="1" applyFont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49" fontId="17" fillId="0" borderId="2" xfId="1" applyNumberFormat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24" fillId="3" borderId="5" xfId="1" applyFont="1" applyFill="1" applyBorder="1" applyAlignment="1">
      <alignment horizontal="center" vertical="center" wrapText="1"/>
    </xf>
    <xf numFmtId="0" fontId="23" fillId="11" borderId="2" xfId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 wrapText="1"/>
    </xf>
    <xf numFmtId="0" fontId="17" fillId="16" borderId="6" xfId="0" applyFont="1" applyFill="1" applyBorder="1" applyAlignment="1">
      <alignment horizontal="center" vertical="center" wrapText="1"/>
    </xf>
    <xf numFmtId="0" fontId="17" fillId="16" borderId="7" xfId="0" applyFont="1" applyFill="1" applyBorder="1" applyAlignment="1">
      <alignment horizontal="center" vertical="center" wrapText="1"/>
    </xf>
    <xf numFmtId="0" fontId="29" fillId="8" borderId="2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25" fillId="13" borderId="2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9" fontId="0" fillId="15" borderId="2" xfId="0" applyNumberFormat="1" applyFill="1" applyBorder="1" applyAlignment="1">
      <alignment horizontal="center" vertical="center"/>
    </xf>
    <xf numFmtId="179" fontId="0" fillId="14" borderId="2" xfId="0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"/>
  <sheetViews>
    <sheetView workbookViewId="0">
      <selection activeCell="B12" sqref="B12"/>
    </sheetView>
  </sheetViews>
  <sheetFormatPr defaultRowHeight="14"/>
  <sheetData>
    <row r="1" spans="1:3" ht="15">
      <c r="A1" s="2" t="s">
        <v>0</v>
      </c>
      <c r="B1" s="2" t="s">
        <v>1</v>
      </c>
      <c r="C1" s="2" t="s">
        <v>2</v>
      </c>
    </row>
    <row r="2" spans="1:3" ht="15">
      <c r="A2" s="3" t="s">
        <v>3</v>
      </c>
      <c r="B2" s="3">
        <v>6000</v>
      </c>
      <c r="C2" s="3">
        <v>2700</v>
      </c>
    </row>
    <row r="3" spans="1:3" ht="15">
      <c r="A3" s="3" t="s">
        <v>4</v>
      </c>
      <c r="B3" s="3">
        <v>5000</v>
      </c>
      <c r="C3" s="3">
        <v>2250</v>
      </c>
    </row>
    <row r="4" spans="1:3" ht="15">
      <c r="A4" s="3" t="s">
        <v>5</v>
      </c>
      <c r="B4" s="3">
        <v>4500</v>
      </c>
      <c r="C4" s="3">
        <v>2025</v>
      </c>
    </row>
    <row r="5" spans="1:3" ht="15">
      <c r="A5" s="3" t="s">
        <v>6</v>
      </c>
      <c r="B5" s="3">
        <v>4000</v>
      </c>
      <c r="C5" s="3">
        <v>1800</v>
      </c>
    </row>
    <row r="6" spans="1:3" ht="15">
      <c r="A6" s="3" t="s">
        <v>7</v>
      </c>
      <c r="B6" s="3">
        <v>3700</v>
      </c>
      <c r="C6" s="3">
        <v>1665</v>
      </c>
    </row>
    <row r="7" spans="1:3" ht="15">
      <c r="A7" s="3" t="s">
        <v>8</v>
      </c>
      <c r="B7" s="3">
        <v>3400</v>
      </c>
      <c r="C7" s="3">
        <v>1530</v>
      </c>
    </row>
    <row r="8" spans="1:3" ht="15">
      <c r="A8" s="3" t="s">
        <v>9</v>
      </c>
      <c r="B8" s="3">
        <v>3300</v>
      </c>
      <c r="C8" s="3">
        <v>1485</v>
      </c>
    </row>
    <row r="9" spans="1:3" ht="15">
      <c r="A9" s="3" t="s">
        <v>10</v>
      </c>
      <c r="B9" s="3">
        <v>3000</v>
      </c>
      <c r="C9" s="3">
        <v>1350</v>
      </c>
    </row>
    <row r="10" spans="1:3" ht="15">
      <c r="A10" s="3" t="s">
        <v>11</v>
      </c>
      <c r="B10" s="3">
        <v>2800</v>
      </c>
      <c r="C10" s="3">
        <v>1260</v>
      </c>
    </row>
    <row r="11" spans="1:3" ht="15">
      <c r="A11" s="3" t="s">
        <v>12</v>
      </c>
      <c r="B11" s="3">
        <v>2600</v>
      </c>
      <c r="C11" s="3">
        <v>1170</v>
      </c>
    </row>
    <row r="12" spans="1:3" ht="15">
      <c r="A12" s="3" t="s">
        <v>13</v>
      </c>
      <c r="B12" s="3">
        <v>2400</v>
      </c>
      <c r="C12" s="3">
        <v>1080</v>
      </c>
    </row>
    <row r="13" spans="1:3" ht="15">
      <c r="A13" s="3" t="s">
        <v>14</v>
      </c>
      <c r="B13" s="3">
        <v>2200</v>
      </c>
      <c r="C13" s="3">
        <v>990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"/>
  <sheetViews>
    <sheetView topLeftCell="B1" workbookViewId="0">
      <selection activeCell="H6" sqref="H6"/>
    </sheetView>
  </sheetViews>
  <sheetFormatPr defaultRowHeight="14"/>
  <cols>
    <col min="1" max="6" width="8.7265625" style="32"/>
    <col min="7" max="7" width="12.6328125" style="32" customWidth="1"/>
    <col min="8" max="8" width="6.7265625" style="32" bestFit="1" customWidth="1"/>
    <col min="9" max="10" width="12.1796875" style="32" bestFit="1" customWidth="1"/>
    <col min="11" max="11" width="9.26953125" style="32" bestFit="1" customWidth="1"/>
    <col min="12" max="16384" width="8.7265625" style="32"/>
  </cols>
  <sheetData>
    <row r="1" spans="1:11" ht="23">
      <c r="A1" s="42" t="s">
        <v>15</v>
      </c>
      <c r="B1" s="8"/>
      <c r="C1" s="8"/>
      <c r="D1" s="8"/>
      <c r="E1" s="8"/>
      <c r="F1" s="8"/>
      <c r="G1" s="8"/>
      <c r="K1" s="43">
        <v>45447</v>
      </c>
    </row>
    <row r="2" spans="1:11" ht="17.5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35" t="s">
        <v>130</v>
      </c>
      <c r="I2" s="35" t="s">
        <v>131</v>
      </c>
      <c r="J2" s="35" t="s">
        <v>132</v>
      </c>
    </row>
    <row r="3" spans="1:11" ht="15">
      <c r="A3" s="6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10</v>
      </c>
      <c r="G3" s="7">
        <v>40969</v>
      </c>
      <c r="H3" s="44">
        <f>($K$1-G3)/365</f>
        <v>12.268493150684931</v>
      </c>
      <c r="I3" s="37">
        <f>VLOOKUP(基本工资统计表!F3,级别!$A$2:$C$13,2,FALSE)</f>
        <v>3000</v>
      </c>
      <c r="J3" s="37">
        <f>2000+(INT(H3)-12)*200</f>
        <v>2000</v>
      </c>
    </row>
    <row r="4" spans="1:11" ht="15">
      <c r="A4" s="6" t="s">
        <v>28</v>
      </c>
      <c r="B4" s="5" t="s">
        <v>29</v>
      </c>
      <c r="C4" s="5" t="s">
        <v>25</v>
      </c>
      <c r="D4" s="5" t="s">
        <v>30</v>
      </c>
      <c r="E4" s="5" t="s">
        <v>31</v>
      </c>
      <c r="F4" s="5" t="s">
        <v>4</v>
      </c>
      <c r="G4" s="7">
        <v>39858</v>
      </c>
      <c r="H4" s="44">
        <f t="shared" ref="H4:H32" si="0">($K$1-G4)/365</f>
        <v>15.312328767123288</v>
      </c>
      <c r="I4" s="37">
        <f>VLOOKUP(基本工资统计表!F4,级别!$A$2:$C$13,2,FALSE)</f>
        <v>5000</v>
      </c>
      <c r="J4" s="37">
        <f t="shared" ref="J4:J32" si="1">2000+(INT(H4)-12)*200</f>
        <v>2600</v>
      </c>
    </row>
    <row r="5" spans="1:11" ht="15">
      <c r="A5" s="6" t="s">
        <v>32</v>
      </c>
      <c r="B5" s="5" t="s">
        <v>33</v>
      </c>
      <c r="C5" s="5" t="s">
        <v>34</v>
      </c>
      <c r="D5" s="5" t="s">
        <v>35</v>
      </c>
      <c r="E5" s="5" t="s">
        <v>36</v>
      </c>
      <c r="F5" s="5" t="s">
        <v>10</v>
      </c>
      <c r="G5" s="7">
        <v>40969</v>
      </c>
      <c r="H5" s="44">
        <f t="shared" si="0"/>
        <v>12.268493150684931</v>
      </c>
      <c r="I5" s="37">
        <f>VLOOKUP(基本工资统计表!F5,级别!$A$2:$C$13,2,FALSE)</f>
        <v>3000</v>
      </c>
      <c r="J5" s="37">
        <f t="shared" si="1"/>
        <v>2000</v>
      </c>
    </row>
    <row r="6" spans="1:11" ht="15">
      <c r="A6" s="6" t="s">
        <v>37</v>
      </c>
      <c r="B6" s="5" t="s">
        <v>38</v>
      </c>
      <c r="C6" s="5" t="s">
        <v>34</v>
      </c>
      <c r="D6" s="5" t="s">
        <v>35</v>
      </c>
      <c r="E6" s="5" t="s">
        <v>39</v>
      </c>
      <c r="F6" s="5" t="s">
        <v>6</v>
      </c>
      <c r="G6" s="7">
        <v>38777</v>
      </c>
      <c r="H6" s="44">
        <f t="shared" si="0"/>
        <v>18.273972602739725</v>
      </c>
      <c r="I6" s="37">
        <f>VLOOKUP(基本工资统计表!F6,级别!$A$2:$C$13,2,FALSE)</f>
        <v>4000</v>
      </c>
      <c r="J6" s="37">
        <f t="shared" si="1"/>
        <v>3200</v>
      </c>
    </row>
    <row r="7" spans="1:11" ht="15">
      <c r="A7" s="6" t="s">
        <v>40</v>
      </c>
      <c r="B7" s="5" t="s">
        <v>41</v>
      </c>
      <c r="C7" s="5" t="s">
        <v>25</v>
      </c>
      <c r="D7" s="5" t="s">
        <v>42</v>
      </c>
      <c r="E7" s="5" t="s">
        <v>36</v>
      </c>
      <c r="F7" s="5" t="s">
        <v>10</v>
      </c>
      <c r="G7" s="7">
        <v>39177</v>
      </c>
      <c r="H7" s="44">
        <f t="shared" si="0"/>
        <v>17.17808219178082</v>
      </c>
      <c r="I7" s="37">
        <f>VLOOKUP(基本工资统计表!F7,级别!$A$2:$C$13,2,FALSE)</f>
        <v>3000</v>
      </c>
      <c r="J7" s="37">
        <f t="shared" si="1"/>
        <v>3000</v>
      </c>
    </row>
    <row r="8" spans="1:11" ht="15">
      <c r="A8" s="6" t="s">
        <v>43</v>
      </c>
      <c r="B8" s="5" t="s">
        <v>44</v>
      </c>
      <c r="C8" s="5" t="s">
        <v>34</v>
      </c>
      <c r="D8" s="5" t="s">
        <v>26</v>
      </c>
      <c r="E8" s="5" t="s">
        <v>27</v>
      </c>
      <c r="F8" s="5" t="s">
        <v>10</v>
      </c>
      <c r="G8" s="7">
        <v>40282</v>
      </c>
      <c r="H8" s="44">
        <f t="shared" si="0"/>
        <v>14.150684931506849</v>
      </c>
      <c r="I8" s="37">
        <f>VLOOKUP(基本工资统计表!F8,级别!$A$2:$C$13,2,FALSE)</f>
        <v>3000</v>
      </c>
      <c r="J8" s="37">
        <f t="shared" si="1"/>
        <v>2400</v>
      </c>
    </row>
    <row r="9" spans="1:11" ht="15">
      <c r="A9" s="6" t="s">
        <v>45</v>
      </c>
      <c r="B9" s="5" t="s">
        <v>46</v>
      </c>
      <c r="C9" s="5" t="s">
        <v>25</v>
      </c>
      <c r="D9" s="5" t="s">
        <v>42</v>
      </c>
      <c r="E9" s="5" t="s">
        <v>39</v>
      </c>
      <c r="F9" s="5" t="s">
        <v>6</v>
      </c>
      <c r="G9" s="7">
        <v>39186</v>
      </c>
      <c r="H9" s="44">
        <f t="shared" si="0"/>
        <v>17.153424657534245</v>
      </c>
      <c r="I9" s="37">
        <f>VLOOKUP(基本工资统计表!F9,级别!$A$2:$C$13,2,FALSE)</f>
        <v>4000</v>
      </c>
      <c r="J9" s="37">
        <f t="shared" si="1"/>
        <v>3000</v>
      </c>
    </row>
    <row r="10" spans="1:11" ht="15">
      <c r="A10" s="6" t="s">
        <v>47</v>
      </c>
      <c r="B10" s="5" t="s">
        <v>48</v>
      </c>
      <c r="C10" s="5" t="s">
        <v>25</v>
      </c>
      <c r="D10" s="5" t="s">
        <v>49</v>
      </c>
      <c r="E10" s="5" t="s">
        <v>36</v>
      </c>
      <c r="F10" s="5" t="s">
        <v>10</v>
      </c>
      <c r="G10" s="7">
        <v>40571</v>
      </c>
      <c r="H10" s="44">
        <f t="shared" si="0"/>
        <v>13.358904109589041</v>
      </c>
      <c r="I10" s="37">
        <f>VLOOKUP(基本工资统计表!F10,级别!$A$2:$C$13,2,FALSE)</f>
        <v>3000</v>
      </c>
      <c r="J10" s="37">
        <f t="shared" si="1"/>
        <v>2200</v>
      </c>
    </row>
    <row r="11" spans="1:11" ht="15">
      <c r="A11" s="6" t="s">
        <v>50</v>
      </c>
      <c r="B11" s="5" t="s">
        <v>51</v>
      </c>
      <c r="C11" s="5" t="s">
        <v>34</v>
      </c>
      <c r="D11" s="5" t="s">
        <v>26</v>
      </c>
      <c r="E11" s="5" t="s">
        <v>39</v>
      </c>
      <c r="F11" s="5" t="s">
        <v>6</v>
      </c>
      <c r="G11" s="7">
        <v>39115</v>
      </c>
      <c r="H11" s="44">
        <f t="shared" si="0"/>
        <v>17.347945205479451</v>
      </c>
      <c r="I11" s="37">
        <f>VLOOKUP(基本工资统计表!F11,级别!$A$2:$C$13,2,FALSE)</f>
        <v>4000</v>
      </c>
      <c r="J11" s="37">
        <f t="shared" si="1"/>
        <v>3000</v>
      </c>
    </row>
    <row r="12" spans="1:11" ht="15">
      <c r="A12" s="6" t="s">
        <v>52</v>
      </c>
      <c r="B12" s="5" t="s">
        <v>53</v>
      </c>
      <c r="C12" s="5" t="s">
        <v>25</v>
      </c>
      <c r="D12" s="5" t="s">
        <v>30</v>
      </c>
      <c r="E12" s="5" t="s">
        <v>36</v>
      </c>
      <c r="F12" s="5" t="s">
        <v>10</v>
      </c>
      <c r="G12" s="7">
        <v>38036</v>
      </c>
      <c r="H12" s="44">
        <f t="shared" si="0"/>
        <v>20.304109589041097</v>
      </c>
      <c r="I12" s="37">
        <f>VLOOKUP(基本工资统计表!F12,级别!$A$2:$C$13,2,FALSE)</f>
        <v>3000</v>
      </c>
      <c r="J12" s="37">
        <f t="shared" si="1"/>
        <v>3600</v>
      </c>
    </row>
    <row r="13" spans="1:11" ht="15">
      <c r="A13" s="6" t="s">
        <v>54</v>
      </c>
      <c r="B13" s="5" t="s">
        <v>55</v>
      </c>
      <c r="C13" s="5" t="s">
        <v>25</v>
      </c>
      <c r="D13" s="5" t="s">
        <v>26</v>
      </c>
      <c r="E13" s="5" t="s">
        <v>27</v>
      </c>
      <c r="F13" s="5" t="s">
        <v>10</v>
      </c>
      <c r="G13" s="7">
        <v>40640</v>
      </c>
      <c r="H13" s="44">
        <f t="shared" si="0"/>
        <v>13.169863013698631</v>
      </c>
      <c r="I13" s="37">
        <f>VLOOKUP(基本工资统计表!F13,级别!$A$2:$C$13,2,FALSE)</f>
        <v>3000</v>
      </c>
      <c r="J13" s="37">
        <f>2000+(INT(H13)-12)*200</f>
        <v>2200</v>
      </c>
    </row>
    <row r="14" spans="1:11" ht="15">
      <c r="A14" s="6" t="s">
        <v>56</v>
      </c>
      <c r="B14" s="5" t="s">
        <v>57</v>
      </c>
      <c r="C14" s="5" t="s">
        <v>25</v>
      </c>
      <c r="D14" s="5" t="s">
        <v>35</v>
      </c>
      <c r="E14" s="5" t="s">
        <v>36</v>
      </c>
      <c r="F14" s="5" t="s">
        <v>10</v>
      </c>
      <c r="G14" s="7">
        <v>38403</v>
      </c>
      <c r="H14" s="44">
        <f t="shared" si="0"/>
        <v>19.298630136986301</v>
      </c>
      <c r="I14" s="37">
        <f>VLOOKUP(基本工资统计表!F14,级别!$A$2:$C$13,2,FALSE)</f>
        <v>3000</v>
      </c>
      <c r="J14" s="37">
        <f t="shared" si="1"/>
        <v>3400</v>
      </c>
    </row>
    <row r="15" spans="1:11" ht="15">
      <c r="A15" s="6" t="s">
        <v>58</v>
      </c>
      <c r="B15" s="5" t="s">
        <v>59</v>
      </c>
      <c r="C15" s="5" t="s">
        <v>34</v>
      </c>
      <c r="D15" s="5" t="s">
        <v>26</v>
      </c>
      <c r="E15" s="5" t="s">
        <v>27</v>
      </c>
      <c r="F15" s="5" t="s">
        <v>10</v>
      </c>
      <c r="G15" s="7">
        <v>38408</v>
      </c>
      <c r="H15" s="44">
        <f t="shared" si="0"/>
        <v>19.284931506849315</v>
      </c>
      <c r="I15" s="37">
        <f>VLOOKUP(基本工资统计表!F15,级别!$A$2:$C$13,2,FALSE)</f>
        <v>3000</v>
      </c>
      <c r="J15" s="37">
        <f t="shared" si="1"/>
        <v>3400</v>
      </c>
    </row>
    <row r="16" spans="1:11" ht="15">
      <c r="A16" s="6" t="s">
        <v>60</v>
      </c>
      <c r="B16" s="5" t="s">
        <v>61</v>
      </c>
      <c r="C16" s="5" t="s">
        <v>25</v>
      </c>
      <c r="D16" s="5" t="s">
        <v>49</v>
      </c>
      <c r="E16" s="5" t="s">
        <v>36</v>
      </c>
      <c r="F16" s="5" t="s">
        <v>10</v>
      </c>
      <c r="G16" s="7">
        <v>37677</v>
      </c>
      <c r="H16" s="44">
        <f t="shared" si="0"/>
        <v>21.287671232876711</v>
      </c>
      <c r="I16" s="37">
        <f>VLOOKUP(基本工资统计表!F16,级别!$A$2:$C$13,2,FALSE)</f>
        <v>3000</v>
      </c>
      <c r="J16" s="37">
        <f t="shared" si="1"/>
        <v>3800</v>
      </c>
    </row>
    <row r="17" spans="1:10" ht="15">
      <c r="A17" s="6" t="s">
        <v>62</v>
      </c>
      <c r="B17" s="5" t="s">
        <v>63</v>
      </c>
      <c r="C17" s="5" t="s">
        <v>34</v>
      </c>
      <c r="D17" s="5" t="s">
        <v>42</v>
      </c>
      <c r="E17" s="5" t="s">
        <v>36</v>
      </c>
      <c r="F17" s="5" t="s">
        <v>8</v>
      </c>
      <c r="G17" s="7">
        <v>38225</v>
      </c>
      <c r="H17" s="44">
        <f t="shared" si="0"/>
        <v>19.786301369863015</v>
      </c>
      <c r="I17" s="37">
        <f>VLOOKUP(基本工资统计表!F17,级别!$A$2:$C$13,2,FALSE)</f>
        <v>3400</v>
      </c>
      <c r="J17" s="37">
        <f t="shared" si="1"/>
        <v>3400</v>
      </c>
    </row>
    <row r="18" spans="1:10" ht="15">
      <c r="A18" s="6" t="s">
        <v>64</v>
      </c>
      <c r="B18" s="5" t="s">
        <v>65</v>
      </c>
      <c r="C18" s="5" t="s">
        <v>25</v>
      </c>
      <c r="D18" s="5" t="s">
        <v>26</v>
      </c>
      <c r="E18" s="5" t="s">
        <v>27</v>
      </c>
      <c r="F18" s="5" t="s">
        <v>10</v>
      </c>
      <c r="G18" s="7">
        <v>38629</v>
      </c>
      <c r="H18" s="44">
        <f t="shared" si="0"/>
        <v>18.67945205479452</v>
      </c>
      <c r="I18" s="37">
        <f>VLOOKUP(基本工资统计表!F18,级别!$A$2:$C$13,2,FALSE)</f>
        <v>3000</v>
      </c>
      <c r="J18" s="37">
        <f t="shared" si="1"/>
        <v>3200</v>
      </c>
    </row>
    <row r="19" spans="1:10" ht="15">
      <c r="A19" s="6" t="s">
        <v>66</v>
      </c>
      <c r="B19" s="5" t="s">
        <v>67</v>
      </c>
      <c r="C19" s="5" t="s">
        <v>25</v>
      </c>
      <c r="D19" s="5" t="s">
        <v>49</v>
      </c>
      <c r="E19" s="5" t="s">
        <v>36</v>
      </c>
      <c r="F19" s="5" t="s">
        <v>10</v>
      </c>
      <c r="G19" s="7">
        <v>40092</v>
      </c>
      <c r="H19" s="44">
        <f t="shared" si="0"/>
        <v>14.671232876712329</v>
      </c>
      <c r="I19" s="37">
        <f>VLOOKUP(基本工资统计表!F19,级别!$A$2:$C$13,2,FALSE)</f>
        <v>3000</v>
      </c>
      <c r="J19" s="37">
        <f t="shared" si="1"/>
        <v>2400</v>
      </c>
    </row>
    <row r="20" spans="1:10" ht="15">
      <c r="A20" s="6" t="s">
        <v>68</v>
      </c>
      <c r="B20" s="5" t="s">
        <v>69</v>
      </c>
      <c r="C20" s="5" t="s">
        <v>34</v>
      </c>
      <c r="D20" s="5" t="s">
        <v>49</v>
      </c>
      <c r="E20" s="5" t="s">
        <v>36</v>
      </c>
      <c r="F20" s="5" t="s">
        <v>10</v>
      </c>
      <c r="G20" s="7">
        <v>39487</v>
      </c>
      <c r="H20" s="44">
        <f t="shared" si="0"/>
        <v>16.328767123287673</v>
      </c>
      <c r="I20" s="37">
        <f>VLOOKUP(基本工资统计表!F20,级别!$A$2:$C$13,2,FALSE)</f>
        <v>3000</v>
      </c>
      <c r="J20" s="37">
        <f t="shared" si="1"/>
        <v>2800</v>
      </c>
    </row>
    <row r="21" spans="1:10" ht="15">
      <c r="A21" s="6" t="s">
        <v>70</v>
      </c>
      <c r="B21" s="5" t="s">
        <v>71</v>
      </c>
      <c r="C21" s="5" t="s">
        <v>34</v>
      </c>
      <c r="D21" s="5" t="s">
        <v>26</v>
      </c>
      <c r="E21" s="5" t="s">
        <v>27</v>
      </c>
      <c r="F21" s="5" t="s">
        <v>10</v>
      </c>
      <c r="G21" s="7">
        <v>40223</v>
      </c>
      <c r="H21" s="44">
        <f t="shared" si="0"/>
        <v>14.312328767123288</v>
      </c>
      <c r="I21" s="37">
        <f>VLOOKUP(基本工资统计表!F21,级别!$A$2:$C$13,2,FALSE)</f>
        <v>3000</v>
      </c>
      <c r="J21" s="37">
        <f t="shared" si="1"/>
        <v>2400</v>
      </c>
    </row>
    <row r="22" spans="1:10" ht="15">
      <c r="A22" s="6" t="s">
        <v>72</v>
      </c>
      <c r="B22" s="5" t="s">
        <v>73</v>
      </c>
      <c r="C22" s="5" t="s">
        <v>34</v>
      </c>
      <c r="D22" s="5" t="s">
        <v>42</v>
      </c>
      <c r="E22" s="5" t="s">
        <v>36</v>
      </c>
      <c r="F22" s="5" t="s">
        <v>8</v>
      </c>
      <c r="G22" s="7">
        <v>39184</v>
      </c>
      <c r="H22" s="44">
        <f t="shared" si="0"/>
        <v>17.158904109589042</v>
      </c>
      <c r="I22" s="37">
        <f>VLOOKUP(基本工资统计表!F22,级别!$A$2:$C$13,2,FALSE)</f>
        <v>3400</v>
      </c>
      <c r="J22" s="37">
        <f t="shared" si="1"/>
        <v>3000</v>
      </c>
    </row>
    <row r="23" spans="1:10" ht="15">
      <c r="A23" s="6" t="s">
        <v>74</v>
      </c>
      <c r="B23" s="5" t="s">
        <v>75</v>
      </c>
      <c r="C23" s="5" t="s">
        <v>34</v>
      </c>
      <c r="D23" s="5" t="s">
        <v>26</v>
      </c>
      <c r="E23" s="5" t="s">
        <v>27</v>
      </c>
      <c r="F23" s="5" t="s">
        <v>10</v>
      </c>
      <c r="G23" s="7">
        <v>38862</v>
      </c>
      <c r="H23" s="44">
        <f t="shared" si="0"/>
        <v>18.041095890410958</v>
      </c>
      <c r="I23" s="37">
        <f>VLOOKUP(基本工资统计表!F23,级别!$A$2:$C$13,2,FALSE)</f>
        <v>3000</v>
      </c>
      <c r="J23" s="37">
        <f t="shared" si="1"/>
        <v>3200</v>
      </c>
    </row>
    <row r="24" spans="1:10" ht="15">
      <c r="A24" s="6" t="s">
        <v>76</v>
      </c>
      <c r="B24" s="5" t="s">
        <v>77</v>
      </c>
      <c r="C24" s="5" t="s">
        <v>25</v>
      </c>
      <c r="D24" s="5" t="s">
        <v>26</v>
      </c>
      <c r="E24" s="5" t="s">
        <v>39</v>
      </c>
      <c r="F24" s="5" t="s">
        <v>6</v>
      </c>
      <c r="G24" s="7">
        <v>39608</v>
      </c>
      <c r="H24" s="44">
        <f t="shared" si="0"/>
        <v>15.997260273972604</v>
      </c>
      <c r="I24" s="37">
        <f>VLOOKUP(基本工资统计表!F24,级别!$A$2:$C$13,2,FALSE)</f>
        <v>4000</v>
      </c>
      <c r="J24" s="37">
        <f t="shared" si="1"/>
        <v>2600</v>
      </c>
    </row>
    <row r="25" spans="1:10" ht="15">
      <c r="A25" s="6" t="s">
        <v>78</v>
      </c>
      <c r="B25" s="5" t="s">
        <v>79</v>
      </c>
      <c r="C25" s="5" t="s">
        <v>34</v>
      </c>
      <c r="D25" s="5" t="s">
        <v>35</v>
      </c>
      <c r="E25" s="5" t="s">
        <v>36</v>
      </c>
      <c r="F25" s="5" t="s">
        <v>10</v>
      </c>
      <c r="G25" s="7">
        <v>38880</v>
      </c>
      <c r="H25" s="44">
        <f t="shared" si="0"/>
        <v>17.991780821917807</v>
      </c>
      <c r="I25" s="37">
        <f>VLOOKUP(基本工资统计表!F25,级别!$A$2:$C$13,2,FALSE)</f>
        <v>3000</v>
      </c>
      <c r="J25" s="37">
        <f t="shared" si="1"/>
        <v>3000</v>
      </c>
    </row>
    <row r="26" spans="1:10" ht="15">
      <c r="A26" s="6" t="s">
        <v>80</v>
      </c>
      <c r="B26" s="5" t="s">
        <v>81</v>
      </c>
      <c r="C26" s="5" t="s">
        <v>25</v>
      </c>
      <c r="D26" s="5" t="s">
        <v>30</v>
      </c>
      <c r="E26" s="5" t="s">
        <v>36</v>
      </c>
      <c r="F26" s="5" t="s">
        <v>9</v>
      </c>
      <c r="G26" s="7">
        <v>38884</v>
      </c>
      <c r="H26" s="44">
        <f t="shared" si="0"/>
        <v>17.980821917808218</v>
      </c>
      <c r="I26" s="37">
        <f>VLOOKUP(基本工资统计表!F26,级别!$A$2:$C$13,2,FALSE)</f>
        <v>3300</v>
      </c>
      <c r="J26" s="37">
        <f t="shared" si="1"/>
        <v>3000</v>
      </c>
    </row>
    <row r="27" spans="1:10" ht="15">
      <c r="A27" s="6" t="s">
        <v>82</v>
      </c>
      <c r="B27" s="5" t="s">
        <v>83</v>
      </c>
      <c r="C27" s="5" t="s">
        <v>25</v>
      </c>
      <c r="D27" s="5" t="s">
        <v>42</v>
      </c>
      <c r="E27" s="5" t="s">
        <v>84</v>
      </c>
      <c r="F27" s="5" t="s">
        <v>7</v>
      </c>
      <c r="G27" s="7">
        <v>37799</v>
      </c>
      <c r="H27" s="44">
        <f t="shared" si="0"/>
        <v>20.953424657534246</v>
      </c>
      <c r="I27" s="37">
        <f>VLOOKUP(基本工资统计表!F27,级别!$A$2:$C$13,2,FALSE)</f>
        <v>3700</v>
      </c>
      <c r="J27" s="37">
        <f t="shared" si="1"/>
        <v>3600</v>
      </c>
    </row>
    <row r="28" spans="1:10" ht="15">
      <c r="A28" s="6" t="s">
        <v>85</v>
      </c>
      <c r="B28" s="5" t="s">
        <v>86</v>
      </c>
      <c r="C28" s="5" t="s">
        <v>25</v>
      </c>
      <c r="D28" s="5" t="s">
        <v>26</v>
      </c>
      <c r="E28" s="5" t="s">
        <v>27</v>
      </c>
      <c r="F28" s="5" t="s">
        <v>10</v>
      </c>
      <c r="G28" s="7">
        <v>40731</v>
      </c>
      <c r="H28" s="44">
        <f t="shared" si="0"/>
        <v>12.920547945205479</v>
      </c>
      <c r="I28" s="37">
        <f>VLOOKUP(基本工资统计表!F28,级别!$A$2:$C$13,2,FALSE)</f>
        <v>3000</v>
      </c>
      <c r="J28" s="37">
        <f t="shared" si="1"/>
        <v>2000</v>
      </c>
    </row>
    <row r="29" spans="1:10" ht="15">
      <c r="A29" s="6" t="s">
        <v>87</v>
      </c>
      <c r="B29" s="5" t="s">
        <v>88</v>
      </c>
      <c r="C29" s="5" t="s">
        <v>25</v>
      </c>
      <c r="D29" s="5" t="s">
        <v>42</v>
      </c>
      <c r="E29" s="5" t="s">
        <v>36</v>
      </c>
      <c r="F29" s="5" t="s">
        <v>10</v>
      </c>
      <c r="G29" s="7">
        <v>38181</v>
      </c>
      <c r="H29" s="44">
        <f t="shared" si="0"/>
        <v>19.906849315068492</v>
      </c>
      <c r="I29" s="37">
        <f>VLOOKUP(基本工资统计表!F29,级别!$A$2:$C$13,2,FALSE)</f>
        <v>3000</v>
      </c>
      <c r="J29" s="37">
        <f t="shared" si="1"/>
        <v>3400</v>
      </c>
    </row>
    <row r="30" spans="1:10" ht="15">
      <c r="A30" s="6" t="s">
        <v>89</v>
      </c>
      <c r="B30" s="5" t="s">
        <v>90</v>
      </c>
      <c r="C30" s="5" t="s">
        <v>34</v>
      </c>
      <c r="D30" s="5" t="s">
        <v>49</v>
      </c>
      <c r="E30" s="5" t="s">
        <v>36</v>
      </c>
      <c r="F30" s="5" t="s">
        <v>10</v>
      </c>
      <c r="G30" s="7">
        <v>39648</v>
      </c>
      <c r="H30" s="44">
        <f t="shared" si="0"/>
        <v>15.887671232876713</v>
      </c>
      <c r="I30" s="37">
        <f>VLOOKUP(基本工资统计表!F30,级别!$A$2:$C$13,2,FALSE)</f>
        <v>3000</v>
      </c>
      <c r="J30" s="37">
        <f t="shared" si="1"/>
        <v>2600</v>
      </c>
    </row>
    <row r="31" spans="1:10" ht="15">
      <c r="A31" s="6" t="s">
        <v>91</v>
      </c>
      <c r="B31" s="5" t="s">
        <v>92</v>
      </c>
      <c r="C31" s="5" t="s">
        <v>25</v>
      </c>
      <c r="D31" s="5" t="s">
        <v>26</v>
      </c>
      <c r="E31" s="5" t="s">
        <v>27</v>
      </c>
      <c r="F31" s="5" t="s">
        <v>10</v>
      </c>
      <c r="G31" s="7">
        <v>40759</v>
      </c>
      <c r="H31" s="44">
        <f t="shared" si="0"/>
        <v>12.843835616438357</v>
      </c>
      <c r="I31" s="37">
        <f>VLOOKUP(基本工资统计表!F31,级别!$A$2:$C$13,2,FALSE)</f>
        <v>3000</v>
      </c>
      <c r="J31" s="37">
        <f t="shared" si="1"/>
        <v>2000</v>
      </c>
    </row>
    <row r="32" spans="1:10" ht="15">
      <c r="A32" s="6" t="s">
        <v>93</v>
      </c>
      <c r="B32" s="5" t="s">
        <v>94</v>
      </c>
      <c r="C32" s="5" t="s">
        <v>25</v>
      </c>
      <c r="D32" s="5" t="s">
        <v>49</v>
      </c>
      <c r="E32" s="5" t="s">
        <v>39</v>
      </c>
      <c r="F32" s="5" t="s">
        <v>6</v>
      </c>
      <c r="G32" s="7">
        <v>40029</v>
      </c>
      <c r="H32" s="44">
        <f t="shared" si="0"/>
        <v>14.843835616438357</v>
      </c>
      <c r="I32" s="37">
        <f>VLOOKUP(基本工资统计表!F32,级别!$A$2:$C$13,2,FALSE)</f>
        <v>4000</v>
      </c>
      <c r="J32" s="37">
        <f t="shared" si="1"/>
        <v>2400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H19"/>
  <sheetViews>
    <sheetView workbookViewId="0">
      <selection sqref="A1:XFD1048576"/>
    </sheetView>
  </sheetViews>
  <sheetFormatPr defaultRowHeight="14"/>
  <cols>
    <col min="1" max="4" width="8.7265625" style="32"/>
    <col min="5" max="5" width="10.54296875" style="32" bestFit="1" customWidth="1"/>
    <col min="6" max="6" width="12.36328125" style="32" bestFit="1" customWidth="1"/>
    <col min="7" max="7" width="8.7265625" style="32"/>
    <col min="8" max="8" width="21.81640625" style="32" bestFit="1" customWidth="1"/>
    <col min="9" max="16384" width="8.7265625" style="32"/>
  </cols>
  <sheetData>
    <row r="1" spans="2:8" ht="23">
      <c r="B1" s="28" t="s">
        <v>95</v>
      </c>
      <c r="C1" s="28"/>
      <c r="D1" s="28"/>
      <c r="E1" s="28"/>
      <c r="F1" s="28"/>
      <c r="G1" s="28"/>
      <c r="H1" s="28"/>
    </row>
    <row r="2" spans="2:8" ht="15">
      <c r="B2" s="9" t="s">
        <v>16</v>
      </c>
      <c r="C2" s="9" t="s">
        <v>17</v>
      </c>
      <c r="D2" s="9" t="s">
        <v>96</v>
      </c>
      <c r="E2" s="9" t="s">
        <v>97</v>
      </c>
      <c r="F2" s="10" t="s">
        <v>98</v>
      </c>
      <c r="G2" s="10" t="s">
        <v>99</v>
      </c>
      <c r="H2" s="11" t="s">
        <v>100</v>
      </c>
    </row>
    <row r="3" spans="2:8" ht="15">
      <c r="B3" s="12" t="s">
        <v>23</v>
      </c>
      <c r="C3" s="13" t="s">
        <v>24</v>
      </c>
      <c r="D3" s="13" t="s">
        <v>26</v>
      </c>
      <c r="E3" s="14">
        <v>280000</v>
      </c>
      <c r="F3" s="14">
        <v>22400</v>
      </c>
      <c r="G3" s="14"/>
      <c r="H3" s="14" t="s">
        <v>101</v>
      </c>
    </row>
    <row r="4" spans="2:8" ht="15">
      <c r="B4" s="12" t="s">
        <v>43</v>
      </c>
      <c r="C4" s="13" t="s">
        <v>29</v>
      </c>
      <c r="D4" s="13" t="s">
        <v>30</v>
      </c>
      <c r="E4" s="14">
        <v>56000</v>
      </c>
      <c r="F4" s="14">
        <v>4480</v>
      </c>
      <c r="G4" s="14">
        <v>100</v>
      </c>
      <c r="H4" s="15" t="s">
        <v>102</v>
      </c>
    </row>
    <row r="5" spans="2:8" ht="15">
      <c r="B5" s="12" t="s">
        <v>50</v>
      </c>
      <c r="C5" s="13" t="s">
        <v>33</v>
      </c>
      <c r="D5" s="13" t="s">
        <v>35</v>
      </c>
      <c r="E5" s="14">
        <v>48500</v>
      </c>
      <c r="F5" s="14">
        <v>2425</v>
      </c>
      <c r="G5" s="14"/>
      <c r="H5" s="14" t="s">
        <v>101</v>
      </c>
    </row>
    <row r="6" spans="2:8" ht="15">
      <c r="B6" s="12" t="s">
        <v>54</v>
      </c>
      <c r="C6" s="13" t="s">
        <v>38</v>
      </c>
      <c r="D6" s="13" t="s">
        <v>35</v>
      </c>
      <c r="E6" s="14">
        <v>45690</v>
      </c>
      <c r="F6" s="14">
        <v>2284.5</v>
      </c>
      <c r="G6" s="14"/>
      <c r="H6" s="14" t="s">
        <v>101</v>
      </c>
    </row>
    <row r="7" spans="2:8" ht="15">
      <c r="B7" s="12" t="s">
        <v>58</v>
      </c>
      <c r="C7" s="13" t="s">
        <v>41</v>
      </c>
      <c r="D7" s="13" t="s">
        <v>42</v>
      </c>
      <c r="E7" s="14">
        <v>37000</v>
      </c>
      <c r="F7" s="14">
        <v>1850</v>
      </c>
      <c r="G7" s="14"/>
      <c r="H7" s="14" t="s">
        <v>101</v>
      </c>
    </row>
    <row r="8" spans="2:8" ht="15">
      <c r="B8" s="12" t="s">
        <v>64</v>
      </c>
      <c r="C8" s="13" t="s">
        <v>44</v>
      </c>
      <c r="D8" s="13" t="s">
        <v>26</v>
      </c>
      <c r="E8" s="14">
        <v>17000</v>
      </c>
      <c r="F8" s="14">
        <v>510</v>
      </c>
      <c r="G8" s="14"/>
      <c r="H8" s="14" t="s">
        <v>101</v>
      </c>
    </row>
    <row r="9" spans="2:8" ht="15">
      <c r="B9" s="12" t="s">
        <v>70</v>
      </c>
      <c r="C9" s="13" t="s">
        <v>46</v>
      </c>
      <c r="D9" s="13" t="s">
        <v>42</v>
      </c>
      <c r="E9" s="14">
        <v>125400</v>
      </c>
      <c r="F9" s="14">
        <v>10032</v>
      </c>
      <c r="G9" s="14"/>
      <c r="H9" s="14" t="s">
        <v>101</v>
      </c>
    </row>
    <row r="10" spans="2:8" ht="15">
      <c r="B10" s="12" t="s">
        <v>74</v>
      </c>
      <c r="C10" s="13" t="s">
        <v>48</v>
      </c>
      <c r="D10" s="13" t="s">
        <v>49</v>
      </c>
      <c r="E10" s="14">
        <v>438520</v>
      </c>
      <c r="F10" s="14">
        <v>35081.599999999999</v>
      </c>
      <c r="G10" s="14"/>
      <c r="H10" s="14" t="s">
        <v>101</v>
      </c>
    </row>
    <row r="11" spans="2:8" ht="15">
      <c r="B11" s="12" t="s">
        <v>76</v>
      </c>
      <c r="C11" s="13" t="s">
        <v>51</v>
      </c>
      <c r="D11" s="13" t="s">
        <v>26</v>
      </c>
      <c r="E11" s="14">
        <v>328000</v>
      </c>
      <c r="F11" s="14">
        <v>26240</v>
      </c>
      <c r="G11" s="14"/>
      <c r="H11" s="14" t="s">
        <v>101</v>
      </c>
    </row>
    <row r="12" spans="2:8" ht="15">
      <c r="B12" s="12" t="s">
        <v>85</v>
      </c>
      <c r="C12" s="13" t="s">
        <v>53</v>
      </c>
      <c r="D12" s="13" t="s">
        <v>30</v>
      </c>
      <c r="E12" s="14">
        <v>204560</v>
      </c>
      <c r="F12" s="14">
        <v>16364.8</v>
      </c>
      <c r="G12" s="14"/>
      <c r="H12" s="14" t="s">
        <v>101</v>
      </c>
    </row>
    <row r="13" spans="2:8" ht="15">
      <c r="B13" s="12" t="s">
        <v>91</v>
      </c>
      <c r="C13" s="13" t="s">
        <v>55</v>
      </c>
      <c r="D13" s="13" t="s">
        <v>26</v>
      </c>
      <c r="E13" s="14">
        <v>12000</v>
      </c>
      <c r="F13" s="14">
        <v>360</v>
      </c>
      <c r="G13" s="14"/>
      <c r="H13" s="14" t="s">
        <v>101</v>
      </c>
    </row>
    <row r="14" spans="2:8" ht="15">
      <c r="B14" s="12" t="s">
        <v>72</v>
      </c>
      <c r="C14" s="13" t="s">
        <v>57</v>
      </c>
      <c r="D14" s="13" t="s">
        <v>35</v>
      </c>
      <c r="E14" s="14"/>
      <c r="F14" s="14"/>
      <c r="G14" s="14">
        <v>180</v>
      </c>
      <c r="H14" s="15" t="s">
        <v>103</v>
      </c>
    </row>
    <row r="15" spans="2:8" ht="15">
      <c r="B15" s="12" t="s">
        <v>82</v>
      </c>
      <c r="C15" s="13" t="s">
        <v>59</v>
      </c>
      <c r="D15" s="13" t="s">
        <v>26</v>
      </c>
      <c r="E15" s="14"/>
      <c r="F15" s="14">
        <v>500</v>
      </c>
      <c r="G15" s="14"/>
      <c r="H15" s="14" t="s">
        <v>104</v>
      </c>
    </row>
    <row r="16" spans="2:8" ht="15">
      <c r="B16" s="12" t="s">
        <v>56</v>
      </c>
      <c r="C16" s="13" t="s">
        <v>61</v>
      </c>
      <c r="D16" s="13" t="s">
        <v>49</v>
      </c>
      <c r="E16" s="14"/>
      <c r="F16" s="14">
        <v>1000</v>
      </c>
      <c r="G16" s="14"/>
      <c r="H16" s="14" t="s">
        <v>105</v>
      </c>
    </row>
    <row r="17" spans="2:8" ht="15">
      <c r="B17" s="12" t="s">
        <v>52</v>
      </c>
      <c r="C17" s="13" t="s">
        <v>63</v>
      </c>
      <c r="D17" s="13" t="s">
        <v>42</v>
      </c>
      <c r="E17" s="14"/>
      <c r="F17" s="14">
        <v>200</v>
      </c>
      <c r="G17" s="14"/>
      <c r="H17" s="14" t="s">
        <v>106</v>
      </c>
    </row>
    <row r="18" spans="2:8" ht="15">
      <c r="B18" s="12" t="s">
        <v>37</v>
      </c>
      <c r="C18" s="13" t="s">
        <v>65</v>
      </c>
      <c r="D18" s="13" t="s">
        <v>26</v>
      </c>
      <c r="E18" s="14"/>
      <c r="F18" s="14"/>
      <c r="G18" s="14">
        <v>200</v>
      </c>
      <c r="H18" s="15" t="s">
        <v>107</v>
      </c>
    </row>
    <row r="19" spans="2:8" ht="15">
      <c r="B19" s="12" t="s">
        <v>89</v>
      </c>
      <c r="C19" s="13" t="s">
        <v>67</v>
      </c>
      <c r="D19" s="13" t="s">
        <v>49</v>
      </c>
      <c r="E19" s="14"/>
      <c r="F19" s="14"/>
      <c r="G19" s="14">
        <v>120</v>
      </c>
      <c r="H19" s="15" t="s">
        <v>103</v>
      </c>
    </row>
  </sheetData>
  <mergeCells count="1">
    <mergeCell ref="B1:H1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33"/>
  <sheetViews>
    <sheetView workbookViewId="0">
      <selection sqref="A1:XFD1048576"/>
    </sheetView>
  </sheetViews>
  <sheetFormatPr defaultRowHeight="14"/>
  <cols>
    <col min="1" max="13" width="8.7265625" style="32"/>
    <col min="14" max="14" width="9.90625" style="32" customWidth="1"/>
    <col min="15" max="16384" width="8.7265625" style="32"/>
  </cols>
  <sheetData>
    <row r="1" spans="1:16" s="32" customFormat="1" ht="49.5" customHeight="1">
      <c r="A1" s="16"/>
      <c r="B1" s="29" t="s">
        <v>108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8" t="s">
        <v>135</v>
      </c>
      <c r="O1" s="39"/>
      <c r="P1" s="40"/>
    </row>
    <row r="2" spans="1:16" s="32" customFormat="1" ht="30" customHeight="1">
      <c r="A2" s="30" t="s">
        <v>16</v>
      </c>
      <c r="B2" s="30" t="s">
        <v>17</v>
      </c>
      <c r="C2" s="30" t="s">
        <v>18</v>
      </c>
      <c r="D2" s="30" t="s">
        <v>19</v>
      </c>
      <c r="E2" s="17" t="s">
        <v>109</v>
      </c>
      <c r="F2" s="17" t="s">
        <v>110</v>
      </c>
      <c r="G2" s="18" t="s">
        <v>111</v>
      </c>
      <c r="H2" s="18" t="s">
        <v>112</v>
      </c>
      <c r="I2" s="18" t="s">
        <v>113</v>
      </c>
      <c r="J2" s="18" t="s">
        <v>114</v>
      </c>
      <c r="K2" s="18" t="s">
        <v>115</v>
      </c>
      <c r="L2" s="18" t="s">
        <v>116</v>
      </c>
      <c r="M2" s="18" t="s">
        <v>117</v>
      </c>
      <c r="N2" s="41" t="s">
        <v>157</v>
      </c>
      <c r="O2" s="30" t="s">
        <v>133</v>
      </c>
      <c r="P2" s="30" t="s">
        <v>134</v>
      </c>
    </row>
    <row r="3" spans="1:16" s="32" customFormat="1" ht="15">
      <c r="A3" s="30"/>
      <c r="B3" s="30"/>
      <c r="C3" s="30"/>
      <c r="D3" s="30"/>
      <c r="E3" s="19" t="s">
        <v>118</v>
      </c>
      <c r="F3" s="19" t="s">
        <v>119</v>
      </c>
      <c r="G3" s="19" t="s">
        <v>120</v>
      </c>
      <c r="H3" s="19" t="s">
        <v>121</v>
      </c>
      <c r="I3" s="19" t="s">
        <v>122</v>
      </c>
      <c r="J3" s="19" t="s">
        <v>123</v>
      </c>
      <c r="K3" s="19" t="s">
        <v>124</v>
      </c>
      <c r="L3" s="19" t="s">
        <v>125</v>
      </c>
      <c r="M3" s="19" t="s">
        <v>126</v>
      </c>
      <c r="N3" s="30"/>
      <c r="O3" s="30"/>
      <c r="P3" s="30"/>
    </row>
    <row r="4" spans="1:16" s="32" customFormat="1" ht="15" customHeight="1">
      <c r="A4" s="21" t="s">
        <v>23</v>
      </c>
      <c r="B4" s="20" t="s">
        <v>24</v>
      </c>
      <c r="C4" s="20" t="s">
        <v>25</v>
      </c>
      <c r="D4" s="20" t="s">
        <v>26</v>
      </c>
      <c r="E4" s="22">
        <v>17</v>
      </c>
      <c r="F4" s="22">
        <v>1</v>
      </c>
      <c r="G4" s="22">
        <v>0</v>
      </c>
      <c r="H4" s="22">
        <v>1</v>
      </c>
      <c r="I4" s="22">
        <v>0</v>
      </c>
      <c r="J4" s="22">
        <v>0</v>
      </c>
      <c r="K4" s="22">
        <v>0</v>
      </c>
      <c r="L4" s="22">
        <v>0</v>
      </c>
      <c r="M4" s="22">
        <v>2</v>
      </c>
      <c r="N4" s="37">
        <f>E4+M4</f>
        <v>19</v>
      </c>
      <c r="O4" s="37">
        <f>IF(N4=21,500,0)</f>
        <v>0</v>
      </c>
      <c r="P4" s="37">
        <f>F4*100+G4*200+H4*100+I4*300</f>
        <v>200</v>
      </c>
    </row>
    <row r="5" spans="1:16" s="32" customFormat="1" ht="15" customHeight="1">
      <c r="A5" s="21" t="s">
        <v>28</v>
      </c>
      <c r="B5" s="20" t="s">
        <v>29</v>
      </c>
      <c r="C5" s="20" t="s">
        <v>25</v>
      </c>
      <c r="D5" s="20" t="s">
        <v>30</v>
      </c>
      <c r="E5" s="22">
        <v>21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37">
        <f t="shared" ref="N5:N33" si="0">E5+M5</f>
        <v>21</v>
      </c>
      <c r="O5" s="37">
        <f t="shared" ref="O5:O33" si="1">IF(N5=21,500,0)</f>
        <v>500</v>
      </c>
      <c r="P5" s="37">
        <f t="shared" ref="P5:P33" si="2">F5*100+G5*200+H5*100+I5*300</f>
        <v>0</v>
      </c>
    </row>
    <row r="6" spans="1:16" s="32" customFormat="1" ht="15">
      <c r="A6" s="21" t="s">
        <v>32</v>
      </c>
      <c r="B6" s="20" t="s">
        <v>33</v>
      </c>
      <c r="C6" s="20" t="s">
        <v>34</v>
      </c>
      <c r="D6" s="20" t="s">
        <v>35</v>
      </c>
      <c r="E6" s="22">
        <v>20</v>
      </c>
      <c r="F6" s="22">
        <v>0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37">
        <f t="shared" si="0"/>
        <v>20</v>
      </c>
      <c r="O6" s="37">
        <f t="shared" si="1"/>
        <v>0</v>
      </c>
      <c r="P6" s="37">
        <f t="shared" si="2"/>
        <v>200</v>
      </c>
    </row>
    <row r="7" spans="1:16" s="32" customFormat="1" ht="15">
      <c r="A7" s="21" t="s">
        <v>37</v>
      </c>
      <c r="B7" s="20" t="s">
        <v>38</v>
      </c>
      <c r="C7" s="20" t="s">
        <v>34</v>
      </c>
      <c r="D7" s="20" t="s">
        <v>35</v>
      </c>
      <c r="E7" s="22">
        <v>15</v>
      </c>
      <c r="F7" s="22">
        <v>0</v>
      </c>
      <c r="G7" s="22">
        <v>0</v>
      </c>
      <c r="H7" s="22">
        <v>1</v>
      </c>
      <c r="I7" s="22">
        <v>0</v>
      </c>
      <c r="J7" s="22">
        <v>0</v>
      </c>
      <c r="K7" s="22">
        <v>0</v>
      </c>
      <c r="L7" s="22">
        <v>5</v>
      </c>
      <c r="M7" s="22">
        <v>0</v>
      </c>
      <c r="N7" s="37">
        <f t="shared" si="0"/>
        <v>15</v>
      </c>
      <c r="O7" s="37">
        <f t="shared" si="1"/>
        <v>0</v>
      </c>
      <c r="P7" s="37">
        <f t="shared" si="2"/>
        <v>100</v>
      </c>
    </row>
    <row r="8" spans="1:16" s="32" customFormat="1" ht="15">
      <c r="A8" s="21" t="s">
        <v>40</v>
      </c>
      <c r="B8" s="20" t="s">
        <v>41</v>
      </c>
      <c r="C8" s="20" t="s">
        <v>25</v>
      </c>
      <c r="D8" s="20" t="s">
        <v>42</v>
      </c>
      <c r="E8" s="22">
        <v>16</v>
      </c>
      <c r="F8" s="22">
        <v>0</v>
      </c>
      <c r="G8" s="22">
        <v>3</v>
      </c>
      <c r="H8" s="22">
        <v>0</v>
      </c>
      <c r="I8" s="22">
        <v>0</v>
      </c>
      <c r="J8" s="22">
        <v>2</v>
      </c>
      <c r="K8" s="22">
        <v>0</v>
      </c>
      <c r="L8" s="22">
        <v>0</v>
      </c>
      <c r="M8" s="22">
        <v>0</v>
      </c>
      <c r="N8" s="37">
        <f t="shared" si="0"/>
        <v>16</v>
      </c>
      <c r="O8" s="37">
        <f t="shared" si="1"/>
        <v>0</v>
      </c>
      <c r="P8" s="37">
        <f t="shared" si="2"/>
        <v>600</v>
      </c>
    </row>
    <row r="9" spans="1:16" s="32" customFormat="1" ht="15">
      <c r="A9" s="21" t="s">
        <v>43</v>
      </c>
      <c r="B9" s="20" t="s">
        <v>44</v>
      </c>
      <c r="C9" s="20" t="s">
        <v>34</v>
      </c>
      <c r="D9" s="20" t="s">
        <v>26</v>
      </c>
      <c r="E9" s="22">
        <v>19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2</v>
      </c>
      <c r="N9" s="37">
        <f t="shared" si="0"/>
        <v>21</v>
      </c>
      <c r="O9" s="37">
        <f t="shared" si="1"/>
        <v>500</v>
      </c>
      <c r="P9" s="37">
        <f t="shared" si="2"/>
        <v>0</v>
      </c>
    </row>
    <row r="10" spans="1:16" s="32" customFormat="1" ht="15">
      <c r="A10" s="21" t="s">
        <v>45</v>
      </c>
      <c r="B10" s="20" t="s">
        <v>46</v>
      </c>
      <c r="C10" s="20" t="s">
        <v>25</v>
      </c>
      <c r="D10" s="20" t="s">
        <v>42</v>
      </c>
      <c r="E10" s="22">
        <v>19</v>
      </c>
      <c r="F10" s="22">
        <v>0</v>
      </c>
      <c r="G10" s="22">
        <v>1</v>
      </c>
      <c r="H10" s="22">
        <v>0</v>
      </c>
      <c r="I10" s="22">
        <v>1</v>
      </c>
      <c r="J10" s="22">
        <v>0</v>
      </c>
      <c r="K10" s="22">
        <v>0</v>
      </c>
      <c r="L10" s="22">
        <v>0</v>
      </c>
      <c r="M10" s="22">
        <v>0</v>
      </c>
      <c r="N10" s="37">
        <f t="shared" si="0"/>
        <v>19</v>
      </c>
      <c r="O10" s="37">
        <f t="shared" si="1"/>
        <v>0</v>
      </c>
      <c r="P10" s="37">
        <f t="shared" si="2"/>
        <v>500</v>
      </c>
    </row>
    <row r="11" spans="1:16" s="32" customFormat="1" ht="15">
      <c r="A11" s="21" t="s">
        <v>47</v>
      </c>
      <c r="B11" s="20" t="s">
        <v>48</v>
      </c>
      <c r="C11" s="20" t="s">
        <v>25</v>
      </c>
      <c r="D11" s="20" t="s">
        <v>49</v>
      </c>
      <c r="E11" s="22">
        <v>20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37">
        <f t="shared" si="0"/>
        <v>20</v>
      </c>
      <c r="O11" s="37">
        <f t="shared" si="1"/>
        <v>0</v>
      </c>
      <c r="P11" s="37">
        <f t="shared" si="2"/>
        <v>200</v>
      </c>
    </row>
    <row r="12" spans="1:16" s="32" customFormat="1" ht="15">
      <c r="A12" s="21" t="s">
        <v>50</v>
      </c>
      <c r="B12" s="20" t="s">
        <v>51</v>
      </c>
      <c r="C12" s="20" t="s">
        <v>34</v>
      </c>
      <c r="D12" s="20" t="s">
        <v>26</v>
      </c>
      <c r="E12" s="22">
        <v>20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  <c r="N12" s="37">
        <f t="shared" si="0"/>
        <v>21</v>
      </c>
      <c r="O12" s="37">
        <f t="shared" si="1"/>
        <v>500</v>
      </c>
      <c r="P12" s="37">
        <f t="shared" si="2"/>
        <v>0</v>
      </c>
    </row>
    <row r="13" spans="1:16" s="32" customFormat="1" ht="15">
      <c r="A13" s="21" t="s">
        <v>52</v>
      </c>
      <c r="B13" s="20" t="s">
        <v>53</v>
      </c>
      <c r="C13" s="20" t="s">
        <v>25</v>
      </c>
      <c r="D13" s="20" t="s">
        <v>30</v>
      </c>
      <c r="E13" s="22">
        <v>19</v>
      </c>
      <c r="F13" s="22">
        <v>1</v>
      </c>
      <c r="G13" s="22">
        <v>0</v>
      </c>
      <c r="H13" s="22">
        <v>0</v>
      </c>
      <c r="I13" s="22">
        <v>1</v>
      </c>
      <c r="J13" s="22">
        <v>0</v>
      </c>
      <c r="K13" s="22">
        <v>0</v>
      </c>
      <c r="L13" s="22">
        <v>0</v>
      </c>
      <c r="M13" s="22">
        <v>0</v>
      </c>
      <c r="N13" s="37">
        <f t="shared" si="0"/>
        <v>19</v>
      </c>
      <c r="O13" s="37">
        <f t="shared" si="1"/>
        <v>0</v>
      </c>
      <c r="P13" s="37">
        <f t="shared" si="2"/>
        <v>400</v>
      </c>
    </row>
    <row r="14" spans="1:16" s="32" customFormat="1" ht="15">
      <c r="A14" s="21" t="s">
        <v>54</v>
      </c>
      <c r="B14" s="20" t="s">
        <v>55</v>
      </c>
      <c r="C14" s="20" t="s">
        <v>25</v>
      </c>
      <c r="D14" s="20" t="s">
        <v>26</v>
      </c>
      <c r="E14" s="22">
        <v>16</v>
      </c>
      <c r="F14" s="22">
        <v>0</v>
      </c>
      <c r="G14" s="22">
        <v>3</v>
      </c>
      <c r="H14" s="22">
        <v>2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37">
        <f t="shared" si="0"/>
        <v>16</v>
      </c>
      <c r="O14" s="37">
        <f t="shared" si="1"/>
        <v>0</v>
      </c>
      <c r="P14" s="37">
        <f t="shared" si="2"/>
        <v>800</v>
      </c>
    </row>
    <row r="15" spans="1:16" s="32" customFormat="1" ht="15">
      <c r="A15" s="21" t="s">
        <v>56</v>
      </c>
      <c r="B15" s="20" t="s">
        <v>57</v>
      </c>
      <c r="C15" s="20" t="s">
        <v>25</v>
      </c>
      <c r="D15" s="20" t="s">
        <v>35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21</v>
      </c>
      <c r="L15" s="22">
        <v>0</v>
      </c>
      <c r="M15" s="22">
        <v>0</v>
      </c>
      <c r="N15" s="37">
        <f t="shared" si="0"/>
        <v>0</v>
      </c>
      <c r="O15" s="37">
        <f t="shared" si="1"/>
        <v>0</v>
      </c>
      <c r="P15" s="37">
        <f t="shared" si="2"/>
        <v>0</v>
      </c>
    </row>
    <row r="16" spans="1:16" s="32" customFormat="1" ht="15">
      <c r="A16" s="21" t="s">
        <v>58</v>
      </c>
      <c r="B16" s="20" t="s">
        <v>59</v>
      </c>
      <c r="C16" s="20" t="s">
        <v>34</v>
      </c>
      <c r="D16" s="20" t="s">
        <v>26</v>
      </c>
      <c r="E16" s="22">
        <v>20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37">
        <f t="shared" si="0"/>
        <v>20</v>
      </c>
      <c r="O16" s="37">
        <f t="shared" si="1"/>
        <v>0</v>
      </c>
      <c r="P16" s="37">
        <f t="shared" si="2"/>
        <v>100</v>
      </c>
    </row>
    <row r="17" spans="1:16" s="32" customFormat="1" ht="15">
      <c r="A17" s="21" t="s">
        <v>60</v>
      </c>
      <c r="B17" s="20" t="s">
        <v>61</v>
      </c>
      <c r="C17" s="20" t="s">
        <v>25</v>
      </c>
      <c r="D17" s="20" t="s">
        <v>49</v>
      </c>
      <c r="E17" s="22">
        <v>19</v>
      </c>
      <c r="F17" s="22">
        <v>1</v>
      </c>
      <c r="G17" s="22">
        <v>0</v>
      </c>
      <c r="H17" s="22">
        <v>1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37">
        <f t="shared" si="0"/>
        <v>19</v>
      </c>
      <c r="O17" s="37">
        <f t="shared" si="1"/>
        <v>0</v>
      </c>
      <c r="P17" s="37">
        <f t="shared" si="2"/>
        <v>200</v>
      </c>
    </row>
    <row r="18" spans="1:16" s="32" customFormat="1" ht="15">
      <c r="A18" s="21" t="s">
        <v>62</v>
      </c>
      <c r="B18" s="20" t="s">
        <v>63</v>
      </c>
      <c r="C18" s="20" t="s">
        <v>34</v>
      </c>
      <c r="D18" s="20" t="s">
        <v>42</v>
      </c>
      <c r="E18" s="22">
        <v>20</v>
      </c>
      <c r="F18" s="22">
        <v>0</v>
      </c>
      <c r="G18" s="22">
        <v>1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37">
        <f t="shared" si="0"/>
        <v>20</v>
      </c>
      <c r="O18" s="37">
        <f t="shared" si="1"/>
        <v>0</v>
      </c>
      <c r="P18" s="37">
        <f t="shared" si="2"/>
        <v>200</v>
      </c>
    </row>
    <row r="19" spans="1:16" s="32" customFormat="1" ht="15">
      <c r="A19" s="21" t="s">
        <v>64</v>
      </c>
      <c r="B19" s="20" t="s">
        <v>65</v>
      </c>
      <c r="C19" s="20" t="s">
        <v>25</v>
      </c>
      <c r="D19" s="20" t="s">
        <v>26</v>
      </c>
      <c r="E19" s="22">
        <v>17</v>
      </c>
      <c r="F19" s="22">
        <v>0</v>
      </c>
      <c r="G19" s="22">
        <v>2</v>
      </c>
      <c r="H19" s="22">
        <v>2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37">
        <f t="shared" si="0"/>
        <v>17</v>
      </c>
      <c r="O19" s="37">
        <f t="shared" si="1"/>
        <v>0</v>
      </c>
      <c r="P19" s="37">
        <f t="shared" si="2"/>
        <v>600</v>
      </c>
    </row>
    <row r="20" spans="1:16" s="32" customFormat="1" ht="15">
      <c r="A20" s="21" t="s">
        <v>66</v>
      </c>
      <c r="B20" s="20" t="s">
        <v>67</v>
      </c>
      <c r="C20" s="20" t="s">
        <v>25</v>
      </c>
      <c r="D20" s="20" t="s">
        <v>49</v>
      </c>
      <c r="E20" s="22">
        <v>17</v>
      </c>
      <c r="F20" s="22">
        <v>0</v>
      </c>
      <c r="G20" s="22">
        <v>3</v>
      </c>
      <c r="H20" s="22">
        <v>0</v>
      </c>
      <c r="I20" s="22">
        <v>1</v>
      </c>
      <c r="J20" s="22">
        <v>0</v>
      </c>
      <c r="K20" s="22">
        <v>0</v>
      </c>
      <c r="L20" s="22">
        <v>0</v>
      </c>
      <c r="M20" s="22">
        <v>0</v>
      </c>
      <c r="N20" s="37">
        <f t="shared" si="0"/>
        <v>17</v>
      </c>
      <c r="O20" s="37">
        <f t="shared" si="1"/>
        <v>0</v>
      </c>
      <c r="P20" s="37">
        <f t="shared" si="2"/>
        <v>900</v>
      </c>
    </row>
    <row r="21" spans="1:16" s="32" customFormat="1" ht="15">
      <c r="A21" s="21" t="s">
        <v>68</v>
      </c>
      <c r="B21" s="20" t="s">
        <v>69</v>
      </c>
      <c r="C21" s="20" t="s">
        <v>34</v>
      </c>
      <c r="D21" s="20" t="s">
        <v>49</v>
      </c>
      <c r="E21" s="22">
        <v>17</v>
      </c>
      <c r="F21" s="22">
        <v>1</v>
      </c>
      <c r="G21" s="22">
        <v>3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37">
        <f t="shared" si="0"/>
        <v>17</v>
      </c>
      <c r="O21" s="37">
        <f t="shared" si="1"/>
        <v>0</v>
      </c>
      <c r="P21" s="37">
        <f t="shared" si="2"/>
        <v>700</v>
      </c>
    </row>
    <row r="22" spans="1:16" s="32" customFormat="1" ht="15">
      <c r="A22" s="21" t="s">
        <v>70</v>
      </c>
      <c r="B22" s="20" t="s">
        <v>71</v>
      </c>
      <c r="C22" s="20" t="s">
        <v>34</v>
      </c>
      <c r="D22" s="20" t="s">
        <v>26</v>
      </c>
      <c r="E22" s="22">
        <v>21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37">
        <f t="shared" si="0"/>
        <v>21</v>
      </c>
      <c r="O22" s="37">
        <f t="shared" si="1"/>
        <v>500</v>
      </c>
      <c r="P22" s="37">
        <f t="shared" si="2"/>
        <v>0</v>
      </c>
    </row>
    <row r="23" spans="1:16" s="32" customFormat="1" ht="15">
      <c r="A23" s="21" t="s">
        <v>72</v>
      </c>
      <c r="B23" s="20" t="s">
        <v>73</v>
      </c>
      <c r="C23" s="20" t="s">
        <v>34</v>
      </c>
      <c r="D23" s="20" t="s">
        <v>42</v>
      </c>
      <c r="E23" s="22">
        <v>18</v>
      </c>
      <c r="F23" s="22">
        <v>1</v>
      </c>
      <c r="G23" s="22">
        <v>2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37">
        <f t="shared" si="0"/>
        <v>18</v>
      </c>
      <c r="O23" s="37">
        <f t="shared" si="1"/>
        <v>0</v>
      </c>
      <c r="P23" s="37">
        <f t="shared" si="2"/>
        <v>500</v>
      </c>
    </row>
    <row r="24" spans="1:16" s="32" customFormat="1" ht="15">
      <c r="A24" s="21" t="s">
        <v>74</v>
      </c>
      <c r="B24" s="20" t="s">
        <v>75</v>
      </c>
      <c r="C24" s="20" t="s">
        <v>34</v>
      </c>
      <c r="D24" s="20" t="s">
        <v>26</v>
      </c>
      <c r="E24" s="22">
        <v>15</v>
      </c>
      <c r="F24" s="22">
        <v>0</v>
      </c>
      <c r="G24" s="22">
        <v>1</v>
      </c>
      <c r="H24" s="22">
        <v>3</v>
      </c>
      <c r="I24" s="22">
        <v>0</v>
      </c>
      <c r="J24" s="22">
        <v>0</v>
      </c>
      <c r="K24" s="22">
        <v>0</v>
      </c>
      <c r="L24" s="22">
        <v>0</v>
      </c>
      <c r="M24" s="22">
        <v>2</v>
      </c>
      <c r="N24" s="37">
        <f t="shared" si="0"/>
        <v>17</v>
      </c>
      <c r="O24" s="37">
        <f t="shared" si="1"/>
        <v>0</v>
      </c>
      <c r="P24" s="37">
        <f t="shared" si="2"/>
        <v>500</v>
      </c>
    </row>
    <row r="25" spans="1:16" s="32" customFormat="1" ht="15">
      <c r="A25" s="21" t="s">
        <v>76</v>
      </c>
      <c r="B25" s="20" t="s">
        <v>77</v>
      </c>
      <c r="C25" s="20" t="s">
        <v>25</v>
      </c>
      <c r="D25" s="20" t="s">
        <v>26</v>
      </c>
      <c r="E25" s="22">
        <v>20</v>
      </c>
      <c r="F25" s="22">
        <v>1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37">
        <f t="shared" si="0"/>
        <v>20</v>
      </c>
      <c r="O25" s="37">
        <f t="shared" si="1"/>
        <v>0</v>
      </c>
      <c r="P25" s="37">
        <f t="shared" si="2"/>
        <v>100</v>
      </c>
    </row>
    <row r="26" spans="1:16" s="32" customFormat="1" ht="15">
      <c r="A26" s="21" t="s">
        <v>78</v>
      </c>
      <c r="B26" s="20" t="s">
        <v>79</v>
      </c>
      <c r="C26" s="20" t="s">
        <v>34</v>
      </c>
      <c r="D26" s="20" t="s">
        <v>35</v>
      </c>
      <c r="E26" s="22">
        <v>19</v>
      </c>
      <c r="F26" s="22">
        <v>1</v>
      </c>
      <c r="G26" s="22">
        <v>0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37">
        <f t="shared" si="0"/>
        <v>19</v>
      </c>
      <c r="O26" s="37">
        <f t="shared" si="1"/>
        <v>0</v>
      </c>
      <c r="P26" s="37">
        <f t="shared" si="2"/>
        <v>200</v>
      </c>
    </row>
    <row r="27" spans="1:16" s="32" customFormat="1" ht="15">
      <c r="A27" s="21" t="s">
        <v>80</v>
      </c>
      <c r="B27" s="20" t="s">
        <v>81</v>
      </c>
      <c r="C27" s="20" t="s">
        <v>25</v>
      </c>
      <c r="D27" s="20" t="s">
        <v>30</v>
      </c>
      <c r="E27" s="22">
        <v>20</v>
      </c>
      <c r="F27" s="22">
        <v>0</v>
      </c>
      <c r="G27" s="22">
        <v>0</v>
      </c>
      <c r="H27" s="22">
        <v>1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37">
        <f t="shared" si="0"/>
        <v>20</v>
      </c>
      <c r="O27" s="37">
        <f t="shared" si="1"/>
        <v>0</v>
      </c>
      <c r="P27" s="37">
        <f t="shared" si="2"/>
        <v>100</v>
      </c>
    </row>
    <row r="28" spans="1:16" s="32" customFormat="1" ht="15">
      <c r="A28" s="21" t="s">
        <v>82</v>
      </c>
      <c r="B28" s="20" t="s">
        <v>83</v>
      </c>
      <c r="C28" s="20" t="s">
        <v>25</v>
      </c>
      <c r="D28" s="20" t="s">
        <v>42</v>
      </c>
      <c r="E28" s="22">
        <v>20</v>
      </c>
      <c r="F28" s="22">
        <v>0</v>
      </c>
      <c r="G28" s="22">
        <v>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37">
        <f t="shared" si="0"/>
        <v>20</v>
      </c>
      <c r="O28" s="37">
        <f t="shared" si="1"/>
        <v>0</v>
      </c>
      <c r="P28" s="37">
        <f t="shared" si="2"/>
        <v>200</v>
      </c>
    </row>
    <row r="29" spans="1:16" s="32" customFormat="1" ht="15">
      <c r="A29" s="21" t="s">
        <v>85</v>
      </c>
      <c r="B29" s="20" t="s">
        <v>86</v>
      </c>
      <c r="C29" s="20" t="s">
        <v>25</v>
      </c>
      <c r="D29" s="20" t="s">
        <v>26</v>
      </c>
      <c r="E29" s="22">
        <v>18</v>
      </c>
      <c r="F29" s="22">
        <v>0</v>
      </c>
      <c r="G29" s="22">
        <v>1</v>
      </c>
      <c r="H29" s="22">
        <v>2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37">
        <f t="shared" si="0"/>
        <v>18</v>
      </c>
      <c r="O29" s="37">
        <f t="shared" si="1"/>
        <v>0</v>
      </c>
      <c r="P29" s="37">
        <f t="shared" si="2"/>
        <v>400</v>
      </c>
    </row>
    <row r="30" spans="1:16" s="32" customFormat="1" ht="15">
      <c r="A30" s="21" t="s">
        <v>87</v>
      </c>
      <c r="B30" s="20" t="s">
        <v>88</v>
      </c>
      <c r="C30" s="20" t="s">
        <v>25</v>
      </c>
      <c r="D30" s="20" t="s">
        <v>42</v>
      </c>
      <c r="E30" s="22">
        <v>20</v>
      </c>
      <c r="F30" s="22">
        <v>1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37">
        <f t="shared" si="0"/>
        <v>20</v>
      </c>
      <c r="O30" s="37">
        <f t="shared" si="1"/>
        <v>0</v>
      </c>
      <c r="P30" s="37">
        <f t="shared" si="2"/>
        <v>100</v>
      </c>
    </row>
    <row r="31" spans="1:16" s="32" customFormat="1" ht="15">
      <c r="A31" s="21" t="s">
        <v>89</v>
      </c>
      <c r="B31" s="20" t="s">
        <v>90</v>
      </c>
      <c r="C31" s="20" t="s">
        <v>34</v>
      </c>
      <c r="D31" s="20" t="s">
        <v>49</v>
      </c>
      <c r="E31" s="22">
        <v>19</v>
      </c>
      <c r="F31" s="22">
        <v>1</v>
      </c>
      <c r="G31" s="22">
        <v>0</v>
      </c>
      <c r="H31" s="22">
        <v>1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37">
        <f t="shared" si="0"/>
        <v>19</v>
      </c>
      <c r="O31" s="37">
        <f t="shared" si="1"/>
        <v>0</v>
      </c>
      <c r="P31" s="37">
        <f t="shared" si="2"/>
        <v>200</v>
      </c>
    </row>
    <row r="32" spans="1:16" s="32" customFormat="1" ht="15">
      <c r="A32" s="21" t="s">
        <v>91</v>
      </c>
      <c r="B32" s="20" t="s">
        <v>92</v>
      </c>
      <c r="C32" s="20" t="s">
        <v>25</v>
      </c>
      <c r="D32" s="20" t="s">
        <v>26</v>
      </c>
      <c r="E32" s="22">
        <v>20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1</v>
      </c>
      <c r="N32" s="37">
        <f t="shared" si="0"/>
        <v>21</v>
      </c>
      <c r="O32" s="37">
        <f t="shared" si="1"/>
        <v>500</v>
      </c>
      <c r="P32" s="37">
        <f t="shared" si="2"/>
        <v>0</v>
      </c>
    </row>
    <row r="33" spans="1:16" s="32" customFormat="1" ht="15">
      <c r="A33" s="21" t="s">
        <v>93</v>
      </c>
      <c r="B33" s="20" t="s">
        <v>94</v>
      </c>
      <c r="C33" s="20" t="s">
        <v>25</v>
      </c>
      <c r="D33" s="20" t="s">
        <v>49</v>
      </c>
      <c r="E33" s="22">
        <v>19</v>
      </c>
      <c r="F33" s="22">
        <v>0</v>
      </c>
      <c r="G33" s="22">
        <v>1</v>
      </c>
      <c r="H33" s="22">
        <v>1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37">
        <f t="shared" si="0"/>
        <v>19</v>
      </c>
      <c r="O33" s="37">
        <f t="shared" si="1"/>
        <v>0</v>
      </c>
      <c r="P33" s="37">
        <f t="shared" si="2"/>
        <v>300</v>
      </c>
    </row>
  </sheetData>
  <mergeCells count="9">
    <mergeCell ref="N2:N3"/>
    <mergeCell ref="O2:O3"/>
    <mergeCell ref="P2:P3"/>
    <mergeCell ref="N1:P1"/>
    <mergeCell ref="B1:M1"/>
    <mergeCell ref="A2:A3"/>
    <mergeCell ref="B2:B3"/>
    <mergeCell ref="C2:C3"/>
    <mergeCell ref="D2:D3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32"/>
  <sheetViews>
    <sheetView workbookViewId="0">
      <selection sqref="A1:XFD1048576"/>
    </sheetView>
  </sheetViews>
  <sheetFormatPr defaultRowHeight="14"/>
  <cols>
    <col min="1" max="8" width="8.7265625" style="32"/>
    <col min="9" max="9" width="9.26953125" style="32" bestFit="1" customWidth="1"/>
    <col min="10" max="16384" width="8.7265625" style="32"/>
  </cols>
  <sheetData>
    <row r="1" spans="2:10" ht="53.5" customHeight="1">
      <c r="B1" s="31" t="s">
        <v>127</v>
      </c>
      <c r="C1" s="31"/>
      <c r="D1" s="31"/>
      <c r="E1" s="31"/>
      <c r="F1" s="31"/>
      <c r="G1" s="34" t="s">
        <v>154</v>
      </c>
      <c r="H1" s="33"/>
      <c r="I1" s="33"/>
      <c r="J1" s="33"/>
    </row>
    <row r="2" spans="2:10" ht="45">
      <c r="B2" s="23" t="s">
        <v>16</v>
      </c>
      <c r="C2" s="23" t="s">
        <v>17</v>
      </c>
      <c r="D2" s="23" t="s">
        <v>18</v>
      </c>
      <c r="E2" s="25" t="s">
        <v>19</v>
      </c>
      <c r="F2" s="27" t="s">
        <v>128</v>
      </c>
      <c r="G2" s="27" t="s">
        <v>129</v>
      </c>
      <c r="H2" s="27" t="s">
        <v>136</v>
      </c>
      <c r="I2" s="27" t="s">
        <v>137</v>
      </c>
      <c r="J2" s="27" t="s">
        <v>138</v>
      </c>
    </row>
    <row r="3" spans="2:10" ht="15">
      <c r="B3" s="24" t="s">
        <v>23</v>
      </c>
      <c r="C3" s="24" t="s">
        <v>24</v>
      </c>
      <c r="D3" s="24" t="s">
        <v>25</v>
      </c>
      <c r="E3" s="26" t="s">
        <v>26</v>
      </c>
      <c r="F3" s="22">
        <v>4</v>
      </c>
      <c r="G3" s="22">
        <v>1</v>
      </c>
      <c r="H3" s="37">
        <f>F3*50</f>
        <v>200</v>
      </c>
      <c r="I3" s="45">
        <f>(VLOOKUP(C3,基本工资统计表!$B$3:$I$32,8,FALSE)+VLOOKUP(C3,基本工资统计表!$B$3:$J$32,9,FALSE))/21*2*G3</f>
        <v>476.1904761904762</v>
      </c>
      <c r="J3" s="45">
        <f>H3+I3</f>
        <v>676.19047619047615</v>
      </c>
    </row>
    <row r="4" spans="2:10" ht="15">
      <c r="B4" s="24" t="s">
        <v>28</v>
      </c>
      <c r="C4" s="24" t="s">
        <v>29</v>
      </c>
      <c r="D4" s="24" t="s">
        <v>25</v>
      </c>
      <c r="E4" s="26" t="s">
        <v>30</v>
      </c>
      <c r="F4" s="22">
        <v>7</v>
      </c>
      <c r="G4" s="22">
        <v>1</v>
      </c>
      <c r="H4" s="37">
        <f t="shared" ref="H4:H32" si="0">F4*50</f>
        <v>350</v>
      </c>
      <c r="I4" s="45">
        <f>(VLOOKUP(C4,基本工资统计表!$B$3:$I$32,8,FALSE)+VLOOKUP(C4,基本工资统计表!$B$3:$J$32,9,FALSE))/21*2*G4</f>
        <v>723.80952380952385</v>
      </c>
      <c r="J4" s="45">
        <f t="shared" ref="J4:J32" si="1">H4+I4</f>
        <v>1073.8095238095239</v>
      </c>
    </row>
    <row r="5" spans="2:10" ht="15">
      <c r="B5" s="24" t="s">
        <v>32</v>
      </c>
      <c r="C5" s="24" t="s">
        <v>33</v>
      </c>
      <c r="D5" s="24" t="s">
        <v>34</v>
      </c>
      <c r="E5" s="26" t="s">
        <v>35</v>
      </c>
      <c r="F5" s="22">
        <v>4</v>
      </c>
      <c r="G5" s="22">
        <v>1</v>
      </c>
      <c r="H5" s="37">
        <f t="shared" si="0"/>
        <v>200</v>
      </c>
      <c r="I5" s="45">
        <f>(VLOOKUP(C5,基本工资统计表!$B$3:$I$32,8,FALSE)+VLOOKUP(C5,基本工资统计表!$B$3:$J$32,9,FALSE))/21*2*G5</f>
        <v>476.1904761904762</v>
      </c>
      <c r="J5" s="45">
        <f t="shared" si="1"/>
        <v>676.19047619047615</v>
      </c>
    </row>
    <row r="6" spans="2:10" ht="15">
      <c r="B6" s="24" t="s">
        <v>37</v>
      </c>
      <c r="C6" s="24" t="s">
        <v>38</v>
      </c>
      <c r="D6" s="24" t="s">
        <v>34</v>
      </c>
      <c r="E6" s="26" t="s">
        <v>35</v>
      </c>
      <c r="F6" s="22">
        <v>8.5</v>
      </c>
      <c r="G6" s="22">
        <v>1</v>
      </c>
      <c r="H6" s="37">
        <f t="shared" si="0"/>
        <v>425</v>
      </c>
      <c r="I6" s="45">
        <f>(VLOOKUP(C6,基本工资统计表!$B$3:$I$32,8,FALSE)+VLOOKUP(C6,基本工资统计表!$B$3:$J$32,9,FALSE))/21*2*G6</f>
        <v>685.71428571428567</v>
      </c>
      <c r="J6" s="45">
        <f t="shared" si="1"/>
        <v>1110.7142857142858</v>
      </c>
    </row>
    <row r="7" spans="2:10" ht="15">
      <c r="B7" s="24" t="s">
        <v>40</v>
      </c>
      <c r="C7" s="24" t="s">
        <v>41</v>
      </c>
      <c r="D7" s="24" t="s">
        <v>25</v>
      </c>
      <c r="E7" s="26" t="s">
        <v>42</v>
      </c>
      <c r="F7" s="22">
        <v>1</v>
      </c>
      <c r="G7" s="22">
        <v>1</v>
      </c>
      <c r="H7" s="37">
        <f t="shared" si="0"/>
        <v>50</v>
      </c>
      <c r="I7" s="45">
        <f>(VLOOKUP(C7,基本工资统计表!$B$3:$I$32,8,FALSE)+VLOOKUP(C7,基本工资统计表!$B$3:$J$32,9,FALSE))/21*2*G7</f>
        <v>571.42857142857144</v>
      </c>
      <c r="J7" s="45">
        <f t="shared" si="1"/>
        <v>621.42857142857144</v>
      </c>
    </row>
    <row r="8" spans="2:10" ht="15">
      <c r="B8" s="24" t="s">
        <v>43</v>
      </c>
      <c r="C8" s="24" t="s">
        <v>44</v>
      </c>
      <c r="D8" s="24" t="s">
        <v>34</v>
      </c>
      <c r="E8" s="26" t="s">
        <v>26</v>
      </c>
      <c r="F8" s="22">
        <v>0</v>
      </c>
      <c r="G8" s="22">
        <v>0</v>
      </c>
      <c r="H8" s="37">
        <f t="shared" si="0"/>
        <v>0</v>
      </c>
      <c r="I8" s="45">
        <f>(VLOOKUP(C8,基本工资统计表!$B$3:$I$32,8,FALSE)+VLOOKUP(C8,基本工资统计表!$B$3:$J$32,9,FALSE))/21*2*G8</f>
        <v>0</v>
      </c>
      <c r="J8" s="45">
        <f t="shared" si="1"/>
        <v>0</v>
      </c>
    </row>
    <row r="9" spans="2:10" ht="15">
      <c r="B9" s="24" t="s">
        <v>45</v>
      </c>
      <c r="C9" s="24" t="s">
        <v>46</v>
      </c>
      <c r="D9" s="24" t="s">
        <v>25</v>
      </c>
      <c r="E9" s="26" t="s">
        <v>42</v>
      </c>
      <c r="F9" s="22">
        <v>3.5</v>
      </c>
      <c r="G9" s="22">
        <v>0</v>
      </c>
      <c r="H9" s="37">
        <f t="shared" si="0"/>
        <v>175</v>
      </c>
      <c r="I9" s="45">
        <f>(VLOOKUP(C9,基本工资统计表!$B$3:$I$32,8,FALSE)+VLOOKUP(C9,基本工资统计表!$B$3:$J$32,9,FALSE))/21*2*G9</f>
        <v>0</v>
      </c>
      <c r="J9" s="45">
        <f t="shared" si="1"/>
        <v>175</v>
      </c>
    </row>
    <row r="10" spans="2:10" ht="15">
      <c r="B10" s="24" t="s">
        <v>47</v>
      </c>
      <c r="C10" s="24" t="s">
        <v>48</v>
      </c>
      <c r="D10" s="24" t="s">
        <v>25</v>
      </c>
      <c r="E10" s="26" t="s">
        <v>49</v>
      </c>
      <c r="F10" s="22">
        <v>2</v>
      </c>
      <c r="G10" s="22">
        <v>3</v>
      </c>
      <c r="H10" s="37">
        <f t="shared" si="0"/>
        <v>100</v>
      </c>
      <c r="I10" s="45">
        <f>(VLOOKUP(C10,基本工资统计表!$B$3:$I$32,8,FALSE)+VLOOKUP(C10,基本工资统计表!$B$3:$J$32,9,FALSE))/21*2*G10</f>
        <v>1485.7142857142858</v>
      </c>
      <c r="J10" s="45">
        <f t="shared" si="1"/>
        <v>1585.7142857142858</v>
      </c>
    </row>
    <row r="11" spans="2:10" ht="15">
      <c r="B11" s="24" t="s">
        <v>50</v>
      </c>
      <c r="C11" s="24" t="s">
        <v>51</v>
      </c>
      <c r="D11" s="24" t="s">
        <v>34</v>
      </c>
      <c r="E11" s="26" t="s">
        <v>26</v>
      </c>
      <c r="F11" s="22">
        <v>0</v>
      </c>
      <c r="G11" s="22">
        <v>0</v>
      </c>
      <c r="H11" s="37">
        <f t="shared" si="0"/>
        <v>0</v>
      </c>
      <c r="I11" s="45">
        <f>(VLOOKUP(C11,基本工资统计表!$B$3:$I$32,8,FALSE)+VLOOKUP(C11,基本工资统计表!$B$3:$J$32,9,FALSE))/21*2*G11</f>
        <v>0</v>
      </c>
      <c r="J11" s="45">
        <f t="shared" si="1"/>
        <v>0</v>
      </c>
    </row>
    <row r="12" spans="2:10" ht="15">
      <c r="B12" s="24" t="s">
        <v>52</v>
      </c>
      <c r="C12" s="24" t="s">
        <v>53</v>
      </c>
      <c r="D12" s="24" t="s">
        <v>25</v>
      </c>
      <c r="E12" s="26" t="s">
        <v>30</v>
      </c>
      <c r="F12" s="22">
        <v>0</v>
      </c>
      <c r="G12" s="22">
        <v>3</v>
      </c>
      <c r="H12" s="37">
        <f t="shared" si="0"/>
        <v>0</v>
      </c>
      <c r="I12" s="45">
        <f>(VLOOKUP(C12,基本工资统计表!$B$3:$I$32,8,FALSE)+VLOOKUP(C12,基本工资统计表!$B$3:$J$32,9,FALSE))/21*2*G12</f>
        <v>1885.7142857142858</v>
      </c>
      <c r="J12" s="45">
        <f t="shared" si="1"/>
        <v>1885.7142857142858</v>
      </c>
    </row>
    <row r="13" spans="2:10" ht="15">
      <c r="B13" s="24" t="s">
        <v>54</v>
      </c>
      <c r="C13" s="24" t="s">
        <v>55</v>
      </c>
      <c r="D13" s="24" t="s">
        <v>25</v>
      </c>
      <c r="E13" s="26" t="s">
        <v>26</v>
      </c>
      <c r="F13" s="22">
        <v>2</v>
      </c>
      <c r="G13" s="22">
        <v>1</v>
      </c>
      <c r="H13" s="37">
        <f t="shared" si="0"/>
        <v>100</v>
      </c>
      <c r="I13" s="45">
        <f>(VLOOKUP(C13,基本工资统计表!$B$3:$I$32,8,FALSE)+VLOOKUP(C13,基本工资统计表!$B$3:$J$32,9,FALSE))/21*2*G13</f>
        <v>495.23809523809524</v>
      </c>
      <c r="J13" s="45">
        <f t="shared" si="1"/>
        <v>595.23809523809518</v>
      </c>
    </row>
    <row r="14" spans="2:10" ht="15">
      <c r="B14" s="24" t="s">
        <v>56</v>
      </c>
      <c r="C14" s="24" t="s">
        <v>57</v>
      </c>
      <c r="D14" s="24" t="s">
        <v>25</v>
      </c>
      <c r="E14" s="26" t="s">
        <v>35</v>
      </c>
      <c r="F14" s="22">
        <v>6.5</v>
      </c>
      <c r="G14" s="22">
        <v>0</v>
      </c>
      <c r="H14" s="37">
        <f t="shared" si="0"/>
        <v>325</v>
      </c>
      <c r="I14" s="45">
        <f>(VLOOKUP(C14,基本工资统计表!$B$3:$I$32,8,FALSE)+VLOOKUP(C14,基本工资统计表!$B$3:$J$32,9,FALSE))/21*2*G14</f>
        <v>0</v>
      </c>
      <c r="J14" s="45">
        <f t="shared" si="1"/>
        <v>325</v>
      </c>
    </row>
    <row r="15" spans="2:10" ht="15">
      <c r="B15" s="24" t="s">
        <v>58</v>
      </c>
      <c r="C15" s="24" t="s">
        <v>59</v>
      </c>
      <c r="D15" s="24" t="s">
        <v>34</v>
      </c>
      <c r="E15" s="26" t="s">
        <v>26</v>
      </c>
      <c r="F15" s="22">
        <v>2</v>
      </c>
      <c r="G15" s="22">
        <v>1</v>
      </c>
      <c r="H15" s="37">
        <f t="shared" si="0"/>
        <v>100</v>
      </c>
      <c r="I15" s="45">
        <f>(VLOOKUP(C15,基本工资统计表!$B$3:$I$32,8,FALSE)+VLOOKUP(C15,基本工资统计表!$B$3:$J$32,9,FALSE))/21*2*G15</f>
        <v>609.52380952380952</v>
      </c>
      <c r="J15" s="45">
        <f t="shared" si="1"/>
        <v>709.52380952380952</v>
      </c>
    </row>
    <row r="16" spans="2:10" ht="15">
      <c r="B16" s="24" t="s">
        <v>60</v>
      </c>
      <c r="C16" s="24" t="s">
        <v>61</v>
      </c>
      <c r="D16" s="24" t="s">
        <v>25</v>
      </c>
      <c r="E16" s="26" t="s">
        <v>49</v>
      </c>
      <c r="F16" s="22">
        <v>5.5</v>
      </c>
      <c r="G16" s="22">
        <v>1</v>
      </c>
      <c r="H16" s="37">
        <f t="shared" si="0"/>
        <v>275</v>
      </c>
      <c r="I16" s="45">
        <f>(VLOOKUP(C16,基本工资统计表!$B$3:$I$32,8,FALSE)+VLOOKUP(C16,基本工资统计表!$B$3:$J$32,9,FALSE))/21*2*G16</f>
        <v>647.61904761904759</v>
      </c>
      <c r="J16" s="45">
        <f t="shared" si="1"/>
        <v>922.61904761904759</v>
      </c>
    </row>
    <row r="17" spans="2:10" ht="15">
      <c r="B17" s="24" t="s">
        <v>62</v>
      </c>
      <c r="C17" s="24" t="s">
        <v>63</v>
      </c>
      <c r="D17" s="24" t="s">
        <v>34</v>
      </c>
      <c r="E17" s="26" t="s">
        <v>42</v>
      </c>
      <c r="F17" s="22">
        <v>4.5</v>
      </c>
      <c r="G17" s="22">
        <v>2</v>
      </c>
      <c r="H17" s="37">
        <f t="shared" si="0"/>
        <v>225</v>
      </c>
      <c r="I17" s="45">
        <f>(VLOOKUP(C17,基本工资统计表!$B$3:$I$32,8,FALSE)+VLOOKUP(C17,基本工资统计表!$B$3:$J$32,9,FALSE))/21*2*G17</f>
        <v>1295.2380952380952</v>
      </c>
      <c r="J17" s="45">
        <f t="shared" si="1"/>
        <v>1520.2380952380952</v>
      </c>
    </row>
    <row r="18" spans="2:10" ht="15">
      <c r="B18" s="24" t="s">
        <v>64</v>
      </c>
      <c r="C18" s="24" t="s">
        <v>65</v>
      </c>
      <c r="D18" s="24" t="s">
        <v>25</v>
      </c>
      <c r="E18" s="26" t="s">
        <v>26</v>
      </c>
      <c r="F18" s="22">
        <v>0</v>
      </c>
      <c r="G18" s="22">
        <v>0</v>
      </c>
      <c r="H18" s="37">
        <f t="shared" si="0"/>
        <v>0</v>
      </c>
      <c r="I18" s="45">
        <f>(VLOOKUP(C18,基本工资统计表!$B$3:$I$32,8,FALSE)+VLOOKUP(C18,基本工资统计表!$B$3:$J$32,9,FALSE))/21*2*G18</f>
        <v>0</v>
      </c>
      <c r="J18" s="45">
        <f t="shared" si="1"/>
        <v>0</v>
      </c>
    </row>
    <row r="19" spans="2:10" ht="15">
      <c r="B19" s="24" t="s">
        <v>66</v>
      </c>
      <c r="C19" s="24" t="s">
        <v>67</v>
      </c>
      <c r="D19" s="24" t="s">
        <v>25</v>
      </c>
      <c r="E19" s="26" t="s">
        <v>49</v>
      </c>
      <c r="F19" s="22">
        <v>5</v>
      </c>
      <c r="G19" s="22">
        <v>0</v>
      </c>
      <c r="H19" s="37">
        <f t="shared" si="0"/>
        <v>250</v>
      </c>
      <c r="I19" s="45">
        <f>(VLOOKUP(C19,基本工资统计表!$B$3:$I$32,8,FALSE)+VLOOKUP(C19,基本工资统计表!$B$3:$J$32,9,FALSE))/21*2*G19</f>
        <v>0</v>
      </c>
      <c r="J19" s="45">
        <f t="shared" si="1"/>
        <v>250</v>
      </c>
    </row>
    <row r="20" spans="2:10" ht="15">
      <c r="B20" s="24" t="s">
        <v>68</v>
      </c>
      <c r="C20" s="24" t="s">
        <v>69</v>
      </c>
      <c r="D20" s="24" t="s">
        <v>34</v>
      </c>
      <c r="E20" s="26" t="s">
        <v>49</v>
      </c>
      <c r="F20" s="22">
        <v>0</v>
      </c>
      <c r="G20" s="22">
        <v>0</v>
      </c>
      <c r="H20" s="37">
        <f t="shared" si="0"/>
        <v>0</v>
      </c>
      <c r="I20" s="45">
        <f>(VLOOKUP(C20,基本工资统计表!$B$3:$I$32,8,FALSE)+VLOOKUP(C20,基本工资统计表!$B$3:$J$32,9,FALSE))/21*2*G20</f>
        <v>0</v>
      </c>
      <c r="J20" s="45">
        <f t="shared" si="1"/>
        <v>0</v>
      </c>
    </row>
    <row r="21" spans="2:10" ht="15">
      <c r="B21" s="24" t="s">
        <v>70</v>
      </c>
      <c r="C21" s="24" t="s">
        <v>71</v>
      </c>
      <c r="D21" s="24" t="s">
        <v>34</v>
      </c>
      <c r="E21" s="26" t="s">
        <v>26</v>
      </c>
      <c r="F21" s="22">
        <v>0</v>
      </c>
      <c r="G21" s="22">
        <v>0</v>
      </c>
      <c r="H21" s="37">
        <f t="shared" si="0"/>
        <v>0</v>
      </c>
      <c r="I21" s="45">
        <f>(VLOOKUP(C21,基本工资统计表!$B$3:$I$32,8,FALSE)+VLOOKUP(C21,基本工资统计表!$B$3:$J$32,9,FALSE))/21*2*G21</f>
        <v>0</v>
      </c>
      <c r="J21" s="45">
        <f t="shared" si="1"/>
        <v>0</v>
      </c>
    </row>
    <row r="22" spans="2:10" ht="15">
      <c r="B22" s="24" t="s">
        <v>72</v>
      </c>
      <c r="C22" s="24" t="s">
        <v>73</v>
      </c>
      <c r="D22" s="24" t="s">
        <v>34</v>
      </c>
      <c r="E22" s="26" t="s">
        <v>42</v>
      </c>
      <c r="F22" s="22">
        <v>2.5</v>
      </c>
      <c r="G22" s="22">
        <v>1</v>
      </c>
      <c r="H22" s="37">
        <f t="shared" si="0"/>
        <v>125</v>
      </c>
      <c r="I22" s="45">
        <f>(VLOOKUP(C22,基本工资统计表!$B$3:$I$32,8,FALSE)+VLOOKUP(C22,基本工资统计表!$B$3:$J$32,9,FALSE))/21*2*G22</f>
        <v>609.52380952380952</v>
      </c>
      <c r="J22" s="45">
        <f t="shared" si="1"/>
        <v>734.52380952380952</v>
      </c>
    </row>
    <row r="23" spans="2:10" ht="15">
      <c r="B23" s="24" t="s">
        <v>74</v>
      </c>
      <c r="C23" s="24" t="s">
        <v>75</v>
      </c>
      <c r="D23" s="24" t="s">
        <v>34</v>
      </c>
      <c r="E23" s="26" t="s">
        <v>26</v>
      </c>
      <c r="F23" s="22">
        <v>3</v>
      </c>
      <c r="G23" s="22">
        <v>0</v>
      </c>
      <c r="H23" s="37">
        <f t="shared" si="0"/>
        <v>150</v>
      </c>
      <c r="I23" s="45">
        <f>(VLOOKUP(C23,基本工资统计表!$B$3:$I$32,8,FALSE)+VLOOKUP(C23,基本工资统计表!$B$3:$J$32,9,FALSE))/21*2*G23</f>
        <v>0</v>
      </c>
      <c r="J23" s="45">
        <f t="shared" si="1"/>
        <v>150</v>
      </c>
    </row>
    <row r="24" spans="2:10" ht="15">
      <c r="B24" s="24" t="s">
        <v>76</v>
      </c>
      <c r="C24" s="24" t="s">
        <v>77</v>
      </c>
      <c r="D24" s="24" t="s">
        <v>25</v>
      </c>
      <c r="E24" s="26" t="s">
        <v>26</v>
      </c>
      <c r="F24" s="22">
        <v>0</v>
      </c>
      <c r="G24" s="22">
        <v>0</v>
      </c>
      <c r="H24" s="37">
        <f t="shared" si="0"/>
        <v>0</v>
      </c>
      <c r="I24" s="45">
        <f>(VLOOKUP(C24,基本工资统计表!$B$3:$I$32,8,FALSE)+VLOOKUP(C24,基本工资统计表!$B$3:$J$32,9,FALSE))/21*2*G24</f>
        <v>0</v>
      </c>
      <c r="J24" s="45">
        <f t="shared" si="1"/>
        <v>0</v>
      </c>
    </row>
    <row r="25" spans="2:10" ht="15">
      <c r="B25" s="24" t="s">
        <v>78</v>
      </c>
      <c r="C25" s="24" t="s">
        <v>79</v>
      </c>
      <c r="D25" s="24" t="s">
        <v>34</v>
      </c>
      <c r="E25" s="26" t="s">
        <v>35</v>
      </c>
      <c r="F25" s="22">
        <v>0</v>
      </c>
      <c r="G25" s="22">
        <v>3</v>
      </c>
      <c r="H25" s="37">
        <f t="shared" si="0"/>
        <v>0</v>
      </c>
      <c r="I25" s="45">
        <f>(VLOOKUP(C25,基本工资统计表!$B$3:$I$32,8,FALSE)+VLOOKUP(C25,基本工资统计表!$B$3:$J$32,9,FALSE))/21*2*G25</f>
        <v>1714.2857142857142</v>
      </c>
      <c r="J25" s="45">
        <f t="shared" si="1"/>
        <v>1714.2857142857142</v>
      </c>
    </row>
    <row r="26" spans="2:10" ht="15">
      <c r="B26" s="24" t="s">
        <v>80</v>
      </c>
      <c r="C26" s="24" t="s">
        <v>81</v>
      </c>
      <c r="D26" s="24" t="s">
        <v>25</v>
      </c>
      <c r="E26" s="26" t="s">
        <v>30</v>
      </c>
      <c r="F26" s="22">
        <v>3</v>
      </c>
      <c r="G26" s="22">
        <v>0</v>
      </c>
      <c r="H26" s="37">
        <f t="shared" si="0"/>
        <v>150</v>
      </c>
      <c r="I26" s="45">
        <f>(VLOOKUP(C26,基本工资统计表!$B$3:$I$32,8,FALSE)+VLOOKUP(C26,基本工资统计表!$B$3:$J$32,9,FALSE))/21*2*G26</f>
        <v>0</v>
      </c>
      <c r="J26" s="45">
        <f t="shared" si="1"/>
        <v>150</v>
      </c>
    </row>
    <row r="27" spans="2:10" ht="15">
      <c r="B27" s="24" t="s">
        <v>82</v>
      </c>
      <c r="C27" s="24" t="s">
        <v>83</v>
      </c>
      <c r="D27" s="24" t="s">
        <v>25</v>
      </c>
      <c r="E27" s="26" t="s">
        <v>42</v>
      </c>
      <c r="F27" s="22">
        <v>5.5</v>
      </c>
      <c r="G27" s="22">
        <v>4</v>
      </c>
      <c r="H27" s="37">
        <f t="shared" si="0"/>
        <v>275</v>
      </c>
      <c r="I27" s="45">
        <f>(VLOOKUP(C27,基本工资统计表!$B$3:$I$32,8,FALSE)+VLOOKUP(C27,基本工资统计表!$B$3:$J$32,9,FALSE))/21*2*G27</f>
        <v>2780.9523809523807</v>
      </c>
      <c r="J27" s="45">
        <f t="shared" si="1"/>
        <v>3055.9523809523807</v>
      </c>
    </row>
    <row r="28" spans="2:10" ht="15">
      <c r="B28" s="24" t="s">
        <v>85</v>
      </c>
      <c r="C28" s="24" t="s">
        <v>86</v>
      </c>
      <c r="D28" s="24" t="s">
        <v>25</v>
      </c>
      <c r="E28" s="26" t="s">
        <v>26</v>
      </c>
      <c r="F28" s="22">
        <v>0</v>
      </c>
      <c r="G28" s="22">
        <v>0</v>
      </c>
      <c r="H28" s="37">
        <f t="shared" si="0"/>
        <v>0</v>
      </c>
      <c r="I28" s="45">
        <f>(VLOOKUP(C28,基本工资统计表!$B$3:$I$32,8,FALSE)+VLOOKUP(C28,基本工资统计表!$B$3:$J$32,9,FALSE))/21*2*G28</f>
        <v>0</v>
      </c>
      <c r="J28" s="45">
        <f t="shared" si="1"/>
        <v>0</v>
      </c>
    </row>
    <row r="29" spans="2:10" ht="15">
      <c r="B29" s="24" t="s">
        <v>87</v>
      </c>
      <c r="C29" s="24" t="s">
        <v>88</v>
      </c>
      <c r="D29" s="24" t="s">
        <v>25</v>
      </c>
      <c r="E29" s="26" t="s">
        <v>42</v>
      </c>
      <c r="F29" s="22">
        <v>5.5</v>
      </c>
      <c r="G29" s="22">
        <v>2</v>
      </c>
      <c r="H29" s="37">
        <f t="shared" si="0"/>
        <v>275</v>
      </c>
      <c r="I29" s="45">
        <f>(VLOOKUP(C29,基本工资统计表!$B$3:$I$32,8,FALSE)+VLOOKUP(C29,基本工资统计表!$B$3:$J$32,9,FALSE))/21*2*G29</f>
        <v>1219.047619047619</v>
      </c>
      <c r="J29" s="45">
        <f t="shared" si="1"/>
        <v>1494.047619047619</v>
      </c>
    </row>
    <row r="30" spans="2:10" ht="15">
      <c r="B30" s="24" t="s">
        <v>89</v>
      </c>
      <c r="C30" s="24" t="s">
        <v>90</v>
      </c>
      <c r="D30" s="24" t="s">
        <v>34</v>
      </c>
      <c r="E30" s="26" t="s">
        <v>49</v>
      </c>
      <c r="F30" s="22">
        <v>0</v>
      </c>
      <c r="G30" s="22">
        <v>0</v>
      </c>
      <c r="H30" s="37">
        <f t="shared" si="0"/>
        <v>0</v>
      </c>
      <c r="I30" s="45">
        <f>(VLOOKUP(C30,基本工资统计表!$B$3:$I$32,8,FALSE)+VLOOKUP(C30,基本工资统计表!$B$3:$J$32,9,FALSE))/21*2*G30</f>
        <v>0</v>
      </c>
      <c r="J30" s="45">
        <f t="shared" si="1"/>
        <v>0</v>
      </c>
    </row>
    <row r="31" spans="2:10" ht="15">
      <c r="B31" s="24" t="s">
        <v>91</v>
      </c>
      <c r="C31" s="24" t="s">
        <v>92</v>
      </c>
      <c r="D31" s="24" t="s">
        <v>25</v>
      </c>
      <c r="E31" s="26" t="s">
        <v>26</v>
      </c>
      <c r="F31" s="22">
        <v>0</v>
      </c>
      <c r="G31" s="22">
        <v>0</v>
      </c>
      <c r="H31" s="37">
        <f t="shared" si="0"/>
        <v>0</v>
      </c>
      <c r="I31" s="45">
        <f>(VLOOKUP(C31,基本工资统计表!$B$3:$I$32,8,FALSE)+VLOOKUP(C31,基本工资统计表!$B$3:$J$32,9,FALSE))/21*2*G31</f>
        <v>0</v>
      </c>
      <c r="J31" s="45">
        <f t="shared" si="1"/>
        <v>0</v>
      </c>
    </row>
    <row r="32" spans="2:10" ht="15">
      <c r="B32" s="24" t="s">
        <v>93</v>
      </c>
      <c r="C32" s="24" t="s">
        <v>94</v>
      </c>
      <c r="D32" s="24" t="s">
        <v>25</v>
      </c>
      <c r="E32" s="26" t="s">
        <v>49</v>
      </c>
      <c r="F32" s="22">
        <v>0</v>
      </c>
      <c r="G32" s="22">
        <v>1</v>
      </c>
      <c r="H32" s="37">
        <f t="shared" si="0"/>
        <v>0</v>
      </c>
      <c r="I32" s="45">
        <f>(VLOOKUP(C32,基本工资统计表!$B$3:$I$32,8,FALSE)+VLOOKUP(C32,基本工资统计表!$B$3:$J$32,9,FALSE))/21*2*G32</f>
        <v>609.52380952380952</v>
      </c>
      <c r="J32" s="45">
        <f t="shared" si="1"/>
        <v>609.52380952380952</v>
      </c>
    </row>
  </sheetData>
  <mergeCells count="2">
    <mergeCell ref="B1:F1"/>
    <mergeCell ref="G1:J1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32"/>
  <sheetViews>
    <sheetView tabSelected="1" workbookViewId="0">
      <selection activeCell="E3" sqref="E2:E3"/>
    </sheetView>
  </sheetViews>
  <sheetFormatPr defaultRowHeight="14"/>
  <cols>
    <col min="1" max="1" width="6" style="32" bestFit="1" customWidth="1"/>
    <col min="2" max="2" width="7.81640625" style="32" bestFit="1" customWidth="1"/>
    <col min="3" max="3" width="12.36328125" style="32" bestFit="1" customWidth="1"/>
    <col min="4" max="6" width="10.54296875" style="32" bestFit="1" customWidth="1"/>
    <col min="7" max="7" width="13" style="32" bestFit="1" customWidth="1"/>
    <col min="8" max="9" width="10.54296875" style="32" bestFit="1" customWidth="1"/>
    <col min="10" max="10" width="15.453125" style="32" bestFit="1" customWidth="1"/>
    <col min="11" max="11" width="19.1796875" style="32" bestFit="1" customWidth="1"/>
    <col min="12" max="14" width="10.54296875" style="32" bestFit="1" customWidth="1"/>
    <col min="15" max="15" width="13" style="32" bestFit="1" customWidth="1"/>
    <col min="16" max="17" width="10.54296875" style="32" bestFit="1" customWidth="1"/>
    <col min="18" max="16384" width="8.7265625" style="32"/>
  </cols>
  <sheetData>
    <row r="1" spans="1:17" s="32" customFormat="1" ht="25.5">
      <c r="A1" s="36" t="s">
        <v>139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s="32" customFormat="1" ht="27.5" customHeight="1">
      <c r="A2" s="46" t="s">
        <v>140</v>
      </c>
      <c r="B2" s="46" t="s">
        <v>141</v>
      </c>
      <c r="C2" s="46" t="s">
        <v>142</v>
      </c>
      <c r="D2" s="46" t="s">
        <v>131</v>
      </c>
      <c r="E2" s="46" t="s">
        <v>132</v>
      </c>
      <c r="F2" s="46" t="s">
        <v>155</v>
      </c>
      <c r="G2" s="46" t="s">
        <v>143</v>
      </c>
      <c r="H2" s="46" t="s">
        <v>144</v>
      </c>
      <c r="I2" s="47" t="s">
        <v>145</v>
      </c>
      <c r="J2" s="46" t="s">
        <v>146</v>
      </c>
      <c r="K2" s="46" t="s">
        <v>147</v>
      </c>
      <c r="L2" s="46" t="s">
        <v>148</v>
      </c>
      <c r="M2" s="46" t="s">
        <v>156</v>
      </c>
      <c r="N2" s="46" t="s">
        <v>149</v>
      </c>
      <c r="O2" s="46" t="s">
        <v>150</v>
      </c>
      <c r="P2" s="48" t="s">
        <v>151</v>
      </c>
      <c r="Q2" s="48" t="s">
        <v>152</v>
      </c>
    </row>
    <row r="3" spans="1:17" s="32" customFormat="1" ht="15">
      <c r="A3" s="49" t="s">
        <v>153</v>
      </c>
      <c r="B3" s="5" t="s">
        <v>24</v>
      </c>
      <c r="C3" s="5" t="s">
        <v>26</v>
      </c>
      <c r="D3" s="37">
        <f>VLOOKUP(工资统计表!B3,基本工资统计表!$B$3:$I$32,8,FALSE)</f>
        <v>3000</v>
      </c>
      <c r="E3" s="37">
        <f>VLOOKUP(B3,基本工资统计表!$B$3:$J$32,9,FALSE)</f>
        <v>2000</v>
      </c>
      <c r="F3" s="45">
        <f>VLOOKUP(B3,加班统计表!$C$3:$J$32,8,FALSE)</f>
        <v>676.19047619047615</v>
      </c>
      <c r="G3" s="37">
        <f>VLOOKUP(B3,奖惩统计表!$C$3:$G$19,4,FALSE)</f>
        <v>22400</v>
      </c>
      <c r="H3" s="37">
        <f>VLOOKUP(B3,考勤统计表!$B$4:$O$33,14,FALSE)</f>
        <v>0</v>
      </c>
      <c r="I3" s="50">
        <f>D3+E3+F3+G3+H3</f>
        <v>28076.190476190477</v>
      </c>
      <c r="J3" s="37">
        <f>VLOOKUP(工资统计表!B3,考勤统计表!$B$4:$P$33,15,FALSE)</f>
        <v>200</v>
      </c>
      <c r="K3" s="37">
        <f>(D3+E3)*0.22</f>
        <v>1100</v>
      </c>
      <c r="L3" s="37">
        <v>1000</v>
      </c>
      <c r="M3" s="37">
        <v>0</v>
      </c>
      <c r="N3" s="45">
        <f>I3-J3-K3-L3-M3</f>
        <v>25776.190476190477</v>
      </c>
      <c r="O3" s="45">
        <f>IF((N3-5000)&gt;80000,(N3-5000)*0.45-15160,IF((N3-5000)&gt;55000,(N3-5000)*0.35-7160,IF((N3-5000)&gt;35000,(N3-5000)*0.3-4410, IF((N3-5000)&gt;25000,(N3-5000)*0.25-2660, IF((N3-5000)&gt;12000,(N3-5000)*0.2-1410, IF((N3-5000)&gt;3000,(N3-5000)*0.1-210,IF((N3-5000)&gt;0,(N3-5000)*0.03,0)))))))</f>
        <v>2745.2380952380954</v>
      </c>
      <c r="P3" s="51">
        <f>J3+K3+M3+O3</f>
        <v>4045.2380952380954</v>
      </c>
      <c r="Q3" s="51">
        <f>I3-P3</f>
        <v>24030.952380952382</v>
      </c>
    </row>
    <row r="4" spans="1:17" s="32" customFormat="1" ht="15">
      <c r="A4" s="49" t="s">
        <v>28</v>
      </c>
      <c r="B4" s="5" t="s">
        <v>29</v>
      </c>
      <c r="C4" s="5" t="s">
        <v>30</v>
      </c>
      <c r="D4" s="37">
        <f>VLOOKUP(工资统计表!B4,基本工资统计表!$B$3:$I$32,8,FALSE)</f>
        <v>5000</v>
      </c>
      <c r="E4" s="37">
        <f>VLOOKUP(B4,基本工资统计表!$B$3:$J$32,9,FALSE)</f>
        <v>2600</v>
      </c>
      <c r="F4" s="45">
        <f>VLOOKUP(B4,加班统计表!$C$3:$J$32,8,FALSE)</f>
        <v>1073.8095238095239</v>
      </c>
      <c r="G4" s="37">
        <f>VLOOKUP(B4,奖惩统计表!$C$3:$G$19,4,FALSE)</f>
        <v>4480</v>
      </c>
      <c r="H4" s="37">
        <f>VLOOKUP(B4,考勤统计表!$B$4:$O$33,14,FALSE)</f>
        <v>500</v>
      </c>
      <c r="I4" s="50">
        <f t="shared" ref="I4:I32" si="0">D4+E4+F4+G4+H4</f>
        <v>13653.809523809523</v>
      </c>
      <c r="J4" s="37">
        <f>VLOOKUP(工资统计表!B4,考勤统计表!$B$4:$P$33,15,FALSE)</f>
        <v>0</v>
      </c>
      <c r="K4" s="37">
        <f t="shared" ref="K4:K32" si="1">(D4+E4)*0.22</f>
        <v>1672</v>
      </c>
      <c r="L4" s="37">
        <v>500</v>
      </c>
      <c r="M4" s="37">
        <v>0</v>
      </c>
      <c r="N4" s="45">
        <f t="shared" ref="N4:N32" si="2">I4-J4-K4-L4-M4</f>
        <v>11481.809523809523</v>
      </c>
      <c r="O4" s="45">
        <f t="shared" ref="O4:O32" si="3">IF((N4-5000)&gt;80000,(N4-5000)*0.45-15160,IF((N4-5000)&gt;55000,(N4-5000)*0.35-7160,IF((N4-5000)&gt;35000,(N4-5000)*0.3-4410, IF((N4-5000)&gt;25000,(N4-5000)*0.25-2660, IF((N4-5000)&gt;12000,(N4-5000)*0.2-1410, IF((N4-5000)&gt;3000,(N4-5000)*0.1-210,IF((N4-5000)&gt;0,(N4-5000)*0.03,0)))))))</f>
        <v>438.18095238095236</v>
      </c>
      <c r="P4" s="51">
        <f t="shared" ref="P4:P32" si="4">J4+K4+M4+O4</f>
        <v>2110.1809523809525</v>
      </c>
      <c r="Q4" s="51">
        <f t="shared" ref="Q4:Q32" si="5">I4-P4</f>
        <v>11543.62857142857</v>
      </c>
    </row>
    <row r="5" spans="1:17" s="32" customFormat="1" ht="15">
      <c r="A5" s="49" t="s">
        <v>32</v>
      </c>
      <c r="B5" s="5" t="s">
        <v>33</v>
      </c>
      <c r="C5" s="5" t="s">
        <v>35</v>
      </c>
      <c r="D5" s="37">
        <f>VLOOKUP(工资统计表!B5,基本工资统计表!$B$3:$I$32,8,FALSE)</f>
        <v>3000</v>
      </c>
      <c r="E5" s="37">
        <f>VLOOKUP(B5,基本工资统计表!$B$3:$J$32,9,FALSE)</f>
        <v>2000</v>
      </c>
      <c r="F5" s="45">
        <f>VLOOKUP(B5,加班统计表!$C$3:$J$32,8,FALSE)</f>
        <v>676.19047619047615</v>
      </c>
      <c r="G5" s="37">
        <f>VLOOKUP(B5,奖惩统计表!$C$3:$G$19,4,FALSE)</f>
        <v>2425</v>
      </c>
      <c r="H5" s="37">
        <f>VLOOKUP(B5,考勤统计表!$B$4:$O$33,14,FALSE)</f>
        <v>0</v>
      </c>
      <c r="I5" s="50">
        <f t="shared" si="0"/>
        <v>8101.1904761904761</v>
      </c>
      <c r="J5" s="37">
        <f>VLOOKUP(工资统计表!B5,考勤统计表!$B$4:$P$33,15,FALSE)</f>
        <v>200</v>
      </c>
      <c r="K5" s="37">
        <f t="shared" si="1"/>
        <v>1100</v>
      </c>
      <c r="L5" s="37">
        <v>500</v>
      </c>
      <c r="M5" s="37">
        <v>0</v>
      </c>
      <c r="N5" s="45">
        <f t="shared" si="2"/>
        <v>6301.1904761904761</v>
      </c>
      <c r="O5" s="45">
        <f t="shared" si="3"/>
        <v>39.035714285714285</v>
      </c>
      <c r="P5" s="51">
        <f t="shared" si="4"/>
        <v>1339.0357142857142</v>
      </c>
      <c r="Q5" s="51">
        <f t="shared" si="5"/>
        <v>6762.1547619047615</v>
      </c>
    </row>
    <row r="6" spans="1:17" s="32" customFormat="1" ht="15">
      <c r="A6" s="49" t="s">
        <v>37</v>
      </c>
      <c r="B6" s="5" t="s">
        <v>38</v>
      </c>
      <c r="C6" s="5" t="s">
        <v>35</v>
      </c>
      <c r="D6" s="37">
        <f>VLOOKUP(工资统计表!B6,基本工资统计表!$B$3:$I$32,8,FALSE)</f>
        <v>4000</v>
      </c>
      <c r="E6" s="37">
        <f>VLOOKUP(B6,基本工资统计表!$B$3:$J$32,9,FALSE)</f>
        <v>3200</v>
      </c>
      <c r="F6" s="45">
        <f>VLOOKUP(B6,加班统计表!$C$3:$J$32,8,FALSE)</f>
        <v>1110.7142857142858</v>
      </c>
      <c r="G6" s="37">
        <f>VLOOKUP(B6,奖惩统计表!$C$3:$G$19,4,FALSE)</f>
        <v>2284.5</v>
      </c>
      <c r="H6" s="37">
        <f>VLOOKUP(B6,考勤统计表!$B$4:$O$33,14,FALSE)</f>
        <v>0</v>
      </c>
      <c r="I6" s="50">
        <f t="shared" si="0"/>
        <v>10595.214285714286</v>
      </c>
      <c r="J6" s="37">
        <f>VLOOKUP(工资统计表!B6,考勤统计表!$B$4:$P$33,15,FALSE)</f>
        <v>100</v>
      </c>
      <c r="K6" s="37">
        <f t="shared" si="1"/>
        <v>1584</v>
      </c>
      <c r="L6" s="37">
        <v>500</v>
      </c>
      <c r="M6" s="37">
        <v>200</v>
      </c>
      <c r="N6" s="45">
        <f t="shared" si="2"/>
        <v>8211.2142857142862</v>
      </c>
      <c r="O6" s="45">
        <f t="shared" si="3"/>
        <v>111.12142857142862</v>
      </c>
      <c r="P6" s="51">
        <f t="shared" si="4"/>
        <v>1995.1214285714286</v>
      </c>
      <c r="Q6" s="51">
        <f t="shared" si="5"/>
        <v>8600.0928571428576</v>
      </c>
    </row>
    <row r="7" spans="1:17" s="32" customFormat="1" ht="15">
      <c r="A7" s="49" t="s">
        <v>40</v>
      </c>
      <c r="B7" s="5" t="s">
        <v>41</v>
      </c>
      <c r="C7" s="5" t="s">
        <v>42</v>
      </c>
      <c r="D7" s="37">
        <f>VLOOKUP(工资统计表!B7,基本工资统计表!$B$3:$I$32,8,FALSE)</f>
        <v>3000</v>
      </c>
      <c r="E7" s="37">
        <f>VLOOKUP(B7,基本工资统计表!$B$3:$J$32,9,FALSE)</f>
        <v>3000</v>
      </c>
      <c r="F7" s="45">
        <f>VLOOKUP(B7,加班统计表!$C$3:$J$32,8,FALSE)</f>
        <v>621.42857142857144</v>
      </c>
      <c r="G7" s="37">
        <f>VLOOKUP(B7,奖惩统计表!$C$3:$G$19,4,FALSE)</f>
        <v>1850</v>
      </c>
      <c r="H7" s="37">
        <f>VLOOKUP(B7,考勤统计表!$B$4:$O$33,14,FALSE)</f>
        <v>0</v>
      </c>
      <c r="I7" s="50">
        <f t="shared" si="0"/>
        <v>8471.4285714285725</v>
      </c>
      <c r="J7" s="37">
        <f>VLOOKUP(工资统计表!B7,考勤统计表!$B$4:$P$33,15,FALSE)</f>
        <v>600</v>
      </c>
      <c r="K7" s="37">
        <f t="shared" si="1"/>
        <v>1320</v>
      </c>
      <c r="L7" s="37">
        <v>500</v>
      </c>
      <c r="M7" s="37">
        <v>0</v>
      </c>
      <c r="N7" s="45">
        <f t="shared" si="2"/>
        <v>6051.4285714285725</v>
      </c>
      <c r="O7" s="45">
        <f t="shared" si="3"/>
        <v>31.542857142857173</v>
      </c>
      <c r="P7" s="51">
        <f t="shared" si="4"/>
        <v>1951.5428571428572</v>
      </c>
      <c r="Q7" s="51">
        <f t="shared" si="5"/>
        <v>6519.885714285715</v>
      </c>
    </row>
    <row r="8" spans="1:17" s="32" customFormat="1" ht="15">
      <c r="A8" s="49" t="s">
        <v>43</v>
      </c>
      <c r="B8" s="5" t="s">
        <v>44</v>
      </c>
      <c r="C8" s="5" t="s">
        <v>26</v>
      </c>
      <c r="D8" s="37">
        <f>VLOOKUP(工资统计表!B8,基本工资统计表!$B$3:$I$32,8,FALSE)</f>
        <v>3000</v>
      </c>
      <c r="E8" s="37">
        <f>VLOOKUP(B8,基本工资统计表!$B$3:$J$32,9,FALSE)</f>
        <v>2400</v>
      </c>
      <c r="F8" s="45">
        <f>VLOOKUP(B8,加班统计表!$C$3:$J$32,8,FALSE)</f>
        <v>0</v>
      </c>
      <c r="G8" s="37">
        <f>VLOOKUP(B8,奖惩统计表!$C$3:$G$19,4,FALSE)</f>
        <v>510</v>
      </c>
      <c r="H8" s="37">
        <f>VLOOKUP(B8,考勤统计表!$B$4:$O$33,14,FALSE)</f>
        <v>500</v>
      </c>
      <c r="I8" s="50">
        <f t="shared" si="0"/>
        <v>6410</v>
      </c>
      <c r="J8" s="37">
        <f>VLOOKUP(工资统计表!B8,考勤统计表!$B$4:$P$33,15,FALSE)</f>
        <v>0</v>
      </c>
      <c r="K8" s="37">
        <f t="shared" si="1"/>
        <v>1188</v>
      </c>
      <c r="L8" s="37">
        <v>500</v>
      </c>
      <c r="M8" s="37">
        <v>100</v>
      </c>
      <c r="N8" s="45">
        <f t="shared" si="2"/>
        <v>4622</v>
      </c>
      <c r="O8" s="45">
        <f t="shared" si="3"/>
        <v>0</v>
      </c>
      <c r="P8" s="51">
        <f t="shared" si="4"/>
        <v>1288</v>
      </c>
      <c r="Q8" s="51">
        <f t="shared" si="5"/>
        <v>5122</v>
      </c>
    </row>
    <row r="9" spans="1:17" s="32" customFormat="1" ht="15">
      <c r="A9" s="49" t="s">
        <v>45</v>
      </c>
      <c r="B9" s="5" t="s">
        <v>46</v>
      </c>
      <c r="C9" s="5" t="s">
        <v>42</v>
      </c>
      <c r="D9" s="37">
        <f>VLOOKUP(工资统计表!B9,基本工资统计表!$B$3:$I$32,8,FALSE)</f>
        <v>4000</v>
      </c>
      <c r="E9" s="37">
        <f>VLOOKUP(B9,基本工资统计表!$B$3:$J$32,9,FALSE)</f>
        <v>3000</v>
      </c>
      <c r="F9" s="45">
        <f>VLOOKUP(B9,加班统计表!$C$3:$J$32,8,FALSE)</f>
        <v>175</v>
      </c>
      <c r="G9" s="37">
        <f>VLOOKUP(B9,奖惩统计表!$C$3:$G$19,4,FALSE)</f>
        <v>10032</v>
      </c>
      <c r="H9" s="37">
        <f>VLOOKUP(B9,考勤统计表!$B$4:$O$33,14,FALSE)</f>
        <v>0</v>
      </c>
      <c r="I9" s="50">
        <f t="shared" si="0"/>
        <v>17207</v>
      </c>
      <c r="J9" s="37">
        <f>VLOOKUP(工资统计表!B9,考勤统计表!$B$4:$P$33,15,FALSE)</f>
        <v>500</v>
      </c>
      <c r="K9" s="37">
        <f t="shared" si="1"/>
        <v>1540</v>
      </c>
      <c r="L9" s="37">
        <v>500</v>
      </c>
      <c r="M9" s="37">
        <v>0</v>
      </c>
      <c r="N9" s="45">
        <f t="shared" si="2"/>
        <v>14667</v>
      </c>
      <c r="O9" s="45">
        <f t="shared" si="3"/>
        <v>756.7</v>
      </c>
      <c r="P9" s="51">
        <f t="shared" si="4"/>
        <v>2796.7</v>
      </c>
      <c r="Q9" s="51">
        <f t="shared" si="5"/>
        <v>14410.3</v>
      </c>
    </row>
    <row r="10" spans="1:17" s="32" customFormat="1" ht="15">
      <c r="A10" s="49" t="s">
        <v>47</v>
      </c>
      <c r="B10" s="5" t="s">
        <v>48</v>
      </c>
      <c r="C10" s="5" t="s">
        <v>49</v>
      </c>
      <c r="D10" s="37">
        <f>VLOOKUP(工资统计表!B10,基本工资统计表!$B$3:$I$32,8,FALSE)</f>
        <v>3000</v>
      </c>
      <c r="E10" s="37">
        <f>VLOOKUP(B10,基本工资统计表!$B$3:$J$32,9,FALSE)</f>
        <v>2200</v>
      </c>
      <c r="F10" s="45">
        <f>VLOOKUP(B10,加班统计表!$C$3:$J$32,8,FALSE)</f>
        <v>1585.7142857142858</v>
      </c>
      <c r="G10" s="37">
        <f>VLOOKUP(B10,奖惩统计表!$C$3:$G$19,4,FALSE)</f>
        <v>35081.599999999999</v>
      </c>
      <c r="H10" s="37">
        <f>VLOOKUP(B10,考勤统计表!$B$4:$O$33,14,FALSE)</f>
        <v>0</v>
      </c>
      <c r="I10" s="50">
        <f t="shared" si="0"/>
        <v>41867.314285714281</v>
      </c>
      <c r="J10" s="37">
        <f>VLOOKUP(工资统计表!B10,考勤统计表!$B$4:$P$33,15,FALSE)</f>
        <v>200</v>
      </c>
      <c r="K10" s="37">
        <f t="shared" si="1"/>
        <v>1144</v>
      </c>
      <c r="L10" s="37">
        <v>500</v>
      </c>
      <c r="M10" s="37">
        <v>0</v>
      </c>
      <c r="N10" s="45">
        <f t="shared" si="2"/>
        <v>40023.314285714281</v>
      </c>
      <c r="O10" s="45">
        <f t="shared" si="3"/>
        <v>6096.9942857142833</v>
      </c>
      <c r="P10" s="51">
        <f t="shared" si="4"/>
        <v>7440.9942857142833</v>
      </c>
      <c r="Q10" s="51">
        <f t="shared" si="5"/>
        <v>34426.32</v>
      </c>
    </row>
    <row r="11" spans="1:17" s="32" customFormat="1" ht="15">
      <c r="A11" s="49" t="s">
        <v>50</v>
      </c>
      <c r="B11" s="5" t="s">
        <v>51</v>
      </c>
      <c r="C11" s="5" t="s">
        <v>26</v>
      </c>
      <c r="D11" s="37">
        <f>VLOOKUP(工资统计表!B11,基本工资统计表!$B$3:$I$32,8,FALSE)</f>
        <v>4000</v>
      </c>
      <c r="E11" s="37">
        <f>VLOOKUP(B11,基本工资统计表!$B$3:$J$32,9,FALSE)</f>
        <v>3000</v>
      </c>
      <c r="F11" s="45">
        <f>VLOOKUP(B11,加班统计表!$C$3:$J$32,8,FALSE)</f>
        <v>0</v>
      </c>
      <c r="G11" s="37">
        <f>VLOOKUP(B11,奖惩统计表!$C$3:$G$19,4,FALSE)</f>
        <v>26240</v>
      </c>
      <c r="H11" s="37">
        <f>VLOOKUP(B11,考勤统计表!$B$4:$O$33,14,FALSE)</f>
        <v>500</v>
      </c>
      <c r="I11" s="50">
        <f t="shared" si="0"/>
        <v>33740</v>
      </c>
      <c r="J11" s="37">
        <f>VLOOKUP(工资统计表!B11,考勤统计表!$B$4:$P$33,15,FALSE)</f>
        <v>0</v>
      </c>
      <c r="K11" s="37">
        <f t="shared" si="1"/>
        <v>1540</v>
      </c>
      <c r="L11" s="37">
        <v>500</v>
      </c>
      <c r="M11" s="37">
        <v>0</v>
      </c>
      <c r="N11" s="45">
        <f t="shared" si="2"/>
        <v>31700</v>
      </c>
      <c r="O11" s="45">
        <f t="shared" si="3"/>
        <v>4015</v>
      </c>
      <c r="P11" s="51">
        <f t="shared" si="4"/>
        <v>5555</v>
      </c>
      <c r="Q11" s="51">
        <f t="shared" si="5"/>
        <v>28185</v>
      </c>
    </row>
    <row r="12" spans="1:17" s="32" customFormat="1" ht="15">
      <c r="A12" s="49" t="s">
        <v>52</v>
      </c>
      <c r="B12" s="5" t="s">
        <v>53</v>
      </c>
      <c r="C12" s="5" t="s">
        <v>30</v>
      </c>
      <c r="D12" s="37">
        <f>VLOOKUP(工资统计表!B12,基本工资统计表!$B$3:$I$32,8,FALSE)</f>
        <v>3000</v>
      </c>
      <c r="E12" s="37">
        <f>VLOOKUP(B12,基本工资统计表!$B$3:$J$32,9,FALSE)</f>
        <v>3600</v>
      </c>
      <c r="F12" s="45">
        <f>VLOOKUP(B12,加班统计表!$C$3:$J$32,8,FALSE)</f>
        <v>1885.7142857142858</v>
      </c>
      <c r="G12" s="37">
        <f>VLOOKUP(B12,奖惩统计表!$C$3:$G$19,4,FALSE)</f>
        <v>16364.8</v>
      </c>
      <c r="H12" s="37">
        <f>VLOOKUP(B12,考勤统计表!$B$4:$O$33,14,FALSE)</f>
        <v>0</v>
      </c>
      <c r="I12" s="50">
        <f t="shared" si="0"/>
        <v>24850.514285714286</v>
      </c>
      <c r="J12" s="37">
        <f>VLOOKUP(工资统计表!B12,考勤统计表!$B$4:$P$33,15,FALSE)</f>
        <v>400</v>
      </c>
      <c r="K12" s="37">
        <f t="shared" si="1"/>
        <v>1452</v>
      </c>
      <c r="L12" s="37">
        <v>500</v>
      </c>
      <c r="M12" s="37">
        <v>0</v>
      </c>
      <c r="N12" s="45">
        <f t="shared" si="2"/>
        <v>22498.514285714286</v>
      </c>
      <c r="O12" s="45">
        <f t="shared" si="3"/>
        <v>2089.7028571428573</v>
      </c>
      <c r="P12" s="51">
        <f t="shared" si="4"/>
        <v>3941.7028571428573</v>
      </c>
      <c r="Q12" s="51">
        <f t="shared" si="5"/>
        <v>20908.811428571429</v>
      </c>
    </row>
    <row r="13" spans="1:17" s="32" customFormat="1" ht="15">
      <c r="A13" s="49" t="s">
        <v>54</v>
      </c>
      <c r="B13" s="5" t="s">
        <v>55</v>
      </c>
      <c r="C13" s="5" t="s">
        <v>26</v>
      </c>
      <c r="D13" s="37">
        <f>VLOOKUP(工资统计表!B13,基本工资统计表!$B$3:$I$32,8,FALSE)</f>
        <v>3000</v>
      </c>
      <c r="E13" s="37">
        <f>VLOOKUP(B13,基本工资统计表!$B$3:$J$32,9,FALSE)</f>
        <v>2200</v>
      </c>
      <c r="F13" s="45">
        <f>VLOOKUP(B13,加班统计表!$C$3:$J$32,8,FALSE)</f>
        <v>595.23809523809518</v>
      </c>
      <c r="G13" s="37">
        <f>VLOOKUP(B13,奖惩统计表!$C$3:$G$19,4,FALSE)</f>
        <v>360</v>
      </c>
      <c r="H13" s="37">
        <f>VLOOKUP(B13,考勤统计表!$B$4:$O$33,14,FALSE)</f>
        <v>0</v>
      </c>
      <c r="I13" s="50">
        <f t="shared" si="0"/>
        <v>6155.2380952380954</v>
      </c>
      <c r="J13" s="37">
        <f>VLOOKUP(工资统计表!B13,考勤统计表!$B$4:$P$33,15,FALSE)</f>
        <v>800</v>
      </c>
      <c r="K13" s="37">
        <f t="shared" si="1"/>
        <v>1144</v>
      </c>
      <c r="L13" s="37">
        <v>1500</v>
      </c>
      <c r="M13" s="37">
        <v>0</v>
      </c>
      <c r="N13" s="45">
        <f t="shared" si="2"/>
        <v>2711.2380952380954</v>
      </c>
      <c r="O13" s="45">
        <f t="shared" si="3"/>
        <v>0</v>
      </c>
      <c r="P13" s="51">
        <f t="shared" si="4"/>
        <v>1944</v>
      </c>
      <c r="Q13" s="51">
        <f t="shared" si="5"/>
        <v>4211.2380952380954</v>
      </c>
    </row>
    <row r="14" spans="1:17" s="32" customFormat="1" ht="15">
      <c r="A14" s="49" t="s">
        <v>56</v>
      </c>
      <c r="B14" s="5" t="s">
        <v>57</v>
      </c>
      <c r="C14" s="5" t="s">
        <v>35</v>
      </c>
      <c r="D14" s="37">
        <f>VLOOKUP(工资统计表!B14,基本工资统计表!$B$3:$I$32,8,FALSE)</f>
        <v>3000</v>
      </c>
      <c r="E14" s="37">
        <f>VLOOKUP(B14,基本工资统计表!$B$3:$J$32,9,FALSE)</f>
        <v>3400</v>
      </c>
      <c r="F14" s="45">
        <f>VLOOKUP(B14,加班统计表!$C$3:$J$32,8,FALSE)</f>
        <v>325</v>
      </c>
      <c r="G14" s="37">
        <f>VLOOKUP(B14,奖惩统计表!$C$3:$G$19,4,FALSE)</f>
        <v>0</v>
      </c>
      <c r="H14" s="37">
        <f>VLOOKUP(B14,考勤统计表!$B$4:$O$33,14,FALSE)</f>
        <v>0</v>
      </c>
      <c r="I14" s="50">
        <f t="shared" si="0"/>
        <v>6725</v>
      </c>
      <c r="J14" s="37">
        <f>VLOOKUP(工资统计表!B14,考勤统计表!$B$4:$P$33,15,FALSE)</f>
        <v>0</v>
      </c>
      <c r="K14" s="37">
        <f t="shared" si="1"/>
        <v>1408</v>
      </c>
      <c r="L14" s="37">
        <v>1500</v>
      </c>
      <c r="M14" s="37">
        <v>0</v>
      </c>
      <c r="N14" s="45">
        <f t="shared" si="2"/>
        <v>3817</v>
      </c>
      <c r="O14" s="45">
        <f t="shared" si="3"/>
        <v>0</v>
      </c>
      <c r="P14" s="51">
        <f t="shared" si="4"/>
        <v>1408</v>
      </c>
      <c r="Q14" s="51">
        <f t="shared" si="5"/>
        <v>5317</v>
      </c>
    </row>
    <row r="15" spans="1:17" s="32" customFormat="1" ht="15">
      <c r="A15" s="49" t="s">
        <v>58</v>
      </c>
      <c r="B15" s="5" t="s">
        <v>59</v>
      </c>
      <c r="C15" s="5" t="s">
        <v>26</v>
      </c>
      <c r="D15" s="37">
        <f>VLOOKUP(工资统计表!B15,基本工资统计表!$B$3:$I$32,8,FALSE)</f>
        <v>3000</v>
      </c>
      <c r="E15" s="37">
        <f>VLOOKUP(B15,基本工资统计表!$B$3:$J$32,9,FALSE)</f>
        <v>3400</v>
      </c>
      <c r="F15" s="45">
        <f>VLOOKUP(B15,加班统计表!$C$3:$J$32,8,FALSE)</f>
        <v>709.52380952380952</v>
      </c>
      <c r="G15" s="37">
        <f>VLOOKUP(B15,奖惩统计表!$C$3:$G$19,4,FALSE)</f>
        <v>500</v>
      </c>
      <c r="H15" s="37">
        <f>VLOOKUP(B15,考勤统计表!$B$4:$O$33,14,FALSE)</f>
        <v>0</v>
      </c>
      <c r="I15" s="50">
        <f t="shared" si="0"/>
        <v>7609.5238095238092</v>
      </c>
      <c r="J15" s="37">
        <f>VLOOKUP(工资统计表!B15,考勤统计表!$B$4:$P$33,15,FALSE)</f>
        <v>100</v>
      </c>
      <c r="K15" s="37">
        <f t="shared" si="1"/>
        <v>1408</v>
      </c>
      <c r="L15" s="37">
        <v>1500</v>
      </c>
      <c r="M15" s="37">
        <v>0</v>
      </c>
      <c r="N15" s="45">
        <f t="shared" si="2"/>
        <v>4601.5238095238092</v>
      </c>
      <c r="O15" s="45">
        <f t="shared" si="3"/>
        <v>0</v>
      </c>
      <c r="P15" s="51">
        <f t="shared" si="4"/>
        <v>1508</v>
      </c>
      <c r="Q15" s="51">
        <f t="shared" si="5"/>
        <v>6101.5238095238092</v>
      </c>
    </row>
    <row r="16" spans="1:17" s="32" customFormat="1" ht="15">
      <c r="A16" s="49" t="s">
        <v>60</v>
      </c>
      <c r="B16" s="5" t="s">
        <v>61</v>
      </c>
      <c r="C16" s="5" t="s">
        <v>49</v>
      </c>
      <c r="D16" s="37">
        <f>VLOOKUP(工资统计表!B16,基本工资统计表!$B$3:$I$32,8,FALSE)</f>
        <v>3000</v>
      </c>
      <c r="E16" s="37">
        <f>VLOOKUP(B16,基本工资统计表!$B$3:$J$32,9,FALSE)</f>
        <v>3800</v>
      </c>
      <c r="F16" s="45">
        <f>VLOOKUP(B16,加班统计表!$C$3:$J$32,8,FALSE)</f>
        <v>922.61904761904759</v>
      </c>
      <c r="G16" s="37">
        <f>VLOOKUP(B16,奖惩统计表!$C$3:$G$19,4,FALSE)</f>
        <v>1000</v>
      </c>
      <c r="H16" s="37">
        <f>VLOOKUP(B16,考勤统计表!$B$4:$O$33,14,FALSE)</f>
        <v>0</v>
      </c>
      <c r="I16" s="50">
        <f t="shared" si="0"/>
        <v>8722.6190476190477</v>
      </c>
      <c r="J16" s="37">
        <f>VLOOKUP(工资统计表!B16,考勤统计表!$B$4:$P$33,15,FALSE)</f>
        <v>200</v>
      </c>
      <c r="K16" s="37">
        <f t="shared" si="1"/>
        <v>1496</v>
      </c>
      <c r="L16" s="37">
        <v>1500</v>
      </c>
      <c r="M16" s="37">
        <v>0</v>
      </c>
      <c r="N16" s="45">
        <f t="shared" si="2"/>
        <v>5526.6190476190477</v>
      </c>
      <c r="O16" s="45">
        <f t="shared" si="3"/>
        <v>15.79857142857143</v>
      </c>
      <c r="P16" s="51">
        <f t="shared" si="4"/>
        <v>1711.7985714285714</v>
      </c>
      <c r="Q16" s="51">
        <f t="shared" si="5"/>
        <v>7010.8204761904763</v>
      </c>
    </row>
    <row r="17" spans="1:17" s="32" customFormat="1" ht="15">
      <c r="A17" s="49" t="s">
        <v>62</v>
      </c>
      <c r="B17" s="5" t="s">
        <v>63</v>
      </c>
      <c r="C17" s="5" t="s">
        <v>42</v>
      </c>
      <c r="D17" s="37">
        <f>VLOOKUP(工资统计表!B17,基本工资统计表!$B$3:$I$32,8,FALSE)</f>
        <v>3400</v>
      </c>
      <c r="E17" s="37">
        <f>VLOOKUP(B17,基本工资统计表!$B$3:$J$32,9,FALSE)</f>
        <v>3400</v>
      </c>
      <c r="F17" s="45">
        <f>VLOOKUP(B17,加班统计表!$C$3:$J$32,8,FALSE)</f>
        <v>1520.2380952380952</v>
      </c>
      <c r="G17" s="37">
        <f>VLOOKUP(B17,奖惩统计表!$C$3:$G$19,4,FALSE)</f>
        <v>200</v>
      </c>
      <c r="H17" s="37">
        <f>VLOOKUP(B17,考勤统计表!$B$4:$O$33,14,FALSE)</f>
        <v>0</v>
      </c>
      <c r="I17" s="50">
        <f t="shared" si="0"/>
        <v>8520.2380952380954</v>
      </c>
      <c r="J17" s="37">
        <f>VLOOKUP(工资统计表!B17,考勤统计表!$B$4:$P$33,15,FALSE)</f>
        <v>200</v>
      </c>
      <c r="K17" s="37">
        <f t="shared" si="1"/>
        <v>1496</v>
      </c>
      <c r="L17" s="37">
        <v>1500</v>
      </c>
      <c r="M17" s="37">
        <v>0</v>
      </c>
      <c r="N17" s="45">
        <f t="shared" si="2"/>
        <v>5324.2380952380954</v>
      </c>
      <c r="O17" s="45">
        <f t="shared" si="3"/>
        <v>9.7271428571428622</v>
      </c>
      <c r="P17" s="51">
        <f t="shared" si="4"/>
        <v>1705.7271428571428</v>
      </c>
      <c r="Q17" s="51">
        <f t="shared" si="5"/>
        <v>6814.5109523809524</v>
      </c>
    </row>
    <row r="18" spans="1:17" s="32" customFormat="1" ht="15">
      <c r="A18" s="49" t="s">
        <v>64</v>
      </c>
      <c r="B18" s="5" t="s">
        <v>65</v>
      </c>
      <c r="C18" s="5" t="s">
        <v>26</v>
      </c>
      <c r="D18" s="37">
        <f>VLOOKUP(工资统计表!B18,基本工资统计表!$B$3:$I$32,8,FALSE)</f>
        <v>3000</v>
      </c>
      <c r="E18" s="37">
        <f>VLOOKUP(B18,基本工资统计表!$B$3:$J$32,9,FALSE)</f>
        <v>3200</v>
      </c>
      <c r="F18" s="45">
        <f>VLOOKUP(B18,加班统计表!$C$3:$J$32,8,FALSE)</f>
        <v>0</v>
      </c>
      <c r="G18" s="37">
        <f>VLOOKUP(B18,奖惩统计表!$C$3:$G$19,4,FALSE)</f>
        <v>0</v>
      </c>
      <c r="H18" s="37">
        <f>VLOOKUP(B18,考勤统计表!$B$4:$O$33,14,FALSE)</f>
        <v>0</v>
      </c>
      <c r="I18" s="50">
        <f t="shared" si="0"/>
        <v>6200</v>
      </c>
      <c r="J18" s="37">
        <f>VLOOKUP(工资统计表!B18,考勤统计表!$B$4:$P$33,15,FALSE)</f>
        <v>600</v>
      </c>
      <c r="K18" s="37">
        <f t="shared" si="1"/>
        <v>1364</v>
      </c>
      <c r="L18" s="37">
        <v>1500</v>
      </c>
      <c r="M18" s="37">
        <v>0</v>
      </c>
      <c r="N18" s="45">
        <f t="shared" si="2"/>
        <v>2736</v>
      </c>
      <c r="O18" s="45">
        <f t="shared" si="3"/>
        <v>0</v>
      </c>
      <c r="P18" s="51">
        <f t="shared" si="4"/>
        <v>1964</v>
      </c>
      <c r="Q18" s="51">
        <f t="shared" si="5"/>
        <v>4236</v>
      </c>
    </row>
    <row r="19" spans="1:17" s="32" customFormat="1" ht="15">
      <c r="A19" s="49" t="s">
        <v>66</v>
      </c>
      <c r="B19" s="5" t="s">
        <v>67</v>
      </c>
      <c r="C19" s="5" t="s">
        <v>49</v>
      </c>
      <c r="D19" s="37">
        <f>VLOOKUP(工资统计表!B19,基本工资统计表!$B$3:$I$32,8,FALSE)</f>
        <v>3000</v>
      </c>
      <c r="E19" s="37">
        <f>VLOOKUP(B19,基本工资统计表!$B$3:$J$32,9,FALSE)</f>
        <v>2400</v>
      </c>
      <c r="F19" s="45">
        <f>VLOOKUP(B19,加班统计表!$C$3:$J$32,8,FALSE)</f>
        <v>250</v>
      </c>
      <c r="G19" s="37">
        <f>VLOOKUP(B19,奖惩统计表!$C$3:$G$19,4,FALSE)</f>
        <v>0</v>
      </c>
      <c r="H19" s="37">
        <f>VLOOKUP(B19,考勤统计表!$B$4:$O$33,14,FALSE)</f>
        <v>0</v>
      </c>
      <c r="I19" s="50">
        <f t="shared" si="0"/>
        <v>5650</v>
      </c>
      <c r="J19" s="37">
        <f>VLOOKUP(工资统计表!B19,考勤统计表!$B$4:$P$33,15,FALSE)</f>
        <v>900</v>
      </c>
      <c r="K19" s="37">
        <f t="shared" si="1"/>
        <v>1188</v>
      </c>
      <c r="L19" s="37">
        <v>1500</v>
      </c>
      <c r="M19" s="37">
        <v>0</v>
      </c>
      <c r="N19" s="45">
        <f t="shared" si="2"/>
        <v>2062</v>
      </c>
      <c r="O19" s="45">
        <f t="shared" si="3"/>
        <v>0</v>
      </c>
      <c r="P19" s="51">
        <f t="shared" si="4"/>
        <v>2088</v>
      </c>
      <c r="Q19" s="51">
        <f t="shared" si="5"/>
        <v>3562</v>
      </c>
    </row>
    <row r="20" spans="1:17" s="32" customFormat="1" ht="15">
      <c r="A20" s="49" t="s">
        <v>68</v>
      </c>
      <c r="B20" s="5" t="s">
        <v>69</v>
      </c>
      <c r="C20" s="5" t="s">
        <v>49</v>
      </c>
      <c r="D20" s="37">
        <f>VLOOKUP(工资统计表!B20,基本工资统计表!$B$3:$I$32,8,FALSE)</f>
        <v>3000</v>
      </c>
      <c r="E20" s="37">
        <f>VLOOKUP(B20,基本工资统计表!$B$3:$J$32,9,FALSE)</f>
        <v>2800</v>
      </c>
      <c r="F20" s="45">
        <f>VLOOKUP(B20,加班统计表!$C$3:$J$32,8,FALSE)</f>
        <v>0</v>
      </c>
      <c r="G20" s="37"/>
      <c r="H20" s="37">
        <f>VLOOKUP(B20,考勤统计表!$B$4:$O$33,14,FALSE)</f>
        <v>0</v>
      </c>
      <c r="I20" s="50">
        <f t="shared" si="0"/>
        <v>5800</v>
      </c>
      <c r="J20" s="37">
        <f>VLOOKUP(工资统计表!B20,考勤统计表!$B$4:$P$33,15,FALSE)</f>
        <v>700</v>
      </c>
      <c r="K20" s="37">
        <f t="shared" si="1"/>
        <v>1276</v>
      </c>
      <c r="L20" s="37">
        <v>1500</v>
      </c>
      <c r="M20" s="37">
        <v>0</v>
      </c>
      <c r="N20" s="45">
        <f t="shared" si="2"/>
        <v>2324</v>
      </c>
      <c r="O20" s="45">
        <f t="shared" si="3"/>
        <v>0</v>
      </c>
      <c r="P20" s="51">
        <f t="shared" si="4"/>
        <v>1976</v>
      </c>
      <c r="Q20" s="51">
        <f t="shared" si="5"/>
        <v>3824</v>
      </c>
    </row>
    <row r="21" spans="1:17" s="32" customFormat="1" ht="15">
      <c r="A21" s="49" t="s">
        <v>70</v>
      </c>
      <c r="B21" s="5" t="s">
        <v>71</v>
      </c>
      <c r="C21" s="5" t="s">
        <v>26</v>
      </c>
      <c r="D21" s="37">
        <f>VLOOKUP(工资统计表!B21,基本工资统计表!$B$3:$I$32,8,FALSE)</f>
        <v>3000</v>
      </c>
      <c r="E21" s="37">
        <f>VLOOKUP(B21,基本工资统计表!$B$3:$J$32,9,FALSE)</f>
        <v>2400</v>
      </c>
      <c r="F21" s="45">
        <f>VLOOKUP(B21,加班统计表!$C$3:$J$32,8,FALSE)</f>
        <v>0</v>
      </c>
      <c r="G21" s="37"/>
      <c r="H21" s="37">
        <f>VLOOKUP(B21,考勤统计表!$B$4:$O$33,14,FALSE)</f>
        <v>500</v>
      </c>
      <c r="I21" s="50">
        <f t="shared" si="0"/>
        <v>5900</v>
      </c>
      <c r="J21" s="37">
        <f>VLOOKUP(工资统计表!B21,考勤统计表!$B$4:$P$33,15,FALSE)</f>
        <v>0</v>
      </c>
      <c r="K21" s="37">
        <f t="shared" si="1"/>
        <v>1188</v>
      </c>
      <c r="L21" s="37">
        <v>1500</v>
      </c>
      <c r="M21" s="37">
        <v>0</v>
      </c>
      <c r="N21" s="45">
        <f t="shared" si="2"/>
        <v>3212</v>
      </c>
      <c r="O21" s="45">
        <f t="shared" si="3"/>
        <v>0</v>
      </c>
      <c r="P21" s="51">
        <f t="shared" si="4"/>
        <v>1188</v>
      </c>
      <c r="Q21" s="51">
        <f t="shared" si="5"/>
        <v>4712</v>
      </c>
    </row>
    <row r="22" spans="1:17" s="32" customFormat="1" ht="15">
      <c r="A22" s="49" t="s">
        <v>72</v>
      </c>
      <c r="B22" s="5" t="s">
        <v>73</v>
      </c>
      <c r="C22" s="5" t="s">
        <v>42</v>
      </c>
      <c r="D22" s="37">
        <f>VLOOKUP(工资统计表!B22,基本工资统计表!$B$3:$I$32,8,FALSE)</f>
        <v>3400</v>
      </c>
      <c r="E22" s="37">
        <f>VLOOKUP(B22,基本工资统计表!$B$3:$J$32,9,FALSE)</f>
        <v>3000</v>
      </c>
      <c r="F22" s="45">
        <f>VLOOKUP(B22,加班统计表!$C$3:$J$32,8,FALSE)</f>
        <v>734.52380952380952</v>
      </c>
      <c r="G22" s="37"/>
      <c r="H22" s="37">
        <f>VLOOKUP(B22,考勤统计表!$B$4:$O$33,14,FALSE)</f>
        <v>0</v>
      </c>
      <c r="I22" s="50">
        <f t="shared" si="0"/>
        <v>7134.5238095238092</v>
      </c>
      <c r="J22" s="37">
        <f>VLOOKUP(工资统计表!B22,考勤统计表!$B$4:$P$33,15,FALSE)</f>
        <v>500</v>
      </c>
      <c r="K22" s="37">
        <f t="shared" si="1"/>
        <v>1408</v>
      </c>
      <c r="L22" s="37">
        <v>1500</v>
      </c>
      <c r="M22" s="37">
        <v>0</v>
      </c>
      <c r="N22" s="45">
        <f t="shared" si="2"/>
        <v>3726.5238095238092</v>
      </c>
      <c r="O22" s="45">
        <f t="shared" si="3"/>
        <v>0</v>
      </c>
      <c r="P22" s="51">
        <f t="shared" si="4"/>
        <v>1908</v>
      </c>
      <c r="Q22" s="51">
        <f t="shared" si="5"/>
        <v>5226.5238095238092</v>
      </c>
    </row>
    <row r="23" spans="1:17" s="32" customFormat="1" ht="15">
      <c r="A23" s="49" t="s">
        <v>74</v>
      </c>
      <c r="B23" s="5" t="s">
        <v>75</v>
      </c>
      <c r="C23" s="5" t="s">
        <v>26</v>
      </c>
      <c r="D23" s="37">
        <f>VLOOKUP(工资统计表!B23,基本工资统计表!$B$3:$I$32,8,FALSE)</f>
        <v>3000</v>
      </c>
      <c r="E23" s="37">
        <f>VLOOKUP(B23,基本工资统计表!$B$3:$J$32,9,FALSE)</f>
        <v>3200</v>
      </c>
      <c r="F23" s="45">
        <f>VLOOKUP(B23,加班统计表!$C$3:$J$32,8,FALSE)</f>
        <v>150</v>
      </c>
      <c r="G23" s="37"/>
      <c r="H23" s="37">
        <f>VLOOKUP(B23,考勤统计表!$B$4:$O$33,14,FALSE)</f>
        <v>0</v>
      </c>
      <c r="I23" s="50">
        <f t="shared" si="0"/>
        <v>6350</v>
      </c>
      <c r="J23" s="37">
        <f>VLOOKUP(工资统计表!B23,考勤统计表!$B$4:$P$33,15,FALSE)</f>
        <v>500</v>
      </c>
      <c r="K23" s="37">
        <f t="shared" si="1"/>
        <v>1364</v>
      </c>
      <c r="L23" s="37">
        <v>1500</v>
      </c>
      <c r="M23" s="37">
        <v>0</v>
      </c>
      <c r="N23" s="45">
        <f t="shared" si="2"/>
        <v>2986</v>
      </c>
      <c r="O23" s="45">
        <f t="shared" si="3"/>
        <v>0</v>
      </c>
      <c r="P23" s="51">
        <f t="shared" si="4"/>
        <v>1864</v>
      </c>
      <c r="Q23" s="51">
        <f t="shared" si="5"/>
        <v>4486</v>
      </c>
    </row>
    <row r="24" spans="1:17" s="32" customFormat="1" ht="15">
      <c r="A24" s="49" t="s">
        <v>76</v>
      </c>
      <c r="B24" s="5" t="s">
        <v>77</v>
      </c>
      <c r="C24" s="5" t="s">
        <v>26</v>
      </c>
      <c r="D24" s="37">
        <f>VLOOKUP(工资统计表!B24,基本工资统计表!$B$3:$I$32,8,FALSE)</f>
        <v>4000</v>
      </c>
      <c r="E24" s="37">
        <f>VLOOKUP(B24,基本工资统计表!$B$3:$J$32,9,FALSE)</f>
        <v>2600</v>
      </c>
      <c r="F24" s="45">
        <f>VLOOKUP(B24,加班统计表!$C$3:$J$32,8,FALSE)</f>
        <v>0</v>
      </c>
      <c r="G24" s="37"/>
      <c r="H24" s="37">
        <f>VLOOKUP(B24,考勤统计表!$B$4:$O$33,14,FALSE)</f>
        <v>0</v>
      </c>
      <c r="I24" s="50">
        <f t="shared" si="0"/>
        <v>6600</v>
      </c>
      <c r="J24" s="37">
        <f>VLOOKUP(工资统计表!B24,考勤统计表!$B$4:$P$33,15,FALSE)</f>
        <v>100</v>
      </c>
      <c r="K24" s="37">
        <f t="shared" si="1"/>
        <v>1452</v>
      </c>
      <c r="L24" s="37">
        <v>1500</v>
      </c>
      <c r="M24" s="37">
        <v>0</v>
      </c>
      <c r="N24" s="45">
        <f t="shared" si="2"/>
        <v>3548</v>
      </c>
      <c r="O24" s="45">
        <f t="shared" si="3"/>
        <v>0</v>
      </c>
      <c r="P24" s="51">
        <f t="shared" si="4"/>
        <v>1552</v>
      </c>
      <c r="Q24" s="51">
        <f t="shared" si="5"/>
        <v>5048</v>
      </c>
    </row>
    <row r="25" spans="1:17" s="32" customFormat="1" ht="15">
      <c r="A25" s="49" t="s">
        <v>78</v>
      </c>
      <c r="B25" s="5" t="s">
        <v>79</v>
      </c>
      <c r="C25" s="5" t="s">
        <v>35</v>
      </c>
      <c r="D25" s="37">
        <f>VLOOKUP(工资统计表!B25,基本工资统计表!$B$3:$I$32,8,FALSE)</f>
        <v>3000</v>
      </c>
      <c r="E25" s="37">
        <f>VLOOKUP(B25,基本工资统计表!$B$3:$J$32,9,FALSE)</f>
        <v>3000</v>
      </c>
      <c r="F25" s="45">
        <f>VLOOKUP(B25,加班统计表!$C$3:$J$32,8,FALSE)</f>
        <v>1714.2857142857142</v>
      </c>
      <c r="G25" s="37"/>
      <c r="H25" s="37">
        <f>VLOOKUP(B25,考勤统计表!$B$4:$O$33,14,FALSE)</f>
        <v>0</v>
      </c>
      <c r="I25" s="50">
        <f t="shared" si="0"/>
        <v>7714.2857142857138</v>
      </c>
      <c r="J25" s="37">
        <f>VLOOKUP(工资统计表!B25,考勤统计表!$B$4:$P$33,15,FALSE)</f>
        <v>200</v>
      </c>
      <c r="K25" s="37">
        <f t="shared" si="1"/>
        <v>1320</v>
      </c>
      <c r="L25" s="37">
        <v>1500</v>
      </c>
      <c r="M25" s="37">
        <v>0</v>
      </c>
      <c r="N25" s="45">
        <f t="shared" si="2"/>
        <v>4694.2857142857138</v>
      </c>
      <c r="O25" s="45">
        <f t="shared" si="3"/>
        <v>0</v>
      </c>
      <c r="P25" s="51">
        <f t="shared" si="4"/>
        <v>1520</v>
      </c>
      <c r="Q25" s="51">
        <f t="shared" si="5"/>
        <v>6194.2857142857138</v>
      </c>
    </row>
    <row r="26" spans="1:17" s="32" customFormat="1" ht="15">
      <c r="A26" s="49" t="s">
        <v>80</v>
      </c>
      <c r="B26" s="5" t="s">
        <v>81</v>
      </c>
      <c r="C26" s="5" t="s">
        <v>30</v>
      </c>
      <c r="D26" s="37">
        <f>VLOOKUP(工资统计表!B26,基本工资统计表!$B$3:$I$32,8,FALSE)</f>
        <v>3300</v>
      </c>
      <c r="E26" s="37">
        <f>VLOOKUP(B26,基本工资统计表!$B$3:$J$32,9,FALSE)</f>
        <v>3000</v>
      </c>
      <c r="F26" s="45">
        <f>VLOOKUP(B26,加班统计表!$C$3:$J$32,8,FALSE)</f>
        <v>150</v>
      </c>
      <c r="G26" s="37"/>
      <c r="H26" s="37">
        <f>VLOOKUP(B26,考勤统计表!$B$4:$O$33,14,FALSE)</f>
        <v>0</v>
      </c>
      <c r="I26" s="50">
        <f t="shared" si="0"/>
        <v>6450</v>
      </c>
      <c r="J26" s="37">
        <f>VLOOKUP(工资统计表!B26,考勤统计表!$B$4:$P$33,15,FALSE)</f>
        <v>100</v>
      </c>
      <c r="K26" s="37">
        <f t="shared" si="1"/>
        <v>1386</v>
      </c>
      <c r="L26" s="37">
        <v>1500</v>
      </c>
      <c r="M26" s="37">
        <v>0</v>
      </c>
      <c r="N26" s="45">
        <f t="shared" si="2"/>
        <v>3464</v>
      </c>
      <c r="O26" s="45">
        <f t="shared" si="3"/>
        <v>0</v>
      </c>
      <c r="P26" s="51">
        <f t="shared" si="4"/>
        <v>1486</v>
      </c>
      <c r="Q26" s="51">
        <f t="shared" si="5"/>
        <v>4964</v>
      </c>
    </row>
    <row r="27" spans="1:17" s="32" customFormat="1" ht="15">
      <c r="A27" s="49" t="s">
        <v>82</v>
      </c>
      <c r="B27" s="5" t="s">
        <v>83</v>
      </c>
      <c r="C27" s="5" t="s">
        <v>42</v>
      </c>
      <c r="D27" s="37">
        <f>VLOOKUP(工资统计表!B27,基本工资统计表!$B$3:$I$32,8,FALSE)</f>
        <v>3700</v>
      </c>
      <c r="E27" s="37">
        <f>VLOOKUP(B27,基本工资统计表!$B$3:$J$32,9,FALSE)</f>
        <v>3600</v>
      </c>
      <c r="F27" s="45">
        <f>VLOOKUP(B27,加班统计表!$C$3:$J$32,8,FALSE)</f>
        <v>3055.9523809523807</v>
      </c>
      <c r="G27" s="37"/>
      <c r="H27" s="37">
        <f>VLOOKUP(B27,考勤统计表!$B$4:$O$33,14,FALSE)</f>
        <v>0</v>
      </c>
      <c r="I27" s="50">
        <f t="shared" si="0"/>
        <v>10355.952380952382</v>
      </c>
      <c r="J27" s="37">
        <f>VLOOKUP(工资统计表!B27,考勤统计表!$B$4:$P$33,15,FALSE)</f>
        <v>200</v>
      </c>
      <c r="K27" s="37">
        <f t="shared" si="1"/>
        <v>1606</v>
      </c>
      <c r="L27" s="37">
        <v>1500</v>
      </c>
      <c r="M27" s="37">
        <v>0</v>
      </c>
      <c r="N27" s="45">
        <f t="shared" si="2"/>
        <v>7049.9523809523816</v>
      </c>
      <c r="O27" s="45">
        <f t="shared" si="3"/>
        <v>61.498571428571445</v>
      </c>
      <c r="P27" s="51">
        <f t="shared" si="4"/>
        <v>1867.4985714285715</v>
      </c>
      <c r="Q27" s="51">
        <f t="shared" si="5"/>
        <v>8488.4538095238095</v>
      </c>
    </row>
    <row r="28" spans="1:17" s="32" customFormat="1" ht="15">
      <c r="A28" s="49" t="s">
        <v>85</v>
      </c>
      <c r="B28" s="5" t="s">
        <v>86</v>
      </c>
      <c r="C28" s="5" t="s">
        <v>26</v>
      </c>
      <c r="D28" s="37">
        <f>VLOOKUP(工资统计表!B28,基本工资统计表!$B$3:$I$32,8,FALSE)</f>
        <v>3000</v>
      </c>
      <c r="E28" s="37">
        <f>VLOOKUP(B28,基本工资统计表!$B$3:$J$32,9,FALSE)</f>
        <v>2000</v>
      </c>
      <c r="F28" s="45">
        <f>VLOOKUP(B28,加班统计表!$C$3:$J$32,8,FALSE)</f>
        <v>0</v>
      </c>
      <c r="G28" s="37"/>
      <c r="H28" s="37">
        <f>VLOOKUP(B28,考勤统计表!$B$4:$O$33,14,FALSE)</f>
        <v>0</v>
      </c>
      <c r="I28" s="50">
        <f t="shared" si="0"/>
        <v>5000</v>
      </c>
      <c r="J28" s="37">
        <f>VLOOKUP(工资统计表!B28,考勤统计表!$B$4:$P$33,15,FALSE)</f>
        <v>400</v>
      </c>
      <c r="K28" s="37">
        <f t="shared" si="1"/>
        <v>1100</v>
      </c>
      <c r="L28" s="37">
        <v>1500</v>
      </c>
      <c r="M28" s="37">
        <v>0</v>
      </c>
      <c r="N28" s="45">
        <f t="shared" si="2"/>
        <v>2000</v>
      </c>
      <c r="O28" s="45">
        <f t="shared" si="3"/>
        <v>0</v>
      </c>
      <c r="P28" s="51">
        <f t="shared" si="4"/>
        <v>1500</v>
      </c>
      <c r="Q28" s="51">
        <f t="shared" si="5"/>
        <v>3500</v>
      </c>
    </row>
    <row r="29" spans="1:17" s="32" customFormat="1" ht="15">
      <c r="A29" s="49" t="s">
        <v>87</v>
      </c>
      <c r="B29" s="5" t="s">
        <v>88</v>
      </c>
      <c r="C29" s="5" t="s">
        <v>42</v>
      </c>
      <c r="D29" s="37">
        <f>VLOOKUP(工资统计表!B29,基本工资统计表!$B$3:$I$32,8,FALSE)</f>
        <v>3000</v>
      </c>
      <c r="E29" s="37">
        <f>VLOOKUP(B29,基本工资统计表!$B$3:$J$32,9,FALSE)</f>
        <v>3400</v>
      </c>
      <c r="F29" s="45">
        <f>VLOOKUP(B29,加班统计表!$C$3:$J$32,8,FALSE)</f>
        <v>1494.047619047619</v>
      </c>
      <c r="G29" s="37"/>
      <c r="H29" s="37">
        <f>VLOOKUP(B29,考勤统计表!$B$4:$O$33,14,FALSE)</f>
        <v>0</v>
      </c>
      <c r="I29" s="50">
        <f t="shared" si="0"/>
        <v>7894.0476190476193</v>
      </c>
      <c r="J29" s="37">
        <f>VLOOKUP(工资统计表!B29,考勤统计表!$B$4:$P$33,15,FALSE)</f>
        <v>100</v>
      </c>
      <c r="K29" s="37">
        <f t="shared" si="1"/>
        <v>1408</v>
      </c>
      <c r="L29" s="37">
        <v>1500</v>
      </c>
      <c r="M29" s="37">
        <v>0</v>
      </c>
      <c r="N29" s="45">
        <f t="shared" si="2"/>
        <v>4886.0476190476193</v>
      </c>
      <c r="O29" s="45">
        <f t="shared" si="3"/>
        <v>0</v>
      </c>
      <c r="P29" s="51">
        <f t="shared" si="4"/>
        <v>1508</v>
      </c>
      <c r="Q29" s="51">
        <f t="shared" si="5"/>
        <v>6386.0476190476193</v>
      </c>
    </row>
    <row r="30" spans="1:17" s="32" customFormat="1" ht="15">
      <c r="A30" s="49" t="s">
        <v>89</v>
      </c>
      <c r="B30" s="5" t="s">
        <v>90</v>
      </c>
      <c r="C30" s="5" t="s">
        <v>49</v>
      </c>
      <c r="D30" s="37">
        <f>VLOOKUP(工资统计表!B30,基本工资统计表!$B$3:$I$32,8,FALSE)</f>
        <v>3000</v>
      </c>
      <c r="E30" s="37">
        <f>VLOOKUP(B30,基本工资统计表!$B$3:$J$32,9,FALSE)</f>
        <v>2600</v>
      </c>
      <c r="F30" s="45">
        <f>VLOOKUP(B30,加班统计表!$C$3:$J$32,8,FALSE)</f>
        <v>0</v>
      </c>
      <c r="G30" s="37"/>
      <c r="H30" s="37">
        <f>VLOOKUP(B30,考勤统计表!$B$4:$O$33,14,FALSE)</f>
        <v>0</v>
      </c>
      <c r="I30" s="50">
        <f t="shared" si="0"/>
        <v>5600</v>
      </c>
      <c r="J30" s="37">
        <f>VLOOKUP(工资统计表!B30,考勤统计表!$B$4:$P$33,15,FALSE)</f>
        <v>200</v>
      </c>
      <c r="K30" s="37">
        <f t="shared" si="1"/>
        <v>1232</v>
      </c>
      <c r="L30" s="37">
        <v>1500</v>
      </c>
      <c r="M30" s="37">
        <v>0</v>
      </c>
      <c r="N30" s="45">
        <f t="shared" si="2"/>
        <v>2668</v>
      </c>
      <c r="O30" s="45">
        <f t="shared" si="3"/>
        <v>0</v>
      </c>
      <c r="P30" s="51">
        <f t="shared" si="4"/>
        <v>1432</v>
      </c>
      <c r="Q30" s="51">
        <f t="shared" si="5"/>
        <v>4168</v>
      </c>
    </row>
    <row r="31" spans="1:17" s="32" customFormat="1" ht="15">
      <c r="A31" s="49" t="s">
        <v>91</v>
      </c>
      <c r="B31" s="5" t="s">
        <v>92</v>
      </c>
      <c r="C31" s="5" t="s">
        <v>26</v>
      </c>
      <c r="D31" s="37">
        <f>VLOOKUP(工资统计表!B31,基本工资统计表!$B$3:$I$32,8,FALSE)</f>
        <v>3000</v>
      </c>
      <c r="E31" s="37">
        <f>VLOOKUP(B31,基本工资统计表!$B$3:$J$32,9,FALSE)</f>
        <v>2000</v>
      </c>
      <c r="F31" s="45">
        <f>VLOOKUP(B31,加班统计表!$C$3:$J$32,8,FALSE)</f>
        <v>0</v>
      </c>
      <c r="G31" s="37"/>
      <c r="H31" s="37">
        <f>VLOOKUP(B31,考勤统计表!$B$4:$O$33,14,FALSE)</f>
        <v>500</v>
      </c>
      <c r="I31" s="50">
        <f t="shared" si="0"/>
        <v>5500</v>
      </c>
      <c r="J31" s="37">
        <f>VLOOKUP(工资统计表!B31,考勤统计表!$B$4:$P$33,15,FALSE)</f>
        <v>0</v>
      </c>
      <c r="K31" s="37">
        <f t="shared" si="1"/>
        <v>1100</v>
      </c>
      <c r="L31" s="37">
        <v>1500</v>
      </c>
      <c r="M31" s="37">
        <v>0</v>
      </c>
      <c r="N31" s="45">
        <f t="shared" si="2"/>
        <v>2900</v>
      </c>
      <c r="O31" s="45">
        <f t="shared" si="3"/>
        <v>0</v>
      </c>
      <c r="P31" s="51">
        <f t="shared" si="4"/>
        <v>1100</v>
      </c>
      <c r="Q31" s="51">
        <f t="shared" si="5"/>
        <v>4400</v>
      </c>
    </row>
    <row r="32" spans="1:17" s="32" customFormat="1" ht="15">
      <c r="A32" s="49" t="s">
        <v>93</v>
      </c>
      <c r="B32" s="5" t="s">
        <v>94</v>
      </c>
      <c r="C32" s="5" t="s">
        <v>49</v>
      </c>
      <c r="D32" s="37">
        <f>VLOOKUP(工资统计表!B32,基本工资统计表!$B$3:$I$32,8,FALSE)</f>
        <v>4000</v>
      </c>
      <c r="E32" s="37">
        <f>VLOOKUP(B32,基本工资统计表!$B$3:$J$32,9,FALSE)</f>
        <v>2400</v>
      </c>
      <c r="F32" s="45">
        <f>VLOOKUP(B32,加班统计表!$C$3:$J$32,8,FALSE)</f>
        <v>609.52380952380952</v>
      </c>
      <c r="G32" s="37"/>
      <c r="H32" s="37">
        <f>VLOOKUP(B32,考勤统计表!$B$4:$O$33,14,FALSE)</f>
        <v>0</v>
      </c>
      <c r="I32" s="50">
        <f t="shared" si="0"/>
        <v>7009.5238095238092</v>
      </c>
      <c r="J32" s="37">
        <f>VLOOKUP(工资统计表!B32,考勤统计表!$B$4:$P$33,15,FALSE)</f>
        <v>300</v>
      </c>
      <c r="K32" s="37">
        <f t="shared" si="1"/>
        <v>1408</v>
      </c>
      <c r="L32" s="37">
        <v>1500</v>
      </c>
      <c r="M32" s="37">
        <v>0</v>
      </c>
      <c r="N32" s="45">
        <f t="shared" si="2"/>
        <v>3801.5238095238092</v>
      </c>
      <c r="O32" s="45">
        <f t="shared" si="3"/>
        <v>0</v>
      </c>
      <c r="P32" s="51">
        <f t="shared" si="4"/>
        <v>1708</v>
      </c>
      <c r="Q32" s="51">
        <f t="shared" si="5"/>
        <v>5301.5238095238092</v>
      </c>
    </row>
  </sheetData>
  <mergeCells count="1">
    <mergeCell ref="A1:Q1"/>
  </mergeCells>
  <phoneticPr fontId="20" type="noConversion"/>
  <pageMargins left="0.7" right="0.7" top="0.75" bottom="0.75" header="0.3" footer="0.3"/>
  <ignoredErrors>
    <ignoredError sqref="A3:A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级别</vt:lpstr>
      <vt:lpstr>基本工资统计表</vt:lpstr>
      <vt:lpstr>奖惩统计表</vt:lpstr>
      <vt:lpstr>考勤统计表</vt:lpstr>
      <vt:lpstr>加班统计表</vt:lpstr>
      <vt:lpstr>工资统计表</vt:lpstr>
    </vt:vector>
  </TitlesOfParts>
  <Company>family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 C</cp:lastModifiedBy>
  <dcterms:created xsi:type="dcterms:W3CDTF">2024-05-28T06:00:05Z</dcterms:created>
  <dcterms:modified xsi:type="dcterms:W3CDTF">2024-06-04T07:50:07Z</dcterms:modified>
</cp:coreProperties>
</file>